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pi\Dropbox\TROPICAL  2023 OFICINA\Embarque Dropbox\"/>
    </mc:Choice>
  </mc:AlternateContent>
  <xr:revisionPtr revIDLastSave="0" documentId="13_ncr:1_{24EDD858-AF9B-4F81-B839-52B32280E0A4}" xr6:coauthVersionLast="47" xr6:coauthVersionMax="47" xr10:uidLastSave="{00000000-0000-0000-0000-000000000000}"/>
  <bookViews>
    <workbookView xWindow="-120" yWindow="-120" windowWidth="29040" windowHeight="15720" activeTab="2" xr2:uid="{2278A29D-2D55-4EB9-B47F-3F7AF368E46F}"/>
  </bookViews>
  <sheets>
    <sheet name="DATOS PARA CALCULO" sheetId="1" r:id="rId1"/>
    <sheet name="CAJAS ELABORADAS" sheetId="4" state="hidden" r:id="rId2"/>
    <sheet name="CALCULO PAGO" sheetId="10" r:id="rId3"/>
    <sheet name="ARGOLD" sheetId="14" state="hidden" r:id="rId4"/>
    <sheet name="CARTON ARGOL-22" sheetId="15" state="hidden" r:id="rId5"/>
    <sheet name="Hoja1" sheetId="12" state="hidden" r:id="rId6"/>
    <sheet name="CAJAS X FINCA" sheetId="5" state="hidden" r:id="rId7"/>
    <sheet name="PROYECCION X AÑO" sheetId="13" state="hidden" r:id="rId8"/>
    <sheet name="TERMINACION DE EMBARQUE 2021" sheetId="7" state="hidden" r:id="rId9"/>
    <sheet name="VENTAS CAJAS OTROS " sheetId="8" state="hidden" r:id="rId10"/>
    <sheet name="EMBARQUE BANACOL EXTRAS" sheetId="9" state="hidden" r:id="rId11"/>
  </sheets>
  <definedNames>
    <definedName name="_xlnm._FilterDatabase" localSheetId="3" hidden="1">ARGOLD!$B$3:$H$82</definedName>
    <definedName name="_xlnm._FilterDatabase" localSheetId="4" hidden="1">'CARTON ARGOL-22'!$B$3:$L$47</definedName>
    <definedName name="SegmentaciónDeDatos_Año">#N/A</definedName>
    <definedName name="SegmentaciónDeDatos_Año1">#N/A</definedName>
    <definedName name="SegmentaciónDeDatos_FECHA">#N/A</definedName>
    <definedName name="SegmentaciónDeDatos_FINCA">#N/A</definedName>
    <definedName name="SegmentaciónDeDatos_FINCA1">#N/A</definedName>
    <definedName name="SegmentaciónDeDatos_Finca2">#N/A</definedName>
    <definedName name="SegmentaciónDeDatos_N°_SEMANA">#N/A</definedName>
    <definedName name="SegmentaciónDeDatos_N°_SEMANA1">#N/A</definedName>
    <definedName name="SegmentaciónDeDatos_Semana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06" i="10" l="1"/>
  <c r="E606" i="10"/>
  <c r="H606" i="10"/>
  <c r="BH606" i="10" s="1"/>
  <c r="I606" i="10"/>
  <c r="R606" i="10" s="1"/>
  <c r="AL606" i="10" s="1"/>
  <c r="AN606" i="10" s="1"/>
  <c r="J606" i="10"/>
  <c r="K606" i="10"/>
  <c r="AJ606" i="10" s="1"/>
  <c r="AX606" i="10" s="1"/>
  <c r="M606" i="10"/>
  <c r="P606" i="10"/>
  <c r="U606" i="10" s="1"/>
  <c r="Q606" i="10"/>
  <c r="AK606" i="10" s="1"/>
  <c r="V606" i="10"/>
  <c r="AO606" i="10" s="1"/>
  <c r="W606" i="10"/>
  <c r="AP606" i="10" s="1"/>
  <c r="AR606" i="10" s="1"/>
  <c r="Z606" i="10"/>
  <c r="AA606" i="10"/>
  <c r="AB606" i="10"/>
  <c r="AT606" i="10" s="1"/>
  <c r="AV606" i="10" s="1"/>
  <c r="AH606" i="10"/>
  <c r="AI606" i="10"/>
  <c r="AM606" i="10"/>
  <c r="AQ606" i="10"/>
  <c r="AS606" i="10"/>
  <c r="AU606" i="10"/>
  <c r="AW606" i="10"/>
  <c r="AY606" i="10"/>
  <c r="BF606" i="10"/>
  <c r="BG606" i="10"/>
  <c r="BJ606" i="10"/>
  <c r="D605" i="10"/>
  <c r="E605" i="10"/>
  <c r="H605" i="10"/>
  <c r="BH605" i="10" s="1"/>
  <c r="I605" i="10"/>
  <c r="J605" i="10"/>
  <c r="K605" i="10"/>
  <c r="AJ605" i="10" s="1"/>
  <c r="AX605" i="10" s="1"/>
  <c r="M605" i="10"/>
  <c r="P605" i="10"/>
  <c r="Q605" i="10"/>
  <c r="AK605" i="10" s="1"/>
  <c r="U605" i="10"/>
  <c r="V605" i="10"/>
  <c r="W605" i="10"/>
  <c r="AP605" i="10" s="1"/>
  <c r="AR605" i="10" s="1"/>
  <c r="Z605" i="10"/>
  <c r="AA605" i="10"/>
  <c r="AS605" i="10" s="1"/>
  <c r="AB605" i="10"/>
  <c r="AT605" i="10" s="1"/>
  <c r="AV605" i="10" s="1"/>
  <c r="AH605" i="10"/>
  <c r="AI605" i="10"/>
  <c r="AM605" i="10"/>
  <c r="AO605" i="10"/>
  <c r="AQ605" i="10"/>
  <c r="AU605" i="10"/>
  <c r="AW605" i="10"/>
  <c r="AY605" i="10"/>
  <c r="BF605" i="10"/>
  <c r="BG605" i="10"/>
  <c r="BJ605" i="10"/>
  <c r="D604" i="10"/>
  <c r="E604" i="10"/>
  <c r="H604" i="10"/>
  <c r="BH604" i="10" s="1"/>
  <c r="I604" i="10"/>
  <c r="R604" i="10" s="1"/>
  <c r="AL604" i="10" s="1"/>
  <c r="AN604" i="10" s="1"/>
  <c r="J604" i="10"/>
  <c r="K604" i="10"/>
  <c r="M604" i="10"/>
  <c r="P604" i="10"/>
  <c r="Q604" i="10"/>
  <c r="U604" i="10"/>
  <c r="V604" i="10"/>
  <c r="Z604" i="10"/>
  <c r="AA604" i="10"/>
  <c r="AB604" i="10"/>
  <c r="AT604" i="10" s="1"/>
  <c r="AH604" i="10"/>
  <c r="AI604" i="10"/>
  <c r="AJ604" i="10"/>
  <c r="AX604" i="10" s="1"/>
  <c r="AK604" i="10"/>
  <c r="AM604" i="10"/>
  <c r="AO604" i="10"/>
  <c r="AQ604" i="10"/>
  <c r="AS604" i="10"/>
  <c r="AU604" i="10"/>
  <c r="AW604" i="10"/>
  <c r="AY604" i="10"/>
  <c r="BG604" i="10" s="1"/>
  <c r="BF604" i="10"/>
  <c r="BJ604" i="10"/>
  <c r="D603" i="10"/>
  <c r="E603" i="10"/>
  <c r="H603" i="10"/>
  <c r="I603" i="10"/>
  <c r="J603" i="10"/>
  <c r="K603" i="10"/>
  <c r="M603" i="10"/>
  <c r="P603" i="10"/>
  <c r="Q603" i="10"/>
  <c r="AK603" i="10" s="1"/>
  <c r="U603" i="10"/>
  <c r="V603" i="10" s="1"/>
  <c r="AO603" i="10" s="1"/>
  <c r="Z603" i="10"/>
  <c r="AA603" i="10"/>
  <c r="AS603" i="10" s="1"/>
  <c r="AB603" i="10"/>
  <c r="AT603" i="10" s="1"/>
  <c r="AH603" i="10"/>
  <c r="AI603" i="10"/>
  <c r="AM603" i="10"/>
  <c r="AQ603" i="10"/>
  <c r="AU603" i="10"/>
  <c r="AW603" i="10"/>
  <c r="AY603" i="10"/>
  <c r="BG603" i="10" s="1"/>
  <c r="BF603" i="10"/>
  <c r="BH603" i="10"/>
  <c r="BJ603" i="10"/>
  <c r="D602" i="10"/>
  <c r="E602" i="10"/>
  <c r="H602" i="10"/>
  <c r="BH602" i="10" s="1"/>
  <c r="I602" i="10"/>
  <c r="J602" i="10"/>
  <c r="K602" i="10"/>
  <c r="M602" i="10"/>
  <c r="P602" i="10"/>
  <c r="U602" i="10" s="1"/>
  <c r="Q602" i="10"/>
  <c r="AK602" i="10" s="1"/>
  <c r="V602" i="10"/>
  <c r="AO602" i="10" s="1"/>
  <c r="Z602" i="10"/>
  <c r="AA602" i="10"/>
  <c r="AS602" i="10" s="1"/>
  <c r="AB602" i="10"/>
  <c r="AT602" i="10" s="1"/>
  <c r="AH602" i="10"/>
  <c r="AI602" i="10"/>
  <c r="AM602" i="10"/>
  <c r="AQ602" i="10"/>
  <c r="AU602" i="10"/>
  <c r="AW602" i="10"/>
  <c r="AY602" i="10"/>
  <c r="BG602" i="10" s="1"/>
  <c r="BF602" i="10"/>
  <c r="BJ602" i="10"/>
  <c r="D598" i="10"/>
  <c r="D599" i="10"/>
  <c r="D600" i="10"/>
  <c r="D601" i="10"/>
  <c r="E601" i="10"/>
  <c r="H601" i="10"/>
  <c r="BH601" i="10" s="1"/>
  <c r="I601" i="10"/>
  <c r="R601" i="10" s="1"/>
  <c r="AL601" i="10" s="1"/>
  <c r="J601" i="10"/>
  <c r="K601" i="10"/>
  <c r="L601" i="10"/>
  <c r="M601" i="10"/>
  <c r="P601" i="10"/>
  <c r="Q601" i="10"/>
  <c r="AK601" i="10" s="1"/>
  <c r="U601" i="10"/>
  <c r="V601" i="10"/>
  <c r="AO601" i="10" s="1"/>
  <c r="W601" i="10"/>
  <c r="AP601" i="10" s="1"/>
  <c r="Z601" i="10"/>
  <c r="AA601" i="10"/>
  <c r="AS601" i="10" s="1"/>
  <c r="AB601" i="10"/>
  <c r="AT601" i="10" s="1"/>
  <c r="AH601" i="10"/>
  <c r="AI601" i="10"/>
  <c r="AM601" i="10"/>
  <c r="AQ601" i="10"/>
  <c r="AU601" i="10"/>
  <c r="AY601" i="10"/>
  <c r="BG601" i="10" s="1"/>
  <c r="BF601" i="10"/>
  <c r="BJ601" i="10"/>
  <c r="E600" i="10"/>
  <c r="H600" i="10"/>
  <c r="BH600" i="10" s="1"/>
  <c r="I600" i="10"/>
  <c r="J600" i="10"/>
  <c r="K600" i="10"/>
  <c r="L600" i="10"/>
  <c r="M600" i="10" s="1"/>
  <c r="P600" i="10"/>
  <c r="Q600" i="10"/>
  <c r="AK600" i="10" s="1"/>
  <c r="U600" i="10"/>
  <c r="V600" i="10"/>
  <c r="AO600" i="10" s="1"/>
  <c r="W600" i="10"/>
  <c r="AP600" i="10" s="1"/>
  <c r="Z600" i="10"/>
  <c r="AA600" i="10"/>
  <c r="AS600" i="10" s="1"/>
  <c r="AB600" i="10"/>
  <c r="AT600" i="10" s="1"/>
  <c r="AH600" i="10"/>
  <c r="AI600" i="10"/>
  <c r="AM600" i="10"/>
  <c r="AQ600" i="10"/>
  <c r="AU600" i="10"/>
  <c r="AY600" i="10"/>
  <c r="BG600" i="10" s="1"/>
  <c r="BF600" i="10"/>
  <c r="BJ600" i="10"/>
  <c r="E599" i="10"/>
  <c r="H599" i="10"/>
  <c r="BH599" i="10" s="1"/>
  <c r="I599" i="10"/>
  <c r="J599" i="10"/>
  <c r="K599" i="10"/>
  <c r="L599" i="10"/>
  <c r="M599" i="10" s="1"/>
  <c r="P599" i="10"/>
  <c r="U599" i="10" s="1"/>
  <c r="V599" i="10" s="1"/>
  <c r="AO599" i="10" s="1"/>
  <c r="Q599" i="10"/>
  <c r="AK599" i="10" s="1"/>
  <c r="Z599" i="10"/>
  <c r="AA599" i="10"/>
  <c r="AS599" i="10" s="1"/>
  <c r="AB599" i="10"/>
  <c r="AT599" i="10" s="1"/>
  <c r="AH599" i="10"/>
  <c r="AI599" i="10"/>
  <c r="AW599" i="10" s="1"/>
  <c r="AM599" i="10"/>
  <c r="AQ599" i="10"/>
  <c r="AU599" i="10"/>
  <c r="AY599" i="10"/>
  <c r="BG599" i="10" s="1"/>
  <c r="BF599" i="10"/>
  <c r="BJ599" i="10"/>
  <c r="E598" i="10"/>
  <c r="H598" i="10"/>
  <c r="BH598" i="10" s="1"/>
  <c r="I598" i="10"/>
  <c r="J598" i="10"/>
  <c r="K598" i="10"/>
  <c r="L598" i="10"/>
  <c r="M598" i="10" s="1"/>
  <c r="P598" i="10"/>
  <c r="U598" i="10" s="1"/>
  <c r="Q598" i="10"/>
  <c r="AK598" i="10" s="1"/>
  <c r="V598" i="10"/>
  <c r="AO598" i="10" s="1"/>
  <c r="W598" i="10"/>
  <c r="AP598" i="10" s="1"/>
  <c r="Z598" i="10"/>
  <c r="AA598" i="10"/>
  <c r="AS598" i="10" s="1"/>
  <c r="AB598" i="10"/>
  <c r="AT598" i="10" s="1"/>
  <c r="AH598" i="10"/>
  <c r="AI598" i="10"/>
  <c r="AW598" i="10" s="1"/>
  <c r="AM598" i="10"/>
  <c r="AQ598" i="10"/>
  <c r="AU598" i="10"/>
  <c r="AY598" i="10"/>
  <c r="BG598" i="10" s="1"/>
  <c r="BF598" i="10"/>
  <c r="BJ598" i="10"/>
  <c r="D597" i="10"/>
  <c r="E597" i="10"/>
  <c r="H597" i="10"/>
  <c r="I597" i="10"/>
  <c r="J597" i="10"/>
  <c r="K597" i="10"/>
  <c r="L597" i="10"/>
  <c r="M597" i="10" s="1"/>
  <c r="P597" i="10"/>
  <c r="U597" i="10" s="1"/>
  <c r="V597" i="10" s="1"/>
  <c r="AO597" i="10" s="1"/>
  <c r="Q597" i="10"/>
  <c r="AK597" i="10" s="1"/>
  <c r="Z597" i="10"/>
  <c r="AA597" i="10"/>
  <c r="AS597" i="10" s="1"/>
  <c r="AB597" i="10"/>
  <c r="AT597" i="10" s="1"/>
  <c r="AH597" i="10"/>
  <c r="AI597" i="10"/>
  <c r="AM597" i="10"/>
  <c r="AQ597" i="10"/>
  <c r="AU597" i="10"/>
  <c r="AW597" i="10"/>
  <c r="AY597" i="10"/>
  <c r="BG597" i="10" s="1"/>
  <c r="BF597" i="10"/>
  <c r="BH597" i="10"/>
  <c r="BJ597" i="10"/>
  <c r="D596" i="10"/>
  <c r="E596" i="10"/>
  <c r="H596" i="10"/>
  <c r="BH596" i="10" s="1"/>
  <c r="I596" i="10"/>
  <c r="J596" i="10"/>
  <c r="K596" i="10"/>
  <c r="L596" i="10"/>
  <c r="M596" i="10" s="1"/>
  <c r="P596" i="10"/>
  <c r="U596" i="10" s="1"/>
  <c r="V596" i="10" s="1"/>
  <c r="AO596" i="10" s="1"/>
  <c r="Q596" i="10"/>
  <c r="AK596" i="10" s="1"/>
  <c r="Z596" i="10"/>
  <c r="AA596" i="10"/>
  <c r="AS596" i="10" s="1"/>
  <c r="AB596" i="10"/>
  <c r="AT596" i="10" s="1"/>
  <c r="AH596" i="10"/>
  <c r="AI596" i="10"/>
  <c r="AW596" i="10" s="1"/>
  <c r="AM596" i="10"/>
  <c r="AQ596" i="10"/>
  <c r="AU596" i="10"/>
  <c r="AY596" i="10"/>
  <c r="BG596" i="10" s="1"/>
  <c r="BF596" i="10"/>
  <c r="BJ596" i="10"/>
  <c r="S594" i="10"/>
  <c r="D595" i="10"/>
  <c r="BA606" i="10" l="1"/>
  <c r="BB606" i="10"/>
  <c r="BD606" i="10" s="1"/>
  <c r="AZ606" i="10"/>
  <c r="AJ603" i="10"/>
  <c r="AX603" i="10" s="1"/>
  <c r="AV604" i="10"/>
  <c r="W604" i="10"/>
  <c r="AP604" i="10" s="1"/>
  <c r="BB604" i="10" s="1"/>
  <c r="BD604" i="10" s="1"/>
  <c r="R605" i="10"/>
  <c r="AL605" i="10" s="1"/>
  <c r="AN605" i="10" s="1"/>
  <c r="BA605" i="10" s="1"/>
  <c r="AZ605" i="10"/>
  <c r="BB605" i="10"/>
  <c r="BD605" i="10" s="1"/>
  <c r="BE605" i="10" s="1"/>
  <c r="AZ604" i="10"/>
  <c r="W603" i="10"/>
  <c r="AP603" i="10" s="1"/>
  <c r="AR603" i="10" s="1"/>
  <c r="R603" i="10"/>
  <c r="AL603" i="10" s="1"/>
  <c r="AN603" i="10" s="1"/>
  <c r="AV603" i="10"/>
  <c r="AV602" i="10"/>
  <c r="BB603" i="10"/>
  <c r="BD603" i="10" s="1"/>
  <c r="BE603" i="10" s="1"/>
  <c r="AZ603" i="10"/>
  <c r="AV599" i="10"/>
  <c r="AJ596" i="10"/>
  <c r="AX596" i="10" s="1"/>
  <c r="AZ596" i="10" s="1"/>
  <c r="AJ597" i="10"/>
  <c r="AX597" i="10" s="1"/>
  <c r="AZ597" i="10" s="1"/>
  <c r="AJ599" i="10"/>
  <c r="AX599" i="10" s="1"/>
  <c r="AZ599" i="10" s="1"/>
  <c r="AJ602" i="10"/>
  <c r="AX602" i="10" s="1"/>
  <c r="AZ602" i="10" s="1"/>
  <c r="W602" i="10"/>
  <c r="AP602" i="10" s="1"/>
  <c r="AR602" i="10" s="1"/>
  <c r="AJ601" i="10"/>
  <c r="AX601" i="10" s="1"/>
  <c r="AZ601" i="10" s="1"/>
  <c r="AV601" i="10"/>
  <c r="W596" i="10"/>
  <c r="AP596" i="10" s="1"/>
  <c r="AR596" i="10" s="1"/>
  <c r="AR598" i="10"/>
  <c r="AR601" i="10"/>
  <c r="R597" i="10"/>
  <c r="AL597" i="10" s="1"/>
  <c r="AN597" i="10" s="1"/>
  <c r="AJ598" i="10"/>
  <c r="AX598" i="10" s="1"/>
  <c r="BB598" i="10" s="1"/>
  <c r="BD598" i="10" s="1"/>
  <c r="AW601" i="10"/>
  <c r="AN601" i="10"/>
  <c r="W599" i="10"/>
  <c r="AP599" i="10" s="1"/>
  <c r="AR599" i="10" s="1"/>
  <c r="AR600" i="10"/>
  <c r="AV596" i="10"/>
  <c r="R598" i="10"/>
  <c r="AL598" i="10" s="1"/>
  <c r="AN598" i="10" s="1"/>
  <c r="R602" i="10"/>
  <c r="AL602" i="10" s="1"/>
  <c r="AN602" i="10" s="1"/>
  <c r="AV600" i="10"/>
  <c r="W597" i="10"/>
  <c r="AP597" i="10" s="1"/>
  <c r="AR597" i="10" s="1"/>
  <c r="AV598" i="10"/>
  <c r="R599" i="10"/>
  <c r="AL599" i="10" s="1"/>
  <c r="AN599" i="10" s="1"/>
  <c r="R600" i="10"/>
  <c r="AL600" i="10" s="1"/>
  <c r="AN600" i="10" s="1"/>
  <c r="AJ600" i="10"/>
  <c r="AX600" i="10" s="1"/>
  <c r="AZ600" i="10" s="1"/>
  <c r="BB601" i="10"/>
  <c r="BD601" i="10" s="1"/>
  <c r="AW600" i="10"/>
  <c r="AV597" i="10"/>
  <c r="R596" i="10"/>
  <c r="AL596" i="10" s="1"/>
  <c r="AN596" i="10" s="1"/>
  <c r="E595" i="10"/>
  <c r="H595" i="10"/>
  <c r="BH595" i="10" s="1"/>
  <c r="I595" i="10"/>
  <c r="J595" i="10"/>
  <c r="K595" i="10"/>
  <c r="L595" i="10"/>
  <c r="M595" i="10" s="1"/>
  <c r="P595" i="10"/>
  <c r="U595" i="10" s="1"/>
  <c r="Q595" i="10"/>
  <c r="AK595" i="10" s="1"/>
  <c r="V595" i="10"/>
  <c r="AO595" i="10" s="1"/>
  <c r="W595" i="10"/>
  <c r="AP595" i="10" s="1"/>
  <c r="Z595" i="10"/>
  <c r="AA595" i="10"/>
  <c r="AS595" i="10" s="1"/>
  <c r="AB595" i="10"/>
  <c r="AT595" i="10" s="1"/>
  <c r="AH595" i="10"/>
  <c r="AI595" i="10"/>
  <c r="AM595" i="10"/>
  <c r="AQ595" i="10"/>
  <c r="AU595" i="10"/>
  <c r="AW595" i="10"/>
  <c r="AY595" i="10"/>
  <c r="BG595" i="10" s="1"/>
  <c r="BF595" i="10"/>
  <c r="BJ595" i="10"/>
  <c r="D593" i="10"/>
  <c r="D594" i="10"/>
  <c r="E594" i="10"/>
  <c r="H594" i="10"/>
  <c r="BH594" i="10" s="1"/>
  <c r="I594" i="10"/>
  <c r="J594" i="10"/>
  <c r="K594" i="10"/>
  <c r="L594" i="10"/>
  <c r="M594" i="10" s="1"/>
  <c r="P594" i="10"/>
  <c r="U594" i="10" s="1"/>
  <c r="Q594" i="10"/>
  <c r="AK594" i="10" s="1"/>
  <c r="V594" i="10"/>
  <c r="AO594" i="10" s="1"/>
  <c r="W594" i="10"/>
  <c r="AP594" i="10" s="1"/>
  <c r="Z594" i="10"/>
  <c r="AA594" i="10"/>
  <c r="AS594" i="10" s="1"/>
  <c r="AB594" i="10"/>
  <c r="AT594" i="10" s="1"/>
  <c r="AH594" i="10"/>
  <c r="AI594" i="10"/>
  <c r="AM594" i="10"/>
  <c r="AQ594" i="10"/>
  <c r="AU594" i="10"/>
  <c r="AY594" i="10"/>
  <c r="BG594" i="10" s="1"/>
  <c r="BF594" i="10"/>
  <c r="BJ594" i="10"/>
  <c r="E593" i="10"/>
  <c r="H593" i="10"/>
  <c r="BH593" i="10" s="1"/>
  <c r="I593" i="10"/>
  <c r="J593" i="10"/>
  <c r="K593" i="10"/>
  <c r="L593" i="10"/>
  <c r="M593" i="10" s="1"/>
  <c r="P593" i="10"/>
  <c r="U593" i="10" s="1"/>
  <c r="Q593" i="10"/>
  <c r="AK593" i="10" s="1"/>
  <c r="V593" i="10"/>
  <c r="AO593" i="10" s="1"/>
  <c r="W593" i="10"/>
  <c r="AP593" i="10" s="1"/>
  <c r="Z593" i="10"/>
  <c r="AA593" i="10"/>
  <c r="AS593" i="10" s="1"/>
  <c r="AB593" i="10"/>
  <c r="AT593" i="10" s="1"/>
  <c r="AH593" i="10"/>
  <c r="AI593" i="10"/>
  <c r="AW593" i="10" s="1"/>
  <c r="AM593" i="10"/>
  <c r="AQ593" i="10"/>
  <c r="AU593" i="10"/>
  <c r="AY593" i="10"/>
  <c r="BG593" i="10" s="1"/>
  <c r="BF593" i="10"/>
  <c r="BJ593" i="10"/>
  <c r="D590" i="10"/>
  <c r="E590" i="10"/>
  <c r="H590" i="10"/>
  <c r="BH590" i="10" s="1"/>
  <c r="I590" i="10"/>
  <c r="J590" i="10"/>
  <c r="K590" i="10"/>
  <c r="L590" i="10"/>
  <c r="M590" i="10" s="1"/>
  <c r="P590" i="10"/>
  <c r="U590" i="10" s="1"/>
  <c r="Q590" i="10"/>
  <c r="AK590" i="10" s="1"/>
  <c r="V590" i="10"/>
  <c r="AO590" i="10" s="1"/>
  <c r="W590" i="10"/>
  <c r="AP590" i="10" s="1"/>
  <c r="Z590" i="10"/>
  <c r="AA590" i="10"/>
  <c r="AS590" i="10" s="1"/>
  <c r="AB590" i="10"/>
  <c r="AT590" i="10" s="1"/>
  <c r="AH590" i="10"/>
  <c r="AI590" i="10"/>
  <c r="AW590" i="10" s="1"/>
  <c r="AM590" i="10"/>
  <c r="AQ590" i="10"/>
  <c r="AU590" i="10"/>
  <c r="AY590" i="10"/>
  <c r="BG590" i="10" s="1"/>
  <c r="BF590" i="10"/>
  <c r="BJ590" i="10"/>
  <c r="S591" i="10"/>
  <c r="L591" i="10" s="1"/>
  <c r="M591" i="10" s="1"/>
  <c r="D592" i="10"/>
  <c r="E592" i="10"/>
  <c r="H592" i="10"/>
  <c r="BH592" i="10" s="1"/>
  <c r="I592" i="10"/>
  <c r="J592" i="10"/>
  <c r="K592" i="10"/>
  <c r="L592" i="10"/>
  <c r="M592" i="10" s="1"/>
  <c r="P592" i="10"/>
  <c r="U592" i="10" s="1"/>
  <c r="Q592" i="10"/>
  <c r="AK592" i="10" s="1"/>
  <c r="V592" i="10"/>
  <c r="AO592" i="10" s="1"/>
  <c r="W592" i="10"/>
  <c r="AP592" i="10" s="1"/>
  <c r="Z592" i="10"/>
  <c r="AA592" i="10"/>
  <c r="AS592" i="10" s="1"/>
  <c r="AB592" i="10"/>
  <c r="AH592" i="10"/>
  <c r="AI592" i="10"/>
  <c r="AM592" i="10"/>
  <c r="AQ592" i="10"/>
  <c r="AT592" i="10"/>
  <c r="AU592" i="10"/>
  <c r="AW592" i="10"/>
  <c r="AY592" i="10"/>
  <c r="BG592" i="10" s="1"/>
  <c r="BF592" i="10"/>
  <c r="BJ592" i="10"/>
  <c r="D591" i="10"/>
  <c r="E591" i="10"/>
  <c r="H591" i="10"/>
  <c r="BH591" i="10" s="1"/>
  <c r="I591" i="10"/>
  <c r="J591" i="10"/>
  <c r="K591" i="10"/>
  <c r="P591" i="10"/>
  <c r="U591" i="10" s="1"/>
  <c r="Q591" i="10"/>
  <c r="AK591" i="10" s="1"/>
  <c r="V591" i="10"/>
  <c r="AO591" i="10" s="1"/>
  <c r="W591" i="10"/>
  <c r="AP591" i="10" s="1"/>
  <c r="Z591" i="10"/>
  <c r="AA591" i="10"/>
  <c r="AS591" i="10" s="1"/>
  <c r="AB591" i="10"/>
  <c r="AT591" i="10" s="1"/>
  <c r="AH591" i="10"/>
  <c r="AI591" i="10"/>
  <c r="AW591" i="10" s="1"/>
  <c r="AM591" i="10"/>
  <c r="AQ591" i="10"/>
  <c r="AU591" i="10"/>
  <c r="AY591" i="10"/>
  <c r="BG591" i="10" s="1"/>
  <c r="BF591" i="10"/>
  <c r="BJ591" i="10"/>
  <c r="D588" i="10"/>
  <c r="D589" i="10"/>
  <c r="E589" i="10"/>
  <c r="H589" i="10"/>
  <c r="BH589" i="10" s="1"/>
  <c r="I589" i="10"/>
  <c r="J589" i="10"/>
  <c r="K589" i="10"/>
  <c r="L589" i="10"/>
  <c r="M589" i="10" s="1"/>
  <c r="P589" i="10"/>
  <c r="U589" i="10" s="1"/>
  <c r="Q589" i="10"/>
  <c r="AK589" i="10" s="1"/>
  <c r="V589" i="10"/>
  <c r="W589" i="10"/>
  <c r="AP589" i="10" s="1"/>
  <c r="Z589" i="10"/>
  <c r="AA589" i="10"/>
  <c r="AS589" i="10" s="1"/>
  <c r="AB589" i="10"/>
  <c r="AT589" i="10" s="1"/>
  <c r="AH589" i="10"/>
  <c r="AI589" i="10"/>
  <c r="AW589" i="10" s="1"/>
  <c r="AM589" i="10"/>
  <c r="AO589" i="10"/>
  <c r="AQ589" i="10"/>
  <c r="AU589" i="10"/>
  <c r="AY589" i="10"/>
  <c r="BG589" i="10" s="1"/>
  <c r="BF589" i="10"/>
  <c r="BJ589" i="10"/>
  <c r="E588" i="10"/>
  <c r="H588" i="10"/>
  <c r="BH588" i="10" s="1"/>
  <c r="I588" i="10"/>
  <c r="J588" i="10"/>
  <c r="K588" i="10"/>
  <c r="L588" i="10"/>
  <c r="M588" i="10" s="1"/>
  <c r="P588" i="10"/>
  <c r="U588" i="10" s="1"/>
  <c r="Q588" i="10"/>
  <c r="AK588" i="10" s="1"/>
  <c r="V588" i="10"/>
  <c r="AO588" i="10" s="1"/>
  <c r="W588" i="10"/>
  <c r="AP588" i="10" s="1"/>
  <c r="Z588" i="10"/>
  <c r="AA588" i="10"/>
  <c r="AS588" i="10" s="1"/>
  <c r="AB588" i="10"/>
  <c r="AT588" i="10" s="1"/>
  <c r="AH588" i="10"/>
  <c r="AI588" i="10"/>
  <c r="AW588" i="10" s="1"/>
  <c r="AM588" i="10"/>
  <c r="AQ588" i="10"/>
  <c r="AU588" i="10"/>
  <c r="AY588" i="10"/>
  <c r="BM604" i="10" l="1"/>
  <c r="BE604" i="10"/>
  <c r="AR604" i="10"/>
  <c r="BA604" i="10" s="1"/>
  <c r="BM606" i="10"/>
  <c r="BE606" i="10"/>
  <c r="BM605" i="10"/>
  <c r="BA603" i="10"/>
  <c r="BB602" i="10"/>
  <c r="BD602" i="10" s="1"/>
  <c r="BE602" i="10" s="1"/>
  <c r="BB599" i="10"/>
  <c r="BD599" i="10" s="1"/>
  <c r="BE599" i="10" s="1"/>
  <c r="BM603" i="10"/>
  <c r="AJ591" i="10"/>
  <c r="AX591" i="10" s="1"/>
  <c r="BB591" i="10" s="1"/>
  <c r="BD591" i="10" s="1"/>
  <c r="BB597" i="10"/>
  <c r="BD597" i="10" s="1"/>
  <c r="BE597" i="10" s="1"/>
  <c r="BA602" i="10"/>
  <c r="AJ589" i="10"/>
  <c r="AX589" i="10" s="1"/>
  <c r="AZ589" i="10" s="1"/>
  <c r="R591" i="10"/>
  <c r="AL591" i="10" s="1"/>
  <c r="AN591" i="10" s="1"/>
  <c r="BA598" i="10"/>
  <c r="BA601" i="10"/>
  <c r="BB596" i="10"/>
  <c r="BD596" i="10" s="1"/>
  <c r="BE596" i="10" s="1"/>
  <c r="BE598" i="10"/>
  <c r="BM598" i="10"/>
  <c r="BB600" i="10"/>
  <c r="BD600" i="10" s="1"/>
  <c r="BE600" i="10" s="1"/>
  <c r="AJ593" i="10"/>
  <c r="AX593" i="10" s="1"/>
  <c r="AZ593" i="10" s="1"/>
  <c r="AZ598" i="10"/>
  <c r="BA600" i="10"/>
  <c r="AJ588" i="10"/>
  <c r="AX588" i="10" s="1"/>
  <c r="BB588" i="10" s="1"/>
  <c r="BM602" i="10"/>
  <c r="BA599" i="10"/>
  <c r="BA596" i="10"/>
  <c r="BM601" i="10"/>
  <c r="BE601" i="10"/>
  <c r="BA597" i="10"/>
  <c r="AV594" i="10"/>
  <c r="AR595" i="10"/>
  <c r="AV593" i="10"/>
  <c r="AR593" i="10"/>
  <c r="AR594" i="10"/>
  <c r="AV595" i="10"/>
  <c r="R595" i="10"/>
  <c r="AL595" i="10" s="1"/>
  <c r="AN595" i="10" s="1"/>
  <c r="AJ595" i="10"/>
  <c r="AX595" i="10" s="1"/>
  <c r="BB595" i="10" s="1"/>
  <c r="BD595" i="10" s="1"/>
  <c r="R593" i="10"/>
  <c r="AL593" i="10" s="1"/>
  <c r="AN593" i="10" s="1"/>
  <c r="R594" i="10"/>
  <c r="AL594" i="10" s="1"/>
  <c r="AN594" i="10" s="1"/>
  <c r="AJ594" i="10"/>
  <c r="AX594" i="10" s="1"/>
  <c r="AZ594" i="10" s="1"/>
  <c r="AV590" i="10"/>
  <c r="AW594" i="10"/>
  <c r="R588" i="10"/>
  <c r="AL588" i="10" s="1"/>
  <c r="AN588" i="10" s="1"/>
  <c r="AV588" i="10"/>
  <c r="AR592" i="10"/>
  <c r="AJ590" i="10"/>
  <c r="AX590" i="10" s="1"/>
  <c r="BB590" i="10" s="1"/>
  <c r="BD590" i="10" s="1"/>
  <c r="BM590" i="10" s="1"/>
  <c r="AR590" i="10"/>
  <c r="AV591" i="10"/>
  <c r="AV592" i="10"/>
  <c r="R590" i="10"/>
  <c r="AL590" i="10" s="1"/>
  <c r="AN590" i="10" s="1"/>
  <c r="R592" i="10"/>
  <c r="AL592" i="10" s="1"/>
  <c r="AN592" i="10" s="1"/>
  <c r="AJ592" i="10"/>
  <c r="AX592" i="10" s="1"/>
  <c r="AZ592" i="10" s="1"/>
  <c r="AR591" i="10"/>
  <c r="AR589" i="10"/>
  <c r="AZ591" i="10"/>
  <c r="AR588" i="10"/>
  <c r="AV589" i="10"/>
  <c r="R589" i="10"/>
  <c r="AL589" i="10" s="1"/>
  <c r="AN589" i="10" s="1"/>
  <c r="BM599" i="10" l="1"/>
  <c r="BB589" i="10"/>
  <c r="BD589" i="10" s="1"/>
  <c r="BM589" i="10" s="1"/>
  <c r="BM597" i="10"/>
  <c r="BM596" i="10"/>
  <c r="AZ588" i="10"/>
  <c r="BM600" i="10"/>
  <c r="BB593" i="10"/>
  <c r="BD593" i="10" s="1"/>
  <c r="BM593" i="10" s="1"/>
  <c r="BB594" i="10"/>
  <c r="BD594" i="10" s="1"/>
  <c r="BM594" i="10" s="1"/>
  <c r="BA594" i="10"/>
  <c r="BA595" i="10"/>
  <c r="AZ595" i="10"/>
  <c r="BA593" i="10"/>
  <c r="AZ590" i="10"/>
  <c r="BM595" i="10"/>
  <c r="BE595" i="10"/>
  <c r="BA591" i="10"/>
  <c r="BB592" i="10"/>
  <c r="BD592" i="10" s="1"/>
  <c r="BM592" i="10" s="1"/>
  <c r="BA590" i="10"/>
  <c r="BA588" i="10"/>
  <c r="BA592" i="10"/>
  <c r="BE590" i="10"/>
  <c r="BA589" i="10"/>
  <c r="BM591" i="10"/>
  <c r="BE591" i="10"/>
  <c r="BE589" i="10"/>
  <c r="BC588" i="10" l="1"/>
  <c r="BD588" i="10" s="1"/>
  <c r="BE593" i="10"/>
  <c r="BE594" i="10"/>
  <c r="BE592" i="10"/>
  <c r="BE588" i="10"/>
  <c r="BM588" i="10"/>
  <c r="BJ588" i="10"/>
  <c r="BG588" i="10"/>
  <c r="S584" i="10"/>
  <c r="L584" i="10" s="1"/>
  <c r="M584" i="10" s="1"/>
  <c r="D586" i="10"/>
  <c r="D587" i="10"/>
  <c r="E587" i="10"/>
  <c r="H587" i="10"/>
  <c r="BH587" i="10" s="1"/>
  <c r="I587" i="10"/>
  <c r="J587" i="10"/>
  <c r="K587" i="10"/>
  <c r="L587" i="10"/>
  <c r="M587" i="10" s="1"/>
  <c r="P587" i="10"/>
  <c r="U587" i="10" s="1"/>
  <c r="Q587" i="10"/>
  <c r="AK587" i="10" s="1"/>
  <c r="V587" i="10"/>
  <c r="AO587" i="10" s="1"/>
  <c r="W587" i="10"/>
  <c r="AP587" i="10" s="1"/>
  <c r="Z587" i="10"/>
  <c r="AA587" i="10"/>
  <c r="AS587" i="10" s="1"/>
  <c r="AB587" i="10"/>
  <c r="AT587" i="10" s="1"/>
  <c r="AH587" i="10"/>
  <c r="AI587" i="10"/>
  <c r="AM587" i="10"/>
  <c r="AQ587" i="10"/>
  <c r="AU587" i="10"/>
  <c r="AY587" i="10"/>
  <c r="BG587" i="10" s="1"/>
  <c r="BF587" i="10"/>
  <c r="BJ587" i="10"/>
  <c r="E586" i="10"/>
  <c r="H586" i="10"/>
  <c r="BH586" i="10" s="1"/>
  <c r="I586" i="10"/>
  <c r="J586" i="10"/>
  <c r="K586" i="10"/>
  <c r="L586" i="10"/>
  <c r="M586" i="10" s="1"/>
  <c r="P586" i="10"/>
  <c r="U586" i="10" s="1"/>
  <c r="Q586" i="10"/>
  <c r="AK586" i="10" s="1"/>
  <c r="V586" i="10"/>
  <c r="AO586" i="10" s="1"/>
  <c r="W586" i="10"/>
  <c r="AP586" i="10" s="1"/>
  <c r="Z586" i="10"/>
  <c r="AA586" i="10"/>
  <c r="AS586" i="10" s="1"/>
  <c r="AB586" i="10"/>
  <c r="AT586" i="10" s="1"/>
  <c r="AH586" i="10"/>
  <c r="AI586" i="10"/>
  <c r="AM586" i="10"/>
  <c r="AQ586" i="10"/>
  <c r="AU586" i="10"/>
  <c r="AW586" i="10"/>
  <c r="AY586" i="10"/>
  <c r="BG586" i="10" s="1"/>
  <c r="BF586" i="10"/>
  <c r="BJ586" i="10"/>
  <c r="D585" i="10"/>
  <c r="E585" i="10"/>
  <c r="H585" i="10"/>
  <c r="BH585" i="10" s="1"/>
  <c r="I585" i="10"/>
  <c r="J585" i="10"/>
  <c r="K585" i="10"/>
  <c r="L585" i="10"/>
  <c r="M585" i="10" s="1"/>
  <c r="P585" i="10"/>
  <c r="U585" i="10" s="1"/>
  <c r="V585" i="10" s="1"/>
  <c r="AO585" i="10" s="1"/>
  <c r="Q585" i="10"/>
  <c r="Z585" i="10"/>
  <c r="AA585" i="10"/>
  <c r="AS585" i="10" s="1"/>
  <c r="AB585" i="10"/>
  <c r="AT585" i="10" s="1"/>
  <c r="AH585" i="10"/>
  <c r="AI585" i="10"/>
  <c r="AW585" i="10" s="1"/>
  <c r="AM585" i="10"/>
  <c r="AQ585" i="10"/>
  <c r="AU585" i="10"/>
  <c r="AY585" i="10"/>
  <c r="BG585" i="10" s="1"/>
  <c r="BF585" i="10"/>
  <c r="BJ585" i="10"/>
  <c r="D584" i="10"/>
  <c r="E584" i="10"/>
  <c r="H584" i="10"/>
  <c r="BH584" i="10" s="1"/>
  <c r="I584" i="10"/>
  <c r="J584" i="10"/>
  <c r="K584" i="10"/>
  <c r="P584" i="10"/>
  <c r="U584" i="10" s="1"/>
  <c r="V584" i="10" s="1"/>
  <c r="AO584" i="10" s="1"/>
  <c r="Q584" i="10"/>
  <c r="AK584" i="10" s="1"/>
  <c r="Z584" i="10"/>
  <c r="AA584" i="10"/>
  <c r="AB584" i="10"/>
  <c r="AT584" i="10" s="1"/>
  <c r="AH584" i="10"/>
  <c r="AI584" i="10"/>
  <c r="AM584" i="10"/>
  <c r="AQ584" i="10"/>
  <c r="AS584" i="10"/>
  <c r="AU584" i="10"/>
  <c r="AY584" i="10"/>
  <c r="D580" i="10"/>
  <c r="D581" i="10"/>
  <c r="D582" i="10"/>
  <c r="D583" i="10"/>
  <c r="E583" i="10"/>
  <c r="H583" i="10"/>
  <c r="BH583" i="10" s="1"/>
  <c r="I583" i="10"/>
  <c r="J583" i="10"/>
  <c r="K583" i="10"/>
  <c r="L583" i="10"/>
  <c r="M583" i="10"/>
  <c r="P583" i="10"/>
  <c r="Q583" i="10"/>
  <c r="AK583" i="10" s="1"/>
  <c r="U583" i="10"/>
  <c r="V583" i="10"/>
  <c r="AO583" i="10" s="1"/>
  <c r="W583" i="10"/>
  <c r="AP583" i="10" s="1"/>
  <c r="Z583" i="10"/>
  <c r="AA583" i="10"/>
  <c r="AS583" i="10" s="1"/>
  <c r="AB583" i="10"/>
  <c r="AT583" i="10" s="1"/>
  <c r="AH583" i="10"/>
  <c r="AI583" i="10"/>
  <c r="AW583" i="10" s="1"/>
  <c r="AM583" i="10"/>
  <c r="AQ583" i="10"/>
  <c r="AU583" i="10"/>
  <c r="AY583" i="10"/>
  <c r="BG583" i="10" s="1"/>
  <c r="BF583" i="10"/>
  <c r="BJ583" i="10"/>
  <c r="E582" i="10"/>
  <c r="H582" i="10"/>
  <c r="BH582" i="10" s="1"/>
  <c r="I582" i="10"/>
  <c r="J582" i="10"/>
  <c r="K582" i="10"/>
  <c r="L582" i="10"/>
  <c r="M582" i="10" s="1"/>
  <c r="P582" i="10"/>
  <c r="U582" i="10" s="1"/>
  <c r="Q582" i="10"/>
  <c r="AK582" i="10" s="1"/>
  <c r="V582" i="10"/>
  <c r="AO582" i="10" s="1"/>
  <c r="W582" i="10"/>
  <c r="AP582" i="10" s="1"/>
  <c r="Z582" i="10"/>
  <c r="AA582" i="10"/>
  <c r="AB582" i="10"/>
  <c r="AT582" i="10" s="1"/>
  <c r="AH582" i="10"/>
  <c r="AI582" i="10"/>
  <c r="AW582" i="10" s="1"/>
  <c r="AM582" i="10"/>
  <c r="AQ582" i="10"/>
  <c r="AS582" i="10"/>
  <c r="AU582" i="10"/>
  <c r="AY582" i="10"/>
  <c r="BG582" i="10" s="1"/>
  <c r="BF582" i="10"/>
  <c r="BJ582" i="10"/>
  <c r="E581" i="10"/>
  <c r="H581" i="10"/>
  <c r="BH581" i="10" s="1"/>
  <c r="I581" i="10"/>
  <c r="J581" i="10"/>
  <c r="K581" i="10"/>
  <c r="L581" i="10"/>
  <c r="M581" i="10"/>
  <c r="P581" i="10"/>
  <c r="U581" i="10" s="1"/>
  <c r="Q581" i="10"/>
  <c r="AK581" i="10" s="1"/>
  <c r="V581" i="10"/>
  <c r="AO581" i="10" s="1"/>
  <c r="W581" i="10"/>
  <c r="AP581" i="10" s="1"/>
  <c r="Z581" i="10"/>
  <c r="AA581" i="10"/>
  <c r="AS581" i="10" s="1"/>
  <c r="AB581" i="10"/>
  <c r="AT581" i="10" s="1"/>
  <c r="AH581" i="10"/>
  <c r="AI581" i="10"/>
  <c r="AW581" i="10" s="1"/>
  <c r="AM581" i="10"/>
  <c r="AQ581" i="10"/>
  <c r="AU581" i="10"/>
  <c r="AY581" i="10"/>
  <c r="BG581" i="10" s="1"/>
  <c r="BF581" i="10"/>
  <c r="BJ581" i="10"/>
  <c r="E580" i="10"/>
  <c r="H580" i="10"/>
  <c r="BH580" i="10" s="1"/>
  <c r="I580" i="10"/>
  <c r="J580" i="10"/>
  <c r="K580" i="10"/>
  <c r="L580" i="10"/>
  <c r="M580" i="10" s="1"/>
  <c r="P580" i="10"/>
  <c r="U580" i="10" s="1"/>
  <c r="Q580" i="10"/>
  <c r="AK580" i="10" s="1"/>
  <c r="V580" i="10"/>
  <c r="AO580" i="10" s="1"/>
  <c r="W580" i="10"/>
  <c r="AP580" i="10" s="1"/>
  <c r="Z580" i="10"/>
  <c r="AA580" i="10"/>
  <c r="AS580" i="10" s="1"/>
  <c r="AB580" i="10"/>
  <c r="AT580" i="10" s="1"/>
  <c r="AH580" i="10"/>
  <c r="AI580" i="10"/>
  <c r="AM580" i="10"/>
  <c r="AQ580" i="10"/>
  <c r="AU580" i="10"/>
  <c r="AW580" i="10"/>
  <c r="AY580" i="10"/>
  <c r="BG580" i="10" s="1"/>
  <c r="BF580" i="10"/>
  <c r="BJ580" i="10"/>
  <c r="S578" i="10"/>
  <c r="D574" i="10"/>
  <c r="E574" i="10"/>
  <c r="H574" i="10"/>
  <c r="BH574" i="10" s="1"/>
  <c r="I574" i="10"/>
  <c r="J574" i="10"/>
  <c r="K574" i="10"/>
  <c r="L574" i="10"/>
  <c r="M574" i="10" s="1"/>
  <c r="P574" i="10"/>
  <c r="U574" i="10" s="1"/>
  <c r="V574" i="10" s="1"/>
  <c r="AO574" i="10" s="1"/>
  <c r="Q574" i="10"/>
  <c r="Z574" i="10"/>
  <c r="AA574" i="10"/>
  <c r="AS574" i="10" s="1"/>
  <c r="AB574" i="10"/>
  <c r="AT574" i="10" s="1"/>
  <c r="AH574" i="10"/>
  <c r="AI574" i="10" s="1"/>
  <c r="AM574" i="10"/>
  <c r="AQ574" i="10"/>
  <c r="AU574" i="10"/>
  <c r="AY574" i="10"/>
  <c r="BG574" i="10" s="1"/>
  <c r="BF574" i="10"/>
  <c r="BJ574" i="10"/>
  <c r="D578" i="10"/>
  <c r="D579" i="10"/>
  <c r="E579" i="10"/>
  <c r="H579" i="10"/>
  <c r="BH579" i="10" s="1"/>
  <c r="I579" i="10"/>
  <c r="J579" i="10"/>
  <c r="K579" i="10"/>
  <c r="L579" i="10"/>
  <c r="M579" i="10"/>
  <c r="P579" i="10"/>
  <c r="U579" i="10" s="1"/>
  <c r="Q579" i="10"/>
  <c r="AK579" i="10" s="1"/>
  <c r="Z579" i="10"/>
  <c r="AA579" i="10"/>
  <c r="AS579" i="10" s="1"/>
  <c r="AB579" i="10"/>
  <c r="AT579" i="10" s="1"/>
  <c r="AH579" i="10"/>
  <c r="AI579" i="10" s="1"/>
  <c r="AW579" i="10" s="1"/>
  <c r="AM579" i="10"/>
  <c r="AQ579" i="10"/>
  <c r="AU579" i="10"/>
  <c r="AY579" i="10"/>
  <c r="BG579" i="10" s="1"/>
  <c r="BF579" i="10"/>
  <c r="BJ579" i="10"/>
  <c r="E578" i="10"/>
  <c r="H578" i="10"/>
  <c r="BH578" i="10" s="1"/>
  <c r="I578" i="10"/>
  <c r="J578" i="10"/>
  <c r="K578" i="10"/>
  <c r="L578" i="10"/>
  <c r="M578" i="10" s="1"/>
  <c r="P578" i="10"/>
  <c r="U578" i="10" s="1"/>
  <c r="V578" i="10" s="1"/>
  <c r="AO578" i="10" s="1"/>
  <c r="Q578" i="10"/>
  <c r="AK578" i="10" s="1"/>
  <c r="Z578" i="10"/>
  <c r="AA578" i="10"/>
  <c r="AS578" i="10" s="1"/>
  <c r="AB578" i="10"/>
  <c r="AT578" i="10" s="1"/>
  <c r="AH578" i="10"/>
  <c r="AI578" i="10" s="1"/>
  <c r="AW578" i="10" s="1"/>
  <c r="AM578" i="10"/>
  <c r="AQ578" i="10"/>
  <c r="AU578" i="10"/>
  <c r="AY578" i="10"/>
  <c r="BG578" i="10" s="1"/>
  <c r="BF578" i="10"/>
  <c r="BJ578" i="10"/>
  <c r="D576" i="10"/>
  <c r="D577" i="10"/>
  <c r="E577" i="10"/>
  <c r="H577" i="10"/>
  <c r="BH577" i="10" s="1"/>
  <c r="I577" i="10"/>
  <c r="J577" i="10"/>
  <c r="K577" i="10"/>
  <c r="L577" i="10"/>
  <c r="M577" i="10" s="1"/>
  <c r="P577" i="10"/>
  <c r="U577" i="10" s="1"/>
  <c r="Q577" i="10"/>
  <c r="AK577" i="10" s="1"/>
  <c r="V577" i="10"/>
  <c r="AO577" i="10" s="1"/>
  <c r="W577" i="10"/>
  <c r="AP577" i="10" s="1"/>
  <c r="Z577" i="10"/>
  <c r="AA577" i="10"/>
  <c r="AS577" i="10" s="1"/>
  <c r="AB577" i="10"/>
  <c r="AT577" i="10" s="1"/>
  <c r="AH577" i="10"/>
  <c r="AI577" i="10"/>
  <c r="AM577" i="10"/>
  <c r="AQ577" i="10"/>
  <c r="AU577" i="10"/>
  <c r="AY577" i="10"/>
  <c r="BG577" i="10" s="1"/>
  <c r="BF577" i="10"/>
  <c r="BJ577" i="10"/>
  <c r="E576" i="10"/>
  <c r="H576" i="10"/>
  <c r="BH576" i="10" s="1"/>
  <c r="I576" i="10"/>
  <c r="J576" i="10"/>
  <c r="K576" i="10"/>
  <c r="L576" i="10"/>
  <c r="M576" i="10" s="1"/>
  <c r="P576" i="10"/>
  <c r="U576" i="10" s="1"/>
  <c r="Q576" i="10"/>
  <c r="AK576" i="10" s="1"/>
  <c r="V576" i="10"/>
  <c r="AO576" i="10" s="1"/>
  <c r="W576" i="10"/>
  <c r="AP576" i="10" s="1"/>
  <c r="Z576" i="10"/>
  <c r="AA576" i="10"/>
  <c r="AS576" i="10" s="1"/>
  <c r="AB576" i="10"/>
  <c r="AT576" i="10" s="1"/>
  <c r="AH576" i="10"/>
  <c r="AI576" i="10"/>
  <c r="AM576" i="10"/>
  <c r="AQ576" i="10"/>
  <c r="AU576" i="10"/>
  <c r="AY576" i="10"/>
  <c r="BG576" i="10" s="1"/>
  <c r="BF576" i="10"/>
  <c r="BJ576" i="10"/>
  <c r="D575" i="10"/>
  <c r="E575" i="10"/>
  <c r="H575" i="10"/>
  <c r="BH575" i="10" s="1"/>
  <c r="I575" i="10"/>
  <c r="J575" i="10"/>
  <c r="K575" i="10"/>
  <c r="L575" i="10"/>
  <c r="M575" i="10" s="1"/>
  <c r="P575" i="10"/>
  <c r="U575" i="10" s="1"/>
  <c r="V575" i="10" s="1"/>
  <c r="AO575" i="10" s="1"/>
  <c r="Q575" i="10"/>
  <c r="AK575" i="10" s="1"/>
  <c r="Z575" i="10"/>
  <c r="AA575" i="10"/>
  <c r="AS575" i="10" s="1"/>
  <c r="AB575" i="10"/>
  <c r="AT575" i="10" s="1"/>
  <c r="AH575" i="10"/>
  <c r="AI575" i="10" s="1"/>
  <c r="AW575" i="10" s="1"/>
  <c r="AM575" i="10"/>
  <c r="AQ575" i="10"/>
  <c r="AU575" i="10"/>
  <c r="AY575" i="10"/>
  <c r="BG575" i="10" s="1"/>
  <c r="BF575" i="10"/>
  <c r="BJ575" i="10"/>
  <c r="D572" i="10"/>
  <c r="D573" i="10"/>
  <c r="D571" i="10"/>
  <c r="E571" i="10"/>
  <c r="H571" i="10"/>
  <c r="BH571" i="10" s="1"/>
  <c r="I571" i="10"/>
  <c r="J571" i="10"/>
  <c r="K571" i="10"/>
  <c r="L571" i="10"/>
  <c r="M571" i="10" s="1"/>
  <c r="P571" i="10"/>
  <c r="U571" i="10" s="1"/>
  <c r="Q571" i="10"/>
  <c r="V571" i="10"/>
  <c r="AO571" i="10" s="1"/>
  <c r="W571" i="10"/>
  <c r="AP571" i="10" s="1"/>
  <c r="Z571" i="10"/>
  <c r="AA571" i="10"/>
  <c r="AS571" i="10" s="1"/>
  <c r="AB571" i="10"/>
  <c r="AT571" i="10" s="1"/>
  <c r="AH571" i="10"/>
  <c r="AI571" i="10"/>
  <c r="AM571" i="10"/>
  <c r="AQ571" i="10"/>
  <c r="AU571" i="10"/>
  <c r="AY571" i="10"/>
  <c r="BG571" i="10" s="1"/>
  <c r="BF571" i="10"/>
  <c r="BJ571" i="10"/>
  <c r="E573" i="10"/>
  <c r="H573" i="10"/>
  <c r="BH573" i="10" s="1"/>
  <c r="I573" i="10"/>
  <c r="J573" i="10"/>
  <c r="K573" i="10"/>
  <c r="L573" i="10"/>
  <c r="M573" i="10" s="1"/>
  <c r="P573" i="10"/>
  <c r="U573" i="10" s="1"/>
  <c r="V573" i="10" s="1"/>
  <c r="AO573" i="10" s="1"/>
  <c r="Q573" i="10"/>
  <c r="AK573" i="10" s="1"/>
  <c r="Z573" i="10"/>
  <c r="AA573" i="10"/>
  <c r="AS573" i="10" s="1"/>
  <c r="AB573" i="10"/>
  <c r="AT573" i="10" s="1"/>
  <c r="AH573" i="10"/>
  <c r="AI573" i="10"/>
  <c r="AM573" i="10"/>
  <c r="AQ573" i="10"/>
  <c r="AU573" i="10"/>
  <c r="AY573" i="10"/>
  <c r="BG573" i="10" s="1"/>
  <c r="BF573" i="10"/>
  <c r="BJ573" i="10"/>
  <c r="E572" i="10"/>
  <c r="H572" i="10"/>
  <c r="BH572" i="10" s="1"/>
  <c r="I572" i="10"/>
  <c r="J572" i="10"/>
  <c r="K572" i="10"/>
  <c r="L572" i="10"/>
  <c r="M572" i="10" s="1"/>
  <c r="P572" i="10"/>
  <c r="U572" i="10" s="1"/>
  <c r="V572" i="10" s="1"/>
  <c r="AO572" i="10" s="1"/>
  <c r="Q572" i="10"/>
  <c r="AK572" i="10" s="1"/>
  <c r="Z572" i="10"/>
  <c r="AA572" i="10"/>
  <c r="AS572" i="10" s="1"/>
  <c r="AB572" i="10"/>
  <c r="AT572" i="10" s="1"/>
  <c r="AH572" i="10"/>
  <c r="AI572" i="10"/>
  <c r="AW572" i="10" s="1"/>
  <c r="AM572" i="10"/>
  <c r="AQ572" i="10"/>
  <c r="AU572" i="10"/>
  <c r="AY572" i="10"/>
  <c r="S570" i="10"/>
  <c r="L570" i="10" s="1"/>
  <c r="F570" i="10"/>
  <c r="D570" i="10"/>
  <c r="E570" i="10"/>
  <c r="H570" i="10"/>
  <c r="BH570" i="10" s="1"/>
  <c r="I570" i="10"/>
  <c r="J570" i="10"/>
  <c r="K570" i="10"/>
  <c r="P570" i="10"/>
  <c r="Q570" i="10"/>
  <c r="AK570" i="10" s="1"/>
  <c r="Z570" i="10"/>
  <c r="AA570" i="10"/>
  <c r="AS570" i="10" s="1"/>
  <c r="AB570" i="10"/>
  <c r="AT570" i="10" s="1"/>
  <c r="AH570" i="10"/>
  <c r="AI570" i="10" s="1"/>
  <c r="AM570" i="10"/>
  <c r="AQ570" i="10"/>
  <c r="AU570" i="10"/>
  <c r="AY570" i="10"/>
  <c r="BG570" i="10" s="1"/>
  <c r="BF570" i="10"/>
  <c r="BJ570" i="10"/>
  <c r="D569" i="10"/>
  <c r="F567" i="10"/>
  <c r="E569" i="10"/>
  <c r="H569" i="10"/>
  <c r="BH569" i="10" s="1"/>
  <c r="I569" i="10"/>
  <c r="J569" i="10"/>
  <c r="K569" i="10"/>
  <c r="L569" i="10"/>
  <c r="M569" i="10" s="1"/>
  <c r="P569" i="10"/>
  <c r="U569" i="10" s="1"/>
  <c r="V569" i="10" s="1"/>
  <c r="AO569" i="10" s="1"/>
  <c r="Q569" i="10"/>
  <c r="AK569" i="10" s="1"/>
  <c r="Z569" i="10"/>
  <c r="AA569" i="10"/>
  <c r="AS569" i="10" s="1"/>
  <c r="AB569" i="10"/>
  <c r="AT569" i="10" s="1"/>
  <c r="AH569" i="10"/>
  <c r="AI569" i="10" s="1"/>
  <c r="AW569" i="10" s="1"/>
  <c r="AM569" i="10"/>
  <c r="AQ569" i="10"/>
  <c r="AU569" i="10"/>
  <c r="AY569" i="10"/>
  <c r="BG569" i="10" s="1"/>
  <c r="BF569" i="10"/>
  <c r="BJ569" i="10"/>
  <c r="D567" i="10"/>
  <c r="D568" i="10"/>
  <c r="E568" i="10"/>
  <c r="H568" i="10"/>
  <c r="BH568" i="10" s="1"/>
  <c r="I568" i="10"/>
  <c r="J568" i="10"/>
  <c r="K568" i="10"/>
  <c r="L568" i="10"/>
  <c r="M568" i="10" s="1"/>
  <c r="P568" i="10"/>
  <c r="U568" i="10" s="1"/>
  <c r="Q568" i="10"/>
  <c r="AK568" i="10" s="1"/>
  <c r="Z568" i="10"/>
  <c r="AA568" i="10"/>
  <c r="AS568" i="10" s="1"/>
  <c r="AB568" i="10"/>
  <c r="AT568" i="10" s="1"/>
  <c r="AH568" i="10"/>
  <c r="AI568" i="10" s="1"/>
  <c r="AM568" i="10"/>
  <c r="AQ568" i="10"/>
  <c r="AU568" i="10"/>
  <c r="AY568" i="10"/>
  <c r="BG568" i="10" s="1"/>
  <c r="BF568" i="10"/>
  <c r="BJ568" i="10"/>
  <c r="E567" i="10"/>
  <c r="H567" i="10"/>
  <c r="BH567" i="10" s="1"/>
  <c r="I567" i="10"/>
  <c r="J567" i="10"/>
  <c r="K567" i="10"/>
  <c r="L567" i="10"/>
  <c r="P567" i="10"/>
  <c r="Q567" i="10"/>
  <c r="AK567" i="10" s="1"/>
  <c r="Z567" i="10"/>
  <c r="AA567" i="10"/>
  <c r="AS567" i="10" s="1"/>
  <c r="AB567" i="10"/>
  <c r="AT567" i="10" s="1"/>
  <c r="AH567" i="10"/>
  <c r="AI567" i="10" s="1"/>
  <c r="AM567" i="10"/>
  <c r="AQ567" i="10"/>
  <c r="AU567" i="10"/>
  <c r="AY567" i="10"/>
  <c r="D566" i="10"/>
  <c r="E566" i="10"/>
  <c r="H566" i="10"/>
  <c r="BH566" i="10" s="1"/>
  <c r="I566" i="10"/>
  <c r="J566" i="10"/>
  <c r="K566" i="10"/>
  <c r="L566" i="10"/>
  <c r="M566" i="10" s="1"/>
  <c r="P566" i="10"/>
  <c r="U566" i="10" s="1"/>
  <c r="Q566" i="10"/>
  <c r="AK566" i="10" s="1"/>
  <c r="V566" i="10"/>
  <c r="AO566" i="10" s="1"/>
  <c r="W566" i="10"/>
  <c r="AP566" i="10" s="1"/>
  <c r="Z566" i="10"/>
  <c r="AA566" i="10"/>
  <c r="AS566" i="10" s="1"/>
  <c r="AB566" i="10"/>
  <c r="AT566" i="10" s="1"/>
  <c r="AH566" i="10"/>
  <c r="AI566" i="10"/>
  <c r="AW566" i="10" s="1"/>
  <c r="AM566" i="10"/>
  <c r="AQ566" i="10"/>
  <c r="AU566" i="10"/>
  <c r="AY566" i="10"/>
  <c r="BG566" i="10" s="1"/>
  <c r="BF566" i="10"/>
  <c r="BJ566" i="10"/>
  <c r="BF588" i="10" l="1"/>
  <c r="AJ582" i="10"/>
  <c r="AX582" i="10" s="1"/>
  <c r="W584" i="10"/>
  <c r="AP584" i="10" s="1"/>
  <c r="AR584" i="10" s="1"/>
  <c r="W585" i="10"/>
  <c r="AP585" i="10" s="1"/>
  <c r="AJ586" i="10"/>
  <c r="AX586" i="10" s="1"/>
  <c r="BB586" i="10" s="1"/>
  <c r="BD586" i="10" s="1"/>
  <c r="R585" i="10"/>
  <c r="AL585" i="10" s="1"/>
  <c r="AN585" i="10" s="1"/>
  <c r="AJ580" i="10"/>
  <c r="AX580" i="10" s="1"/>
  <c r="BB580" i="10" s="1"/>
  <c r="BD580" i="10" s="1"/>
  <c r="BM580" i="10" s="1"/>
  <c r="R581" i="10"/>
  <c r="AL581" i="10" s="1"/>
  <c r="AN581" i="10" s="1"/>
  <c r="R574" i="10"/>
  <c r="AL574" i="10" s="1"/>
  <c r="AN574" i="10" s="1"/>
  <c r="AR587" i="10"/>
  <c r="AV585" i="10"/>
  <c r="AV581" i="10"/>
  <c r="AR586" i="10"/>
  <c r="AV586" i="10"/>
  <c r="AV587" i="10"/>
  <c r="R587" i="10"/>
  <c r="AL587" i="10" s="1"/>
  <c r="AN587" i="10" s="1"/>
  <c r="R586" i="10"/>
  <c r="AL586" i="10" s="1"/>
  <c r="AN586" i="10" s="1"/>
  <c r="R580" i="10"/>
  <c r="AL580" i="10" s="1"/>
  <c r="AN580" i="10" s="1"/>
  <c r="AJ587" i="10"/>
  <c r="AX587" i="10" s="1"/>
  <c r="AZ587" i="10" s="1"/>
  <c r="AW587" i="10"/>
  <c r="AR583" i="10"/>
  <c r="R584" i="10"/>
  <c r="AL584" i="10" s="1"/>
  <c r="AN584" i="10" s="1"/>
  <c r="AK585" i="10"/>
  <c r="AR585" i="10"/>
  <c r="AJ585" i="10"/>
  <c r="AX585" i="10" s="1"/>
  <c r="BB585" i="10" s="1"/>
  <c r="AV584" i="10"/>
  <c r="AV583" i="10"/>
  <c r="AJ584" i="10"/>
  <c r="AX584" i="10" s="1"/>
  <c r="AW584" i="10"/>
  <c r="W579" i="10"/>
  <c r="AP579" i="10" s="1"/>
  <c r="AR579" i="10" s="1"/>
  <c r="R583" i="10"/>
  <c r="AL583" i="10" s="1"/>
  <c r="AN583" i="10" s="1"/>
  <c r="R582" i="10"/>
  <c r="AL582" i="10" s="1"/>
  <c r="AN582" i="10" s="1"/>
  <c r="AJ583" i="10"/>
  <c r="AX583" i="10" s="1"/>
  <c r="BB583" i="10" s="1"/>
  <c r="BD583" i="10" s="1"/>
  <c r="AV582" i="10"/>
  <c r="AR581" i="10"/>
  <c r="AR582" i="10"/>
  <c r="BB582" i="10"/>
  <c r="BD582" i="10" s="1"/>
  <c r="AZ582" i="10"/>
  <c r="AR580" i="10"/>
  <c r="AJ581" i="10"/>
  <c r="AX581" i="10" s="1"/>
  <c r="BB581" i="10" s="1"/>
  <c r="BD581" i="10" s="1"/>
  <c r="AV579" i="10"/>
  <c r="AV580" i="10"/>
  <c r="AK574" i="10"/>
  <c r="AJ572" i="10"/>
  <c r="AX572" i="10" s="1"/>
  <c r="AZ572" i="10" s="1"/>
  <c r="AV574" i="10"/>
  <c r="U570" i="10"/>
  <c r="V570" i="10" s="1"/>
  <c r="AO570" i="10" s="1"/>
  <c r="AJ576" i="10"/>
  <c r="AX576" i="10" s="1"/>
  <c r="AZ576" i="10" s="1"/>
  <c r="R579" i="10"/>
  <c r="AL579" i="10" s="1"/>
  <c r="AN579" i="10" s="1"/>
  <c r="AJ574" i="10"/>
  <c r="AX574" i="10" s="1"/>
  <c r="AW574" i="10"/>
  <c r="M570" i="10"/>
  <c r="V579" i="10"/>
  <c r="AO579" i="10" s="1"/>
  <c r="W574" i="10"/>
  <c r="AP574" i="10" s="1"/>
  <c r="AR574" i="10" s="1"/>
  <c r="AR577" i="10"/>
  <c r="AV578" i="10"/>
  <c r="R578" i="10"/>
  <c r="AL578" i="10" s="1"/>
  <c r="AN578" i="10" s="1"/>
  <c r="AJ575" i="10"/>
  <c r="AX575" i="10" s="1"/>
  <c r="AZ575" i="10" s="1"/>
  <c r="W575" i="10"/>
  <c r="AP575" i="10" s="1"/>
  <c r="AR575" i="10" s="1"/>
  <c r="M567" i="10"/>
  <c r="W573" i="10"/>
  <c r="AP573" i="10" s="1"/>
  <c r="AR573" i="10" s="1"/>
  <c r="W578" i="10"/>
  <c r="AP578" i="10" s="1"/>
  <c r="AR578" i="10" s="1"/>
  <c r="AJ578" i="10"/>
  <c r="AX578" i="10" s="1"/>
  <c r="AZ578" i="10" s="1"/>
  <c r="AJ579" i="10"/>
  <c r="AX579" i="10" s="1"/>
  <c r="AZ579" i="10" s="1"/>
  <c r="R577" i="10"/>
  <c r="AL577" i="10" s="1"/>
  <c r="AN577" i="10" s="1"/>
  <c r="R576" i="10"/>
  <c r="AL576" i="10" s="1"/>
  <c r="AN576" i="10" s="1"/>
  <c r="AJ577" i="10"/>
  <c r="AX577" i="10" s="1"/>
  <c r="AZ577" i="10" s="1"/>
  <c r="AR576" i="10"/>
  <c r="AV575" i="10"/>
  <c r="AV577" i="10"/>
  <c r="AV576" i="10"/>
  <c r="AW577" i="10"/>
  <c r="AJ571" i="10"/>
  <c r="AX571" i="10" s="1"/>
  <c r="BB571" i="10" s="1"/>
  <c r="BD571" i="10" s="1"/>
  <c r="AW576" i="10"/>
  <c r="R571" i="10"/>
  <c r="AL571" i="10" s="1"/>
  <c r="AN571" i="10" s="1"/>
  <c r="R575" i="10"/>
  <c r="AL575" i="10" s="1"/>
  <c r="AN575" i="10" s="1"/>
  <c r="AV572" i="10"/>
  <c r="AR571" i="10"/>
  <c r="AV571" i="10"/>
  <c r="R573" i="10"/>
  <c r="AL573" i="10" s="1"/>
  <c r="AN573" i="10" s="1"/>
  <c r="R572" i="10"/>
  <c r="AL572" i="10" s="1"/>
  <c r="AN572" i="10" s="1"/>
  <c r="AW571" i="10"/>
  <c r="AK571" i="10"/>
  <c r="W572" i="10"/>
  <c r="AP572" i="10" s="1"/>
  <c r="AV573" i="10"/>
  <c r="AJ573" i="10"/>
  <c r="AX573" i="10" s="1"/>
  <c r="AW573" i="10"/>
  <c r="W568" i="10"/>
  <c r="AP568" i="10" s="1"/>
  <c r="AR568" i="10" s="1"/>
  <c r="W569" i="10"/>
  <c r="AP569" i="10" s="1"/>
  <c r="AR569" i="10" s="1"/>
  <c r="V568" i="10"/>
  <c r="AO568" i="10" s="1"/>
  <c r="AJ570" i="10"/>
  <c r="AX570" i="10" s="1"/>
  <c r="AZ570" i="10" s="1"/>
  <c r="AV570" i="10"/>
  <c r="R566" i="10"/>
  <c r="AL566" i="10" s="1"/>
  <c r="AN566" i="10" s="1"/>
  <c r="AV569" i="10"/>
  <c r="R570" i="10"/>
  <c r="AL570" i="10" s="1"/>
  <c r="AN570" i="10" s="1"/>
  <c r="AV567" i="10"/>
  <c r="AJ569" i="10"/>
  <c r="AX569" i="10" s="1"/>
  <c r="AZ569" i="10" s="1"/>
  <c r="AW570" i="10"/>
  <c r="AJ566" i="10"/>
  <c r="AX566" i="10" s="1"/>
  <c r="AZ566" i="10" s="1"/>
  <c r="R569" i="10"/>
  <c r="AL569" i="10" s="1"/>
  <c r="AN569" i="10" s="1"/>
  <c r="R568" i="10"/>
  <c r="AL568" i="10" s="1"/>
  <c r="AN568" i="10" s="1"/>
  <c r="U567" i="10"/>
  <c r="R567" i="10"/>
  <c r="AL567" i="10" s="1"/>
  <c r="AN567" i="10" s="1"/>
  <c r="AV566" i="10"/>
  <c r="AJ568" i="10"/>
  <c r="AX568" i="10" s="1"/>
  <c r="AZ568" i="10" s="1"/>
  <c r="AV568" i="10"/>
  <c r="AJ567" i="10"/>
  <c r="AX567" i="10" s="1"/>
  <c r="AZ567" i="10" s="1"/>
  <c r="AW568" i="10"/>
  <c r="AR566" i="10"/>
  <c r="AW567" i="10"/>
  <c r="W570" i="10" l="1"/>
  <c r="AP570" i="10" s="1"/>
  <c r="AR570" i="10" s="1"/>
  <c r="BA570" i="10" s="1"/>
  <c r="AZ586" i="10"/>
  <c r="BB584" i="10"/>
  <c r="BE580" i="10"/>
  <c r="AZ580" i="10"/>
  <c r="BA585" i="10"/>
  <c r="BB587" i="10"/>
  <c r="BD587" i="10" s="1"/>
  <c r="BM587" i="10" s="1"/>
  <c r="BA579" i="10"/>
  <c r="BA587" i="10"/>
  <c r="BA586" i="10"/>
  <c r="BB573" i="10"/>
  <c r="BD573" i="10" s="1"/>
  <c r="BE573" i="10" s="1"/>
  <c r="BD585" i="10"/>
  <c r="BM585" i="10" s="1"/>
  <c r="BC584" i="10"/>
  <c r="BA581" i="10"/>
  <c r="BE586" i="10"/>
  <c r="BM586" i="10"/>
  <c r="BA584" i="10"/>
  <c r="AZ585" i="10"/>
  <c r="BA583" i="10"/>
  <c r="AZ584" i="10"/>
  <c r="BB572" i="10"/>
  <c r="BA582" i="10"/>
  <c r="AZ583" i="10"/>
  <c r="BA580" i="10"/>
  <c r="BM583" i="10"/>
  <c r="BE583" i="10"/>
  <c r="BA578" i="10"/>
  <c r="AZ581" i="10"/>
  <c r="BM582" i="10"/>
  <c r="BE582" i="10"/>
  <c r="BB576" i="10"/>
  <c r="BD576" i="10" s="1"/>
  <c r="BM576" i="10" s="1"/>
  <c r="BM581" i="10"/>
  <c r="BE581" i="10"/>
  <c r="BA577" i="10"/>
  <c r="BB579" i="10"/>
  <c r="BD579" i="10" s="1"/>
  <c r="BM579" i="10" s="1"/>
  <c r="BA574" i="10"/>
  <c r="AZ571" i="10"/>
  <c r="BB575" i="10"/>
  <c r="BD575" i="10" s="1"/>
  <c r="BE575" i="10" s="1"/>
  <c r="BB577" i="10"/>
  <c r="BD577" i="10" s="1"/>
  <c r="BE577" i="10" s="1"/>
  <c r="BB578" i="10"/>
  <c r="BD578" i="10" s="1"/>
  <c r="BE578" i="10" s="1"/>
  <c r="BB574" i="10"/>
  <c r="BD574" i="10" s="1"/>
  <c r="AZ574" i="10"/>
  <c r="BA576" i="10"/>
  <c r="BA575" i="10"/>
  <c r="BA571" i="10"/>
  <c r="BA573" i="10"/>
  <c r="AR572" i="10"/>
  <c r="BA572" i="10" s="1"/>
  <c r="AZ573" i="10"/>
  <c r="BM571" i="10"/>
  <c r="BE571" i="10"/>
  <c r="BB569" i="10"/>
  <c r="BD569" i="10" s="1"/>
  <c r="BM569" i="10" s="1"/>
  <c r="BA569" i="10"/>
  <c r="V567" i="10"/>
  <c r="AO567" i="10" s="1"/>
  <c r="W567" i="10"/>
  <c r="AP567" i="10" s="1"/>
  <c r="AR567" i="10" s="1"/>
  <c r="BA567" i="10" s="1"/>
  <c r="BB566" i="10"/>
  <c r="BD566" i="10" s="1"/>
  <c r="BM566" i="10" s="1"/>
  <c r="BA568" i="10"/>
  <c r="BB568" i="10"/>
  <c r="BA566" i="10"/>
  <c r="BB570" i="10" l="1"/>
  <c r="BD570" i="10" s="1"/>
  <c r="BM570" i="10" s="1"/>
  <c r="BE587" i="10"/>
  <c r="BE585" i="10"/>
  <c r="BC572" i="10"/>
  <c r="BJ572" i="10" s="1"/>
  <c r="BF584" i="10"/>
  <c r="BG584" i="10"/>
  <c r="BJ584" i="10"/>
  <c r="BD584" i="10"/>
  <c r="BE576" i="10"/>
  <c r="BM575" i="10"/>
  <c r="BE579" i="10"/>
  <c r="BM578" i="10"/>
  <c r="BM577" i="10"/>
  <c r="BM574" i="10"/>
  <c r="BE574" i="10"/>
  <c r="BM573" i="10"/>
  <c r="BE570" i="10"/>
  <c r="BE569" i="10"/>
  <c r="BD568" i="10"/>
  <c r="BM568" i="10" s="1"/>
  <c r="BB567" i="10"/>
  <c r="BC567" i="10" s="1"/>
  <c r="BE566" i="10"/>
  <c r="D565" i="10"/>
  <c r="E565" i="10"/>
  <c r="H565" i="10"/>
  <c r="BH565" i="10" s="1"/>
  <c r="I565" i="10"/>
  <c r="J565" i="10"/>
  <c r="K565" i="10"/>
  <c r="L565" i="10"/>
  <c r="M565" i="10" s="1"/>
  <c r="P565" i="10"/>
  <c r="U565" i="10" s="1"/>
  <c r="V565" i="10" s="1"/>
  <c r="AO565" i="10" s="1"/>
  <c r="Q565" i="10"/>
  <c r="AK565" i="10" s="1"/>
  <c r="Z565" i="10"/>
  <c r="AA565" i="10"/>
  <c r="AS565" i="10" s="1"/>
  <c r="AB565" i="10"/>
  <c r="AT565" i="10" s="1"/>
  <c r="AH565" i="10"/>
  <c r="AI565" i="10"/>
  <c r="AM565" i="10"/>
  <c r="AQ565" i="10"/>
  <c r="AU565" i="10"/>
  <c r="AY565" i="10"/>
  <c r="BG565" i="10" s="1"/>
  <c r="BF565" i="10"/>
  <c r="BJ565" i="10"/>
  <c r="D564" i="10"/>
  <c r="E564" i="10"/>
  <c r="H564" i="10"/>
  <c r="BH564" i="10" s="1"/>
  <c r="I564" i="10"/>
  <c r="J564" i="10"/>
  <c r="K564" i="10"/>
  <c r="L564" i="10"/>
  <c r="M564" i="10" s="1"/>
  <c r="P564" i="10"/>
  <c r="U564" i="10" s="1"/>
  <c r="V564" i="10" s="1"/>
  <c r="AO564" i="10" s="1"/>
  <c r="Q564" i="10"/>
  <c r="AK564" i="10" s="1"/>
  <c r="Z564" i="10"/>
  <c r="AA564" i="10"/>
  <c r="AS564" i="10" s="1"/>
  <c r="AB564" i="10"/>
  <c r="AT564" i="10" s="1"/>
  <c r="AH564" i="10"/>
  <c r="AI564" i="10"/>
  <c r="AM564" i="10"/>
  <c r="AQ564" i="10"/>
  <c r="AU564" i="10"/>
  <c r="AY564" i="10"/>
  <c r="BG564" i="10" s="1"/>
  <c r="BF564" i="10"/>
  <c r="BJ564" i="10"/>
  <c r="D563" i="10"/>
  <c r="E563" i="10"/>
  <c r="H563" i="10"/>
  <c r="BH563" i="10" s="1"/>
  <c r="I563" i="10"/>
  <c r="R563" i="10" s="1"/>
  <c r="AL563" i="10" s="1"/>
  <c r="J563" i="10"/>
  <c r="K563" i="10"/>
  <c r="L563" i="10"/>
  <c r="M563" i="10"/>
  <c r="P563" i="10"/>
  <c r="U563" i="10" s="1"/>
  <c r="Q563" i="10"/>
  <c r="AK563" i="10" s="1"/>
  <c r="V563" i="10"/>
  <c r="AO563" i="10" s="1"/>
  <c r="W563" i="10"/>
  <c r="AP563" i="10" s="1"/>
  <c r="Z563" i="10"/>
  <c r="AA563" i="10"/>
  <c r="AS563" i="10" s="1"/>
  <c r="AB563" i="10"/>
  <c r="AT563" i="10" s="1"/>
  <c r="AH563" i="10"/>
  <c r="AI563" i="10"/>
  <c r="AW563" i="10" s="1"/>
  <c r="AM563" i="10"/>
  <c r="AQ563" i="10"/>
  <c r="AU563" i="10"/>
  <c r="AY563" i="10"/>
  <c r="BG563" i="10" s="1"/>
  <c r="BF563" i="10"/>
  <c r="BJ563" i="10"/>
  <c r="D562" i="10"/>
  <c r="E562" i="10"/>
  <c r="H562" i="10"/>
  <c r="BH562" i="10" s="1"/>
  <c r="I562" i="10"/>
  <c r="R562" i="10" s="1"/>
  <c r="AL562" i="10" s="1"/>
  <c r="J562" i="10"/>
  <c r="K562" i="10"/>
  <c r="L562" i="10"/>
  <c r="M562" i="10"/>
  <c r="P562" i="10"/>
  <c r="U562" i="10" s="1"/>
  <c r="Q562" i="10"/>
  <c r="AK562" i="10" s="1"/>
  <c r="V562" i="10"/>
  <c r="AO562" i="10" s="1"/>
  <c r="W562" i="10"/>
  <c r="AP562" i="10" s="1"/>
  <c r="Z562" i="10"/>
  <c r="AA562" i="10"/>
  <c r="AS562" i="10" s="1"/>
  <c r="AB562" i="10"/>
  <c r="AT562" i="10" s="1"/>
  <c r="AH562" i="10"/>
  <c r="AI562" i="10"/>
  <c r="AW562" i="10" s="1"/>
  <c r="AM562" i="10"/>
  <c r="AQ562" i="10"/>
  <c r="AU562" i="10"/>
  <c r="AY562" i="10"/>
  <c r="BG562" i="10" s="1"/>
  <c r="BF562" i="10"/>
  <c r="BJ562" i="10"/>
  <c r="D561" i="10"/>
  <c r="E561" i="10"/>
  <c r="H561" i="10"/>
  <c r="BH561" i="10" s="1"/>
  <c r="I561" i="10"/>
  <c r="R561" i="10" s="1"/>
  <c r="AL561" i="10" s="1"/>
  <c r="J561" i="10"/>
  <c r="K561" i="10"/>
  <c r="L561" i="10"/>
  <c r="M561" i="10"/>
  <c r="P561" i="10"/>
  <c r="U561" i="10" s="1"/>
  <c r="Q561" i="10"/>
  <c r="AK561" i="10" s="1"/>
  <c r="V561" i="10"/>
  <c r="AO561" i="10" s="1"/>
  <c r="W561" i="10"/>
  <c r="AP561" i="10" s="1"/>
  <c r="Z561" i="10"/>
  <c r="AA561" i="10"/>
  <c r="AS561" i="10" s="1"/>
  <c r="AB561" i="10"/>
  <c r="AT561" i="10" s="1"/>
  <c r="AH561" i="10"/>
  <c r="AI561" i="10"/>
  <c r="AM561" i="10"/>
  <c r="AQ561" i="10"/>
  <c r="AU561" i="10"/>
  <c r="AY561" i="10"/>
  <c r="BG561" i="10" s="1"/>
  <c r="BF561" i="10"/>
  <c r="BJ561" i="10"/>
  <c r="AD553" i="10"/>
  <c r="AD548" i="10"/>
  <c r="AH548" i="10" s="1"/>
  <c r="AI548" i="10" s="1"/>
  <c r="AW548" i="10" s="1"/>
  <c r="S557" i="10"/>
  <c r="F557" i="10"/>
  <c r="D558" i="10"/>
  <c r="D559" i="10"/>
  <c r="D560" i="10"/>
  <c r="E560" i="10"/>
  <c r="H560" i="10"/>
  <c r="BH560" i="10" s="1"/>
  <c r="I560" i="10"/>
  <c r="J560" i="10"/>
  <c r="K560" i="10"/>
  <c r="L560" i="10"/>
  <c r="M560" i="10" s="1"/>
  <c r="P560" i="10"/>
  <c r="U560" i="10" s="1"/>
  <c r="V560" i="10" s="1"/>
  <c r="AO560" i="10" s="1"/>
  <c r="Q560" i="10"/>
  <c r="AK560" i="10" s="1"/>
  <c r="Z560" i="10"/>
  <c r="AA560" i="10"/>
  <c r="AS560" i="10" s="1"/>
  <c r="AB560" i="10"/>
  <c r="AT560" i="10" s="1"/>
  <c r="AH560" i="10"/>
  <c r="AI560" i="10"/>
  <c r="AW560" i="10" s="1"/>
  <c r="AM560" i="10"/>
  <c r="AQ560" i="10"/>
  <c r="AU560" i="10"/>
  <c r="AY560" i="10"/>
  <c r="BG560" i="10" s="1"/>
  <c r="BF560" i="10"/>
  <c r="BJ560" i="10"/>
  <c r="E559" i="10"/>
  <c r="H559" i="10"/>
  <c r="BH559" i="10" s="1"/>
  <c r="I559" i="10"/>
  <c r="J559" i="10"/>
  <c r="K559" i="10"/>
  <c r="L559" i="10"/>
  <c r="M559" i="10" s="1"/>
  <c r="P559" i="10"/>
  <c r="U559" i="10" s="1"/>
  <c r="V559" i="10" s="1"/>
  <c r="AO559" i="10" s="1"/>
  <c r="Q559" i="10"/>
  <c r="AK559" i="10" s="1"/>
  <c r="Z559" i="10"/>
  <c r="AA559" i="10"/>
  <c r="AS559" i="10" s="1"/>
  <c r="AB559" i="10"/>
  <c r="AT559" i="10" s="1"/>
  <c r="AH559" i="10"/>
  <c r="AI559" i="10"/>
  <c r="AW559" i="10" s="1"/>
  <c r="AM559" i="10"/>
  <c r="AQ559" i="10"/>
  <c r="AU559" i="10"/>
  <c r="AY559" i="10"/>
  <c r="BG559" i="10" s="1"/>
  <c r="BF559" i="10"/>
  <c r="BJ559" i="10"/>
  <c r="E558" i="10"/>
  <c r="H558" i="10"/>
  <c r="BH558" i="10" s="1"/>
  <c r="I558" i="10"/>
  <c r="J558" i="10"/>
  <c r="K558" i="10"/>
  <c r="L558" i="10"/>
  <c r="M558" i="10" s="1"/>
  <c r="P558" i="10"/>
  <c r="U558" i="10" s="1"/>
  <c r="Q558" i="10"/>
  <c r="AK558" i="10" s="1"/>
  <c r="Z558" i="10"/>
  <c r="AA558" i="10"/>
  <c r="AS558" i="10" s="1"/>
  <c r="AB558" i="10"/>
  <c r="AT558" i="10" s="1"/>
  <c r="AH558" i="10"/>
  <c r="AI558" i="10"/>
  <c r="AW558" i="10" s="1"/>
  <c r="AM558" i="10"/>
  <c r="AQ558" i="10"/>
  <c r="AU558" i="10"/>
  <c r="AY558" i="10"/>
  <c r="BG558" i="10" s="1"/>
  <c r="BF558" i="10"/>
  <c r="BJ558" i="10"/>
  <c r="D557" i="10"/>
  <c r="E557" i="10"/>
  <c r="H557" i="10"/>
  <c r="BH557" i="10" s="1"/>
  <c r="I557" i="10"/>
  <c r="J557" i="10"/>
  <c r="K557" i="10"/>
  <c r="L557" i="10"/>
  <c r="P557" i="10"/>
  <c r="Q557" i="10"/>
  <c r="AK557" i="10" s="1"/>
  <c r="Z557" i="10"/>
  <c r="AA557" i="10"/>
  <c r="AS557" i="10" s="1"/>
  <c r="AB557" i="10"/>
  <c r="AT557" i="10" s="1"/>
  <c r="AH557" i="10"/>
  <c r="AI557" i="10" s="1"/>
  <c r="AW557" i="10" s="1"/>
  <c r="AM557" i="10"/>
  <c r="AQ557" i="10"/>
  <c r="AU557" i="10"/>
  <c r="AY557" i="10"/>
  <c r="BG557" i="10" s="1"/>
  <c r="BF557" i="10"/>
  <c r="BJ557" i="10"/>
  <c r="D556" i="10"/>
  <c r="E556" i="10"/>
  <c r="H556" i="10"/>
  <c r="BH556" i="10" s="1"/>
  <c r="I556" i="10"/>
  <c r="R556" i="10" s="1"/>
  <c r="AL556" i="10" s="1"/>
  <c r="J556" i="10"/>
  <c r="K556" i="10"/>
  <c r="L556" i="10"/>
  <c r="M556" i="10"/>
  <c r="P556" i="10"/>
  <c r="U556" i="10" s="1"/>
  <c r="Q556" i="10"/>
  <c r="AK556" i="10" s="1"/>
  <c r="V556" i="10"/>
  <c r="AO556" i="10" s="1"/>
  <c r="W556" i="10"/>
  <c r="AP556" i="10" s="1"/>
  <c r="Z556" i="10"/>
  <c r="AA556" i="10"/>
  <c r="AS556" i="10" s="1"/>
  <c r="AB556" i="10"/>
  <c r="AT556" i="10" s="1"/>
  <c r="AH556" i="10"/>
  <c r="AI556" i="10"/>
  <c r="AW556" i="10" s="1"/>
  <c r="AM556" i="10"/>
  <c r="AQ556" i="10"/>
  <c r="AU556" i="10"/>
  <c r="AY556" i="10"/>
  <c r="BG556" i="10" s="1"/>
  <c r="BF556" i="10"/>
  <c r="BJ556" i="10"/>
  <c r="S548" i="10"/>
  <c r="L548" i="10" s="1"/>
  <c r="M548" i="10" s="1"/>
  <c r="D555" i="10"/>
  <c r="E555" i="10"/>
  <c r="H555" i="10"/>
  <c r="BH555" i="10" s="1"/>
  <c r="I555" i="10"/>
  <c r="J555" i="10"/>
  <c r="K555" i="10"/>
  <c r="L555" i="10"/>
  <c r="M555" i="10" s="1"/>
  <c r="P555" i="10"/>
  <c r="U555" i="10" s="1"/>
  <c r="Q555" i="10"/>
  <c r="AK555" i="10" s="1"/>
  <c r="Z555" i="10"/>
  <c r="AA555" i="10"/>
  <c r="AS555" i="10" s="1"/>
  <c r="AB555" i="10"/>
  <c r="AT555" i="10" s="1"/>
  <c r="AH555" i="10"/>
  <c r="AI555" i="10" s="1"/>
  <c r="AW555" i="10" s="1"/>
  <c r="AM555" i="10"/>
  <c r="AQ555" i="10"/>
  <c r="AU555" i="10"/>
  <c r="AY555" i="10"/>
  <c r="BG555" i="10" s="1"/>
  <c r="BF555" i="10"/>
  <c r="BJ555" i="10"/>
  <c r="F553" i="10"/>
  <c r="D554" i="10"/>
  <c r="D553" i="10"/>
  <c r="E554" i="10"/>
  <c r="H554" i="10"/>
  <c r="BH554" i="10" s="1"/>
  <c r="I554" i="10"/>
  <c r="J554" i="10"/>
  <c r="K554" i="10"/>
  <c r="L554" i="10"/>
  <c r="M554" i="10" s="1"/>
  <c r="P554" i="10"/>
  <c r="U554" i="10" s="1"/>
  <c r="Q554" i="10"/>
  <c r="AK554" i="10" s="1"/>
  <c r="V554" i="10"/>
  <c r="AO554" i="10" s="1"/>
  <c r="W554" i="10"/>
  <c r="AP554" i="10" s="1"/>
  <c r="Z554" i="10"/>
  <c r="AA554" i="10"/>
  <c r="AS554" i="10" s="1"/>
  <c r="AB554" i="10"/>
  <c r="AT554" i="10" s="1"/>
  <c r="AH554" i="10"/>
  <c r="AI554" i="10"/>
  <c r="AW554" i="10" s="1"/>
  <c r="AM554" i="10"/>
  <c r="AQ554" i="10"/>
  <c r="AU554" i="10"/>
  <c r="AY554" i="10"/>
  <c r="BG554" i="10" s="1"/>
  <c r="BF554" i="10"/>
  <c r="BJ554" i="10"/>
  <c r="E553" i="10"/>
  <c r="H553" i="10"/>
  <c r="BH553" i="10" s="1"/>
  <c r="I553" i="10"/>
  <c r="J553" i="10"/>
  <c r="K553" i="10"/>
  <c r="L553" i="10"/>
  <c r="P553" i="10"/>
  <c r="U553" i="10" s="1"/>
  <c r="Q553" i="10"/>
  <c r="AK553" i="10" s="1"/>
  <c r="Z553" i="10"/>
  <c r="AA553" i="10"/>
  <c r="AS553" i="10" s="1"/>
  <c r="AB553" i="10"/>
  <c r="AT553" i="10" s="1"/>
  <c r="AH553" i="10"/>
  <c r="AI553" i="10" s="1"/>
  <c r="AW553" i="10" s="1"/>
  <c r="AM553" i="10"/>
  <c r="AQ553" i="10"/>
  <c r="AU553" i="10"/>
  <c r="AY553" i="10"/>
  <c r="BG553" i="10" s="1"/>
  <c r="BF553" i="10"/>
  <c r="BJ553" i="10"/>
  <c r="D552" i="10"/>
  <c r="E552" i="10"/>
  <c r="H552" i="10"/>
  <c r="BH552" i="10" s="1"/>
  <c r="I552" i="10"/>
  <c r="J552" i="10"/>
  <c r="K552" i="10"/>
  <c r="L552" i="10"/>
  <c r="M552" i="10" s="1"/>
  <c r="P552" i="10"/>
  <c r="U552" i="10" s="1"/>
  <c r="V552" i="10" s="1"/>
  <c r="AO552" i="10" s="1"/>
  <c r="Q552" i="10"/>
  <c r="AK552" i="10" s="1"/>
  <c r="Z552" i="10"/>
  <c r="AA552" i="10"/>
  <c r="AS552" i="10" s="1"/>
  <c r="AB552" i="10"/>
  <c r="AT552" i="10" s="1"/>
  <c r="AH552" i="10"/>
  <c r="AI552" i="10" s="1"/>
  <c r="AW552" i="10" s="1"/>
  <c r="AM552" i="10"/>
  <c r="AQ552" i="10"/>
  <c r="AU552" i="10"/>
  <c r="AY552" i="10"/>
  <c r="D551" i="10"/>
  <c r="E551" i="10"/>
  <c r="H551" i="10"/>
  <c r="BH551" i="10" s="1"/>
  <c r="I551" i="10"/>
  <c r="J551" i="10"/>
  <c r="K551" i="10"/>
  <c r="L551" i="10"/>
  <c r="M551" i="10" s="1"/>
  <c r="P551" i="10"/>
  <c r="U551" i="10" s="1"/>
  <c r="Q551" i="10"/>
  <c r="AK551" i="10" s="1"/>
  <c r="V551" i="10"/>
  <c r="AO551" i="10" s="1"/>
  <c r="W551" i="10"/>
  <c r="AP551" i="10" s="1"/>
  <c r="Z551" i="10"/>
  <c r="AA551" i="10"/>
  <c r="AS551" i="10" s="1"/>
  <c r="AB551" i="10"/>
  <c r="AT551" i="10" s="1"/>
  <c r="AH551" i="10"/>
  <c r="AI551" i="10"/>
  <c r="AW551" i="10" s="1"/>
  <c r="AM551" i="10"/>
  <c r="AQ551" i="10"/>
  <c r="AU551" i="10"/>
  <c r="AY551" i="10"/>
  <c r="BG551" i="10" s="1"/>
  <c r="BF551" i="10"/>
  <c r="BJ551" i="10"/>
  <c r="S547" i="10"/>
  <c r="L547" i="10" s="1"/>
  <c r="M547" i="10" s="1"/>
  <c r="D549" i="10"/>
  <c r="D550" i="10"/>
  <c r="E550" i="10"/>
  <c r="H550" i="10"/>
  <c r="BH550" i="10" s="1"/>
  <c r="I550" i="10"/>
  <c r="J550" i="10"/>
  <c r="K550" i="10"/>
  <c r="L550" i="10"/>
  <c r="M550" i="10" s="1"/>
  <c r="P550" i="10"/>
  <c r="U550" i="10" s="1"/>
  <c r="Q550" i="10"/>
  <c r="Z550" i="10"/>
  <c r="AA550" i="10"/>
  <c r="AS550" i="10" s="1"/>
  <c r="AB550" i="10"/>
  <c r="AT550" i="10" s="1"/>
  <c r="AH550" i="10"/>
  <c r="AI550" i="10" s="1"/>
  <c r="AW550" i="10" s="1"/>
  <c r="AM550" i="10"/>
  <c r="AQ550" i="10"/>
  <c r="AU550" i="10"/>
  <c r="AY550" i="10"/>
  <c r="BG550" i="10" s="1"/>
  <c r="BF550" i="10"/>
  <c r="BJ550" i="10"/>
  <c r="E549" i="10"/>
  <c r="H549" i="10"/>
  <c r="BH549" i="10" s="1"/>
  <c r="I549" i="10"/>
  <c r="J549" i="10"/>
  <c r="K549" i="10"/>
  <c r="L549" i="10"/>
  <c r="M549" i="10" s="1"/>
  <c r="P549" i="10"/>
  <c r="U549" i="10" s="1"/>
  <c r="V549" i="10" s="1"/>
  <c r="AO549" i="10" s="1"/>
  <c r="Q549" i="10"/>
  <c r="Z549" i="10"/>
  <c r="AA549" i="10"/>
  <c r="AS549" i="10" s="1"/>
  <c r="AB549" i="10"/>
  <c r="AT549" i="10" s="1"/>
  <c r="AH549" i="10"/>
  <c r="AI549" i="10" s="1"/>
  <c r="AW549" i="10" s="1"/>
  <c r="AM549" i="10"/>
  <c r="AQ549" i="10"/>
  <c r="AU549" i="10"/>
  <c r="AY549" i="10"/>
  <c r="BG549" i="10" s="1"/>
  <c r="BF549" i="10"/>
  <c r="BJ549" i="10"/>
  <c r="D548" i="10"/>
  <c r="E548" i="10"/>
  <c r="H548" i="10"/>
  <c r="BH548" i="10" s="1"/>
  <c r="I548" i="10"/>
  <c r="J548" i="10"/>
  <c r="K548" i="10"/>
  <c r="P548" i="10"/>
  <c r="U548" i="10" s="1"/>
  <c r="V548" i="10" s="1"/>
  <c r="AO548" i="10" s="1"/>
  <c r="Q548" i="10"/>
  <c r="AK548" i="10" s="1"/>
  <c r="Z548" i="10"/>
  <c r="AA548" i="10"/>
  <c r="AS548" i="10" s="1"/>
  <c r="AB548" i="10"/>
  <c r="AT548" i="10" s="1"/>
  <c r="AM548" i="10"/>
  <c r="AQ548" i="10"/>
  <c r="AU548" i="10"/>
  <c r="AY548" i="10"/>
  <c r="AD545" i="10"/>
  <c r="AH545" i="10" s="1"/>
  <c r="AI545" i="10" s="1"/>
  <c r="AW545" i="10" s="1"/>
  <c r="F545" i="10"/>
  <c r="D545" i="10"/>
  <c r="D546" i="10"/>
  <c r="D547" i="10"/>
  <c r="E547" i="10"/>
  <c r="H547" i="10"/>
  <c r="BH547" i="10" s="1"/>
  <c r="I547" i="10"/>
  <c r="J547" i="10"/>
  <c r="K547" i="10"/>
  <c r="P547" i="10"/>
  <c r="U547" i="10" s="1"/>
  <c r="Q547" i="10"/>
  <c r="AK547" i="10" s="1"/>
  <c r="V547" i="10"/>
  <c r="AO547" i="10" s="1"/>
  <c r="W547" i="10"/>
  <c r="AP547" i="10" s="1"/>
  <c r="Z547" i="10"/>
  <c r="AA547" i="10"/>
  <c r="AS547" i="10" s="1"/>
  <c r="AB547" i="10"/>
  <c r="AT547" i="10" s="1"/>
  <c r="AH547" i="10"/>
  <c r="AI547" i="10"/>
  <c r="AW547" i="10" s="1"/>
  <c r="AM547" i="10"/>
  <c r="AQ547" i="10"/>
  <c r="AU547" i="10"/>
  <c r="AY547" i="10"/>
  <c r="BG547" i="10" s="1"/>
  <c r="BF547" i="10"/>
  <c r="BJ547" i="10"/>
  <c r="E546" i="10"/>
  <c r="H546" i="10"/>
  <c r="BH546" i="10" s="1"/>
  <c r="I546" i="10"/>
  <c r="J546" i="10"/>
  <c r="K546" i="10"/>
  <c r="L546" i="10"/>
  <c r="M546" i="10" s="1"/>
  <c r="P546" i="10"/>
  <c r="U546" i="10" s="1"/>
  <c r="Q546" i="10"/>
  <c r="AK546" i="10" s="1"/>
  <c r="V546" i="10"/>
  <c r="AO546" i="10" s="1"/>
  <c r="W546" i="10"/>
  <c r="AP546" i="10" s="1"/>
  <c r="Z546" i="10"/>
  <c r="AA546" i="10"/>
  <c r="AS546" i="10" s="1"/>
  <c r="AB546" i="10"/>
  <c r="AT546" i="10" s="1"/>
  <c r="AH546" i="10"/>
  <c r="AI546" i="10"/>
  <c r="AW546" i="10" s="1"/>
  <c r="AM546" i="10"/>
  <c r="AQ546" i="10"/>
  <c r="AU546" i="10"/>
  <c r="AY546" i="10"/>
  <c r="BG546" i="10" s="1"/>
  <c r="BF546" i="10"/>
  <c r="BJ546" i="10"/>
  <c r="E545" i="10"/>
  <c r="H545" i="10"/>
  <c r="BH545" i="10" s="1"/>
  <c r="I545" i="10"/>
  <c r="J545" i="10"/>
  <c r="K545" i="10"/>
  <c r="L545" i="10"/>
  <c r="P545" i="10"/>
  <c r="Q545" i="10"/>
  <c r="AK545" i="10" s="1"/>
  <c r="Z545" i="10"/>
  <c r="AA545" i="10"/>
  <c r="AS545" i="10" s="1"/>
  <c r="AB545" i="10"/>
  <c r="AT545" i="10" s="1"/>
  <c r="AM545" i="10"/>
  <c r="AQ545" i="10"/>
  <c r="AU545" i="10"/>
  <c r="AY545" i="10"/>
  <c r="BG545" i="10" s="1"/>
  <c r="BF545" i="10"/>
  <c r="BJ545" i="10"/>
  <c r="L542" i="10"/>
  <c r="M542" i="10" s="1"/>
  <c r="D543" i="10"/>
  <c r="D544" i="10"/>
  <c r="E544" i="10"/>
  <c r="H544" i="10"/>
  <c r="BH544" i="10" s="1"/>
  <c r="I544" i="10"/>
  <c r="J544" i="10"/>
  <c r="K544" i="10"/>
  <c r="L544" i="10"/>
  <c r="M544" i="10" s="1"/>
  <c r="P544" i="10"/>
  <c r="U544" i="10" s="1"/>
  <c r="Q544" i="10"/>
  <c r="AK544" i="10" s="1"/>
  <c r="V544" i="10"/>
  <c r="AO544" i="10" s="1"/>
  <c r="W544" i="10"/>
  <c r="AP544" i="10" s="1"/>
  <c r="Z544" i="10"/>
  <c r="AA544" i="10"/>
  <c r="AS544" i="10" s="1"/>
  <c r="AB544" i="10"/>
  <c r="AT544" i="10" s="1"/>
  <c r="AH544" i="10"/>
  <c r="AI544" i="10"/>
  <c r="AW544" i="10" s="1"/>
  <c r="AM544" i="10"/>
  <c r="AQ544" i="10"/>
  <c r="AU544" i="10"/>
  <c r="AY544" i="10"/>
  <c r="BG544" i="10" s="1"/>
  <c r="BF544" i="10"/>
  <c r="BJ544" i="10"/>
  <c r="E543" i="10"/>
  <c r="H543" i="10"/>
  <c r="BH543" i="10" s="1"/>
  <c r="I543" i="10"/>
  <c r="J543" i="10"/>
  <c r="K543" i="10"/>
  <c r="L543" i="10"/>
  <c r="M543" i="10" s="1"/>
  <c r="P543" i="10"/>
  <c r="U543" i="10" s="1"/>
  <c r="Q543" i="10"/>
  <c r="AK543" i="10" s="1"/>
  <c r="V543" i="10"/>
  <c r="AO543" i="10" s="1"/>
  <c r="W543" i="10"/>
  <c r="AP543" i="10" s="1"/>
  <c r="Z543" i="10"/>
  <c r="AA543" i="10"/>
  <c r="AS543" i="10" s="1"/>
  <c r="AB543" i="10"/>
  <c r="AT543" i="10" s="1"/>
  <c r="AH543" i="10"/>
  <c r="AI543" i="10"/>
  <c r="AW543" i="10" s="1"/>
  <c r="AM543" i="10"/>
  <c r="AQ543" i="10"/>
  <c r="AU543" i="10"/>
  <c r="AY543" i="10"/>
  <c r="BG543" i="10" s="1"/>
  <c r="BF543" i="10"/>
  <c r="BJ543" i="10"/>
  <c r="D542" i="10"/>
  <c r="E542" i="10"/>
  <c r="H542" i="10"/>
  <c r="BH542" i="10" s="1"/>
  <c r="I542" i="10"/>
  <c r="J542" i="10"/>
  <c r="K542" i="10"/>
  <c r="P542" i="10"/>
  <c r="U542" i="10" s="1"/>
  <c r="Q542" i="10"/>
  <c r="AK542" i="10" s="1"/>
  <c r="V542" i="10"/>
  <c r="AO542" i="10" s="1"/>
  <c r="W542" i="10"/>
  <c r="AP542" i="10" s="1"/>
  <c r="Z542" i="10"/>
  <c r="AA542" i="10"/>
  <c r="AS542" i="10" s="1"/>
  <c r="AB542" i="10"/>
  <c r="AT542" i="10" s="1"/>
  <c r="AH542" i="10"/>
  <c r="AI542" i="10"/>
  <c r="AM542" i="10"/>
  <c r="AQ542" i="10"/>
  <c r="AU542" i="10"/>
  <c r="AY542" i="10"/>
  <c r="BG542" i="10" s="1"/>
  <c r="BF542" i="10"/>
  <c r="BJ542" i="10"/>
  <c r="BG572" i="10" l="1"/>
  <c r="W560" i="10"/>
  <c r="AP560" i="10" s="1"/>
  <c r="BF572" i="10"/>
  <c r="BD572" i="10"/>
  <c r="BM572" i="10" s="1"/>
  <c r="BE584" i="10"/>
  <c r="BM584" i="10"/>
  <c r="W564" i="10"/>
  <c r="AP564" i="10" s="1"/>
  <c r="AR564" i="10" s="1"/>
  <c r="W550" i="10"/>
  <c r="AP550" i="10" s="1"/>
  <c r="AR550" i="10" s="1"/>
  <c r="BE568" i="10"/>
  <c r="BD567" i="10"/>
  <c r="BM567" i="10" s="1"/>
  <c r="BJ567" i="10"/>
  <c r="BF567" i="10"/>
  <c r="BG567" i="10"/>
  <c r="W559" i="10"/>
  <c r="AP559" i="10" s="1"/>
  <c r="AR559" i="10" s="1"/>
  <c r="W565" i="10"/>
  <c r="AP565" i="10" s="1"/>
  <c r="AR565" i="10" s="1"/>
  <c r="AJ562" i="10"/>
  <c r="AX562" i="10" s="1"/>
  <c r="BB562" i="10" s="1"/>
  <c r="BD562" i="10" s="1"/>
  <c r="BE562" i="10" s="1"/>
  <c r="U545" i="10"/>
  <c r="V545" i="10" s="1"/>
  <c r="AO545" i="10" s="1"/>
  <c r="R565" i="10"/>
  <c r="AL565" i="10" s="1"/>
  <c r="AN565" i="10" s="1"/>
  <c r="AR562" i="10"/>
  <c r="AV565" i="10"/>
  <c r="AJ565" i="10"/>
  <c r="AX565" i="10" s="1"/>
  <c r="AZ565" i="10" s="1"/>
  <c r="AV564" i="10"/>
  <c r="AW565" i="10"/>
  <c r="AR561" i="10"/>
  <c r="AJ564" i="10"/>
  <c r="AX564" i="10" s="1"/>
  <c r="V550" i="10"/>
  <c r="AO550" i="10" s="1"/>
  <c r="R564" i="10"/>
  <c r="AL564" i="10" s="1"/>
  <c r="AN564" i="10" s="1"/>
  <c r="AR563" i="10"/>
  <c r="AW564" i="10"/>
  <c r="AV563" i="10"/>
  <c r="AJ563" i="10"/>
  <c r="AX563" i="10" s="1"/>
  <c r="AZ563" i="10" s="1"/>
  <c r="AN563" i="10"/>
  <c r="AJ561" i="10"/>
  <c r="AX561" i="10" s="1"/>
  <c r="BB561" i="10" s="1"/>
  <c r="BD561" i="10" s="1"/>
  <c r="AV562" i="10"/>
  <c r="AN562" i="10"/>
  <c r="AV561" i="10"/>
  <c r="AN561" i="10"/>
  <c r="AW561" i="10"/>
  <c r="AV556" i="10"/>
  <c r="W558" i="10"/>
  <c r="AP558" i="10" s="1"/>
  <c r="AR558" i="10" s="1"/>
  <c r="AN556" i="10"/>
  <c r="M557" i="10"/>
  <c r="AR556" i="10"/>
  <c r="W553" i="10"/>
  <c r="AP553" i="10" s="1"/>
  <c r="AR553" i="10" s="1"/>
  <c r="AJ560" i="10"/>
  <c r="AX560" i="10" s="1"/>
  <c r="R560" i="10"/>
  <c r="AL560" i="10" s="1"/>
  <c r="AN560" i="10" s="1"/>
  <c r="AV560" i="10"/>
  <c r="V558" i="10"/>
  <c r="AO558" i="10" s="1"/>
  <c r="AV559" i="10"/>
  <c r="R559" i="10"/>
  <c r="AL559" i="10" s="1"/>
  <c r="AN559" i="10" s="1"/>
  <c r="AJ558" i="10"/>
  <c r="AX558" i="10" s="1"/>
  <c r="AZ558" i="10" s="1"/>
  <c r="AJ557" i="10"/>
  <c r="AX557" i="10" s="1"/>
  <c r="AZ557" i="10" s="1"/>
  <c r="U557" i="10"/>
  <c r="AR560" i="10"/>
  <c r="R546" i="10"/>
  <c r="AL546" i="10" s="1"/>
  <c r="AN546" i="10" s="1"/>
  <c r="AJ556" i="10"/>
  <c r="AX556" i="10" s="1"/>
  <c r="AZ556" i="10" s="1"/>
  <c r="AV558" i="10"/>
  <c r="AJ559" i="10"/>
  <c r="AX559" i="10" s="1"/>
  <c r="AZ559" i="10" s="1"/>
  <c r="R558" i="10"/>
  <c r="AL558" i="10" s="1"/>
  <c r="AN558" i="10" s="1"/>
  <c r="AV557" i="10"/>
  <c r="AR554" i="10"/>
  <c r="R557" i="10"/>
  <c r="AL557" i="10" s="1"/>
  <c r="AN557" i="10" s="1"/>
  <c r="R549" i="10"/>
  <c r="AL549" i="10" s="1"/>
  <c r="AN549" i="10" s="1"/>
  <c r="AK549" i="10"/>
  <c r="W549" i="10"/>
  <c r="AP549" i="10" s="1"/>
  <c r="AR549" i="10" s="1"/>
  <c r="AV555" i="10"/>
  <c r="V553" i="10"/>
  <c r="AO553" i="10" s="1"/>
  <c r="AV549" i="10"/>
  <c r="W552" i="10"/>
  <c r="AP552" i="10" s="1"/>
  <c r="AR552" i="10" s="1"/>
  <c r="AJ555" i="10"/>
  <c r="AX555" i="10" s="1"/>
  <c r="V555" i="10"/>
  <c r="AO555" i="10" s="1"/>
  <c r="W555" i="10"/>
  <c r="AP555" i="10" s="1"/>
  <c r="AR555" i="10" s="1"/>
  <c r="R555" i="10"/>
  <c r="AL555" i="10" s="1"/>
  <c r="AN555" i="10" s="1"/>
  <c r="AJ550" i="10"/>
  <c r="AX550" i="10" s="1"/>
  <c r="BB550" i="10" s="1"/>
  <c r="BD550" i="10" s="1"/>
  <c r="R550" i="10"/>
  <c r="AL550" i="10" s="1"/>
  <c r="AN550" i="10" s="1"/>
  <c r="AV551" i="10"/>
  <c r="AV550" i="10"/>
  <c r="R554" i="10"/>
  <c r="AL554" i="10" s="1"/>
  <c r="AN554" i="10" s="1"/>
  <c r="AR546" i="10"/>
  <c r="AV553" i="10"/>
  <c r="AV554" i="10"/>
  <c r="R545" i="10"/>
  <c r="AL545" i="10" s="1"/>
  <c r="AN545" i="10" s="1"/>
  <c r="AJ549" i="10"/>
  <c r="AX549" i="10" s="1"/>
  <c r="AZ549" i="10" s="1"/>
  <c r="AK550" i="10"/>
  <c r="AJ551" i="10"/>
  <c r="AX551" i="10" s="1"/>
  <c r="BB551" i="10" s="1"/>
  <c r="BD551" i="10" s="1"/>
  <c r="R551" i="10"/>
  <c r="AL551" i="10" s="1"/>
  <c r="AN551" i="10" s="1"/>
  <c r="AJ552" i="10"/>
  <c r="AX552" i="10" s="1"/>
  <c r="AZ552" i="10" s="1"/>
  <c r="M553" i="10"/>
  <c r="AJ553" i="10"/>
  <c r="AX553" i="10" s="1"/>
  <c r="R553" i="10"/>
  <c r="AL553" i="10" s="1"/>
  <c r="AN553" i="10" s="1"/>
  <c r="AJ554" i="10"/>
  <c r="AX554" i="10" s="1"/>
  <c r="AZ554" i="10" s="1"/>
  <c r="AR551" i="10"/>
  <c r="AV552" i="10"/>
  <c r="R552" i="10"/>
  <c r="AL552" i="10" s="1"/>
  <c r="AN552" i="10" s="1"/>
  <c r="R548" i="10"/>
  <c r="AL548" i="10" s="1"/>
  <c r="AN548" i="10" s="1"/>
  <c r="AV548" i="10"/>
  <c r="W548" i="10"/>
  <c r="AP548" i="10" s="1"/>
  <c r="AR548" i="10" s="1"/>
  <c r="AJ548" i="10"/>
  <c r="AX548" i="10" s="1"/>
  <c r="AZ548" i="10" s="1"/>
  <c r="M545" i="10"/>
  <c r="AJ544" i="10"/>
  <c r="AX544" i="10" s="1"/>
  <c r="BB544" i="10" s="1"/>
  <c r="BD544" i="10" s="1"/>
  <c r="BE544" i="10" s="1"/>
  <c r="AR544" i="10"/>
  <c r="AR547" i="10"/>
  <c r="AJ543" i="10"/>
  <c r="AX543" i="10" s="1"/>
  <c r="BB543" i="10" s="1"/>
  <c r="BD543" i="10" s="1"/>
  <c r="R544" i="10"/>
  <c r="AL544" i="10" s="1"/>
  <c r="AN544" i="10" s="1"/>
  <c r="R547" i="10"/>
  <c r="AL547" i="10" s="1"/>
  <c r="AN547" i="10" s="1"/>
  <c r="AV545" i="10"/>
  <c r="AV543" i="10"/>
  <c r="AV547" i="10"/>
  <c r="AJ546" i="10"/>
  <c r="AX546" i="10" s="1"/>
  <c r="AZ546" i="10" s="1"/>
  <c r="AJ545" i="10"/>
  <c r="AX545" i="10" s="1"/>
  <c r="AV546" i="10"/>
  <c r="AJ547" i="10"/>
  <c r="AX547" i="10" s="1"/>
  <c r="AZ547" i="10" s="1"/>
  <c r="AV544" i="10"/>
  <c r="R543" i="10"/>
  <c r="AL543" i="10" s="1"/>
  <c r="AN543" i="10" s="1"/>
  <c r="R542" i="10"/>
  <c r="AL542" i="10" s="1"/>
  <c r="AN542" i="10" s="1"/>
  <c r="AV542" i="10"/>
  <c r="AR543" i="10"/>
  <c r="AR542" i="10"/>
  <c r="AJ542" i="10"/>
  <c r="AX542" i="10" s="1"/>
  <c r="AZ542" i="10" s="1"/>
  <c r="AW542" i="10"/>
  <c r="S539" i="10"/>
  <c r="I420" i="10"/>
  <c r="L426" i="10"/>
  <c r="BB560" i="10" l="1"/>
  <c r="BD560" i="10" s="1"/>
  <c r="BE560" i="10" s="1"/>
  <c r="W545" i="10"/>
  <c r="AP545" i="10" s="1"/>
  <c r="AR545" i="10" s="1"/>
  <c r="BA545" i="10" s="1"/>
  <c r="BE572" i="10"/>
  <c r="AZ562" i="10"/>
  <c r="BB564" i="10"/>
  <c r="BD564" i="10" s="1"/>
  <c r="BE564" i="10" s="1"/>
  <c r="BE567" i="10"/>
  <c r="BA564" i="10"/>
  <c r="BM562" i="10"/>
  <c r="AZ564" i="10"/>
  <c r="BA565" i="10"/>
  <c r="AZ561" i="10"/>
  <c r="BB565" i="10"/>
  <c r="BD565" i="10" s="1"/>
  <c r="BB553" i="10"/>
  <c r="BD553" i="10" s="1"/>
  <c r="BM553" i="10" s="1"/>
  <c r="BB563" i="10"/>
  <c r="BD563" i="10" s="1"/>
  <c r="BM563" i="10" s="1"/>
  <c r="BA561" i="10"/>
  <c r="BA556" i="10"/>
  <c r="BA562" i="10"/>
  <c r="BA563" i="10"/>
  <c r="BB556" i="10"/>
  <c r="BD556" i="10" s="1"/>
  <c r="BM556" i="10" s="1"/>
  <c r="BM561" i="10"/>
  <c r="BE561" i="10"/>
  <c r="BA560" i="10"/>
  <c r="AZ560" i="10"/>
  <c r="BA559" i="10"/>
  <c r="BB559" i="10"/>
  <c r="BD559" i="10" s="1"/>
  <c r="BE559" i="10" s="1"/>
  <c r="BB558" i="10"/>
  <c r="BD558" i="10" s="1"/>
  <c r="BE558" i="10" s="1"/>
  <c r="BA558" i="10"/>
  <c r="V557" i="10"/>
  <c r="AO557" i="10" s="1"/>
  <c r="W557" i="10"/>
  <c r="AP557" i="10" s="1"/>
  <c r="AR557" i="10" s="1"/>
  <c r="BA557" i="10" s="1"/>
  <c r="BB555" i="10"/>
  <c r="BD555" i="10" s="1"/>
  <c r="BM555" i="10" s="1"/>
  <c r="BA555" i="10"/>
  <c r="AZ555" i="10"/>
  <c r="BB549" i="10"/>
  <c r="BD549" i="10" s="1"/>
  <c r="BE549" i="10" s="1"/>
  <c r="BA551" i="10"/>
  <c r="BB552" i="10"/>
  <c r="BA554" i="10"/>
  <c r="BA549" i="10"/>
  <c r="AZ550" i="10"/>
  <c r="BA552" i="10"/>
  <c r="AZ553" i="10"/>
  <c r="BA553" i="10"/>
  <c r="AZ551" i="10"/>
  <c r="BA550" i="10"/>
  <c r="BB554" i="10"/>
  <c r="BD554" i="10" s="1"/>
  <c r="BE554" i="10" s="1"/>
  <c r="BM551" i="10"/>
  <c r="BE551" i="10"/>
  <c r="BA548" i="10"/>
  <c r="BM550" i="10"/>
  <c r="BE550" i="10"/>
  <c r="BB548" i="10"/>
  <c r="AZ544" i="10"/>
  <c r="AZ545" i="10"/>
  <c r="BA547" i="10"/>
  <c r="AZ543" i="10"/>
  <c r="BB547" i="10"/>
  <c r="BD547" i="10" s="1"/>
  <c r="BM547" i="10" s="1"/>
  <c r="BA546" i="10"/>
  <c r="BA543" i="10"/>
  <c r="BB546" i="10"/>
  <c r="BD546" i="10" s="1"/>
  <c r="BM546" i="10" s="1"/>
  <c r="BA544" i="10"/>
  <c r="BB542" i="10"/>
  <c r="BD542" i="10" s="1"/>
  <c r="BM542" i="10" s="1"/>
  <c r="BM544" i="10"/>
  <c r="BA542" i="10"/>
  <c r="BM543" i="10"/>
  <c r="BE543" i="10"/>
  <c r="AD539" i="10"/>
  <c r="AH539" i="10" s="1"/>
  <c r="AI539" i="10" s="1"/>
  <c r="P541" i="10"/>
  <c r="U541" i="10" s="1"/>
  <c r="V541" i="10" s="1"/>
  <c r="AO541" i="10" s="1"/>
  <c r="D541" i="10"/>
  <c r="D539" i="10"/>
  <c r="D540" i="10"/>
  <c r="E541" i="10"/>
  <c r="H541" i="10"/>
  <c r="BH541" i="10" s="1"/>
  <c r="I541" i="10"/>
  <c r="J541" i="10"/>
  <c r="K541" i="10"/>
  <c r="L541" i="10"/>
  <c r="M541" i="10" s="1"/>
  <c r="Q541" i="10"/>
  <c r="AK541" i="10" s="1"/>
  <c r="Z541" i="10"/>
  <c r="AA541" i="10"/>
  <c r="AS541" i="10" s="1"/>
  <c r="AB541" i="10"/>
  <c r="AT541" i="10" s="1"/>
  <c r="AH541" i="10"/>
  <c r="AI541" i="10" s="1"/>
  <c r="AW541" i="10" s="1"/>
  <c r="AM541" i="10"/>
  <c r="AQ541" i="10"/>
  <c r="AU541" i="10"/>
  <c r="AY541" i="10"/>
  <c r="BG541" i="10" s="1"/>
  <c r="BF541" i="10"/>
  <c r="BJ541" i="10"/>
  <c r="E540" i="10"/>
  <c r="H540" i="10"/>
  <c r="BH540" i="10" s="1"/>
  <c r="I540" i="10"/>
  <c r="J540" i="10"/>
  <c r="K540" i="10"/>
  <c r="L540" i="10"/>
  <c r="M540" i="10" s="1"/>
  <c r="P540" i="10"/>
  <c r="U540" i="10" s="1"/>
  <c r="V540" i="10" s="1"/>
  <c r="AO540" i="10" s="1"/>
  <c r="Q540" i="10"/>
  <c r="AK540" i="10" s="1"/>
  <c r="Z540" i="10"/>
  <c r="AA540" i="10"/>
  <c r="AS540" i="10" s="1"/>
  <c r="AB540" i="10"/>
  <c r="AT540" i="10" s="1"/>
  <c r="AH540" i="10"/>
  <c r="AI540" i="10" s="1"/>
  <c r="AM540" i="10"/>
  <c r="AQ540" i="10"/>
  <c r="AU540" i="10"/>
  <c r="AY540" i="10"/>
  <c r="E539" i="10"/>
  <c r="H539" i="10"/>
  <c r="BH539" i="10" s="1"/>
  <c r="I539" i="10"/>
  <c r="J539" i="10"/>
  <c r="K539" i="10"/>
  <c r="L539" i="10"/>
  <c r="M539" i="10" s="1"/>
  <c r="P539" i="10"/>
  <c r="U539" i="10" s="1"/>
  <c r="V539" i="10" s="1"/>
  <c r="AO539" i="10" s="1"/>
  <c r="Q539" i="10"/>
  <c r="AK539" i="10" s="1"/>
  <c r="Z539" i="10"/>
  <c r="AA539" i="10"/>
  <c r="AS539" i="10" s="1"/>
  <c r="AB539" i="10"/>
  <c r="AT539" i="10" s="1"/>
  <c r="AM539" i="10"/>
  <c r="AQ539" i="10"/>
  <c r="AU539" i="10"/>
  <c r="AY539" i="10"/>
  <c r="BG539" i="10" s="1"/>
  <c r="BF539" i="10"/>
  <c r="BJ539" i="10"/>
  <c r="D538" i="10"/>
  <c r="E538" i="10"/>
  <c r="H538" i="10"/>
  <c r="BH538" i="10" s="1"/>
  <c r="I538" i="10"/>
  <c r="J538" i="10"/>
  <c r="K538" i="10"/>
  <c r="L538" i="10"/>
  <c r="M538" i="10"/>
  <c r="P538" i="10"/>
  <c r="U538" i="10" s="1"/>
  <c r="Q538" i="10"/>
  <c r="AK538" i="10" s="1"/>
  <c r="V538" i="10"/>
  <c r="AO538" i="10" s="1"/>
  <c r="W538" i="10"/>
  <c r="AP538" i="10" s="1"/>
  <c r="Z538" i="10"/>
  <c r="AA538" i="10"/>
  <c r="AS538" i="10" s="1"/>
  <c r="AB538" i="10"/>
  <c r="AT538" i="10" s="1"/>
  <c r="AH538" i="10"/>
  <c r="AI538" i="10"/>
  <c r="AM538" i="10"/>
  <c r="AQ538" i="10"/>
  <c r="AU538" i="10"/>
  <c r="AY538" i="10"/>
  <c r="BG538" i="10" s="1"/>
  <c r="BF538" i="10"/>
  <c r="BJ538" i="10"/>
  <c r="D537" i="10"/>
  <c r="E537" i="10"/>
  <c r="H537" i="10"/>
  <c r="BH537" i="10" s="1"/>
  <c r="I537" i="10"/>
  <c r="J537" i="10"/>
  <c r="K537" i="10"/>
  <c r="L537" i="10"/>
  <c r="M537" i="10"/>
  <c r="P537" i="10"/>
  <c r="U537" i="10" s="1"/>
  <c r="Q537" i="10"/>
  <c r="AK537" i="10" s="1"/>
  <c r="V537" i="10"/>
  <c r="AO537" i="10" s="1"/>
  <c r="W537" i="10"/>
  <c r="AP537" i="10" s="1"/>
  <c r="Z537" i="10"/>
  <c r="AA537" i="10"/>
  <c r="AS537" i="10" s="1"/>
  <c r="AB537" i="10"/>
  <c r="AT537" i="10" s="1"/>
  <c r="AH537" i="10"/>
  <c r="AI537" i="10"/>
  <c r="AW537" i="10" s="1"/>
  <c r="AM537" i="10"/>
  <c r="AQ537" i="10"/>
  <c r="AU537" i="10"/>
  <c r="AY537" i="10"/>
  <c r="BG537" i="10" s="1"/>
  <c r="BF537" i="10"/>
  <c r="BJ537" i="10"/>
  <c r="D535" i="10"/>
  <c r="D536" i="10"/>
  <c r="E536" i="10"/>
  <c r="H536" i="10"/>
  <c r="BH536" i="10" s="1"/>
  <c r="I536" i="10"/>
  <c r="J536" i="10"/>
  <c r="K536" i="10"/>
  <c r="L536" i="10"/>
  <c r="M536" i="10" s="1"/>
  <c r="P536" i="10"/>
  <c r="U536" i="10" s="1"/>
  <c r="Q536" i="10"/>
  <c r="AK536" i="10" s="1"/>
  <c r="Z536" i="10"/>
  <c r="AA536" i="10"/>
  <c r="AS536" i="10" s="1"/>
  <c r="AB536" i="10"/>
  <c r="AT536" i="10" s="1"/>
  <c r="AH536" i="10"/>
  <c r="AI536" i="10" s="1"/>
  <c r="AW536" i="10" s="1"/>
  <c r="AM536" i="10"/>
  <c r="AQ536" i="10"/>
  <c r="AU536" i="10"/>
  <c r="AY536" i="10"/>
  <c r="BG536" i="10" s="1"/>
  <c r="BF536" i="10"/>
  <c r="BJ536" i="10"/>
  <c r="E535" i="10"/>
  <c r="H535" i="10"/>
  <c r="BH535" i="10" s="1"/>
  <c r="I535" i="10"/>
  <c r="J535" i="10"/>
  <c r="K535" i="10"/>
  <c r="L535" i="10"/>
  <c r="M535" i="10" s="1"/>
  <c r="P535" i="10"/>
  <c r="U535" i="10" s="1"/>
  <c r="Q535" i="10"/>
  <c r="AK535" i="10" s="1"/>
  <c r="Z535" i="10"/>
  <c r="AA535" i="10"/>
  <c r="AS535" i="10" s="1"/>
  <c r="AB535" i="10"/>
  <c r="AT535" i="10" s="1"/>
  <c r="AH535" i="10"/>
  <c r="AI535" i="10" s="1"/>
  <c r="AW535" i="10" s="1"/>
  <c r="AM535" i="10"/>
  <c r="AQ535" i="10"/>
  <c r="AU535" i="10"/>
  <c r="AY535" i="10"/>
  <c r="BG535" i="10" s="1"/>
  <c r="BF535" i="10"/>
  <c r="BJ535" i="10"/>
  <c r="D534" i="10"/>
  <c r="E534" i="10"/>
  <c r="H534" i="10"/>
  <c r="BH534" i="10" s="1"/>
  <c r="I534" i="10"/>
  <c r="J534" i="10"/>
  <c r="K534" i="10"/>
  <c r="L534" i="10"/>
  <c r="P534" i="10"/>
  <c r="U534" i="10" s="1"/>
  <c r="V534" i="10" s="1"/>
  <c r="AO534" i="10" s="1"/>
  <c r="Q534" i="10"/>
  <c r="AK534" i="10" s="1"/>
  <c r="Z534" i="10"/>
  <c r="AA534" i="10"/>
  <c r="AS534" i="10" s="1"/>
  <c r="AB534" i="10"/>
  <c r="AT534" i="10" s="1"/>
  <c r="AH534" i="10"/>
  <c r="AI534" i="10" s="1"/>
  <c r="AW534" i="10" s="1"/>
  <c r="AM534" i="10"/>
  <c r="AQ534" i="10"/>
  <c r="AU534" i="10"/>
  <c r="AY534" i="10"/>
  <c r="AD523" i="10"/>
  <c r="AD531" i="10"/>
  <c r="AD532" i="10"/>
  <c r="AH532" i="10" s="1"/>
  <c r="AI532" i="10" s="1"/>
  <c r="AD533" i="10"/>
  <c r="AH533" i="10" s="1"/>
  <c r="AI533" i="10" s="1"/>
  <c r="AW533" i="10" s="1"/>
  <c r="D533" i="10"/>
  <c r="E533" i="10"/>
  <c r="H533" i="10"/>
  <c r="BH533" i="10" s="1"/>
  <c r="I533" i="10"/>
  <c r="J533" i="10"/>
  <c r="K533" i="10"/>
  <c r="L533" i="10"/>
  <c r="M533" i="10" s="1"/>
  <c r="P533" i="10"/>
  <c r="U533" i="10" s="1"/>
  <c r="V533" i="10" s="1"/>
  <c r="AO533" i="10" s="1"/>
  <c r="Q533" i="10"/>
  <c r="AK533" i="10" s="1"/>
  <c r="Z533" i="10"/>
  <c r="AA533" i="10"/>
  <c r="AS533" i="10" s="1"/>
  <c r="AB533" i="10"/>
  <c r="AT533" i="10" s="1"/>
  <c r="AM533" i="10"/>
  <c r="AQ533" i="10"/>
  <c r="AU533" i="10"/>
  <c r="AY533" i="10"/>
  <c r="BG533" i="10" s="1"/>
  <c r="BF533" i="10"/>
  <c r="BJ533" i="10"/>
  <c r="D532" i="10"/>
  <c r="E532" i="10"/>
  <c r="H532" i="10"/>
  <c r="BH532" i="10" s="1"/>
  <c r="I532" i="10"/>
  <c r="J532" i="10"/>
  <c r="K532" i="10"/>
  <c r="L532" i="10"/>
  <c r="M532" i="10" s="1"/>
  <c r="P532" i="10"/>
  <c r="U532" i="10" s="1"/>
  <c r="Q532" i="10"/>
  <c r="AK532" i="10" s="1"/>
  <c r="Z532" i="10"/>
  <c r="AA532" i="10"/>
  <c r="AS532" i="10" s="1"/>
  <c r="AB532" i="10"/>
  <c r="AT532" i="10" s="1"/>
  <c r="AM532" i="10"/>
  <c r="AQ532" i="10"/>
  <c r="AU532" i="10"/>
  <c r="AY532" i="10"/>
  <c r="BG532" i="10" s="1"/>
  <c r="BF532" i="10"/>
  <c r="BJ532" i="10"/>
  <c r="BM560" i="10" l="1"/>
  <c r="BB545" i="10"/>
  <c r="BD545" i="10" s="1"/>
  <c r="BE545" i="10" s="1"/>
  <c r="BM564" i="10"/>
  <c r="BE553" i="10"/>
  <c r="BE563" i="10"/>
  <c r="BM565" i="10"/>
  <c r="BE565" i="10"/>
  <c r="BM559" i="10"/>
  <c r="BE556" i="10"/>
  <c r="BE555" i="10"/>
  <c r="BC552" i="10"/>
  <c r="BD552" i="10" s="1"/>
  <c r="BM552" i="10" s="1"/>
  <c r="BC548" i="10"/>
  <c r="BM558" i="10"/>
  <c r="BB557" i="10"/>
  <c r="BD557" i="10" s="1"/>
  <c r="BM549" i="10"/>
  <c r="BM554" i="10"/>
  <c r="BE547" i="10"/>
  <c r="BE542" i="10"/>
  <c r="BE546" i="10"/>
  <c r="AJ539" i="10"/>
  <c r="AX539" i="10" s="1"/>
  <c r="AZ539" i="10" s="1"/>
  <c r="AJ540" i="10"/>
  <c r="AX540" i="10" s="1"/>
  <c r="AZ540" i="10" s="1"/>
  <c r="W541" i="10"/>
  <c r="AP541" i="10" s="1"/>
  <c r="AR541" i="10" s="1"/>
  <c r="R538" i="10"/>
  <c r="AL538" i="10" s="1"/>
  <c r="AN538" i="10" s="1"/>
  <c r="AJ541" i="10"/>
  <c r="AX541" i="10" s="1"/>
  <c r="W539" i="10"/>
  <c r="AP539" i="10" s="1"/>
  <c r="W540" i="10"/>
  <c r="AP540" i="10" s="1"/>
  <c r="AR540" i="10" s="1"/>
  <c r="R540" i="10"/>
  <c r="AL540" i="10" s="1"/>
  <c r="AN540" i="10" s="1"/>
  <c r="AW540" i="10"/>
  <c r="AW539" i="10"/>
  <c r="R541" i="10"/>
  <c r="AL541" i="10" s="1"/>
  <c r="AN541" i="10" s="1"/>
  <c r="R539" i="10"/>
  <c r="AL539" i="10" s="1"/>
  <c r="AN539" i="10" s="1"/>
  <c r="AV540" i="10"/>
  <c r="AV539" i="10"/>
  <c r="AV541" i="10"/>
  <c r="AR537" i="10"/>
  <c r="AV537" i="10"/>
  <c r="AJ538" i="10"/>
  <c r="AX538" i="10" s="1"/>
  <c r="BB538" i="10" s="1"/>
  <c r="BD538" i="10" s="1"/>
  <c r="BM538" i="10" s="1"/>
  <c r="AV535" i="10"/>
  <c r="AV538" i="10"/>
  <c r="AV534" i="10"/>
  <c r="W535" i="10"/>
  <c r="AP535" i="10" s="1"/>
  <c r="AR535" i="10" s="1"/>
  <c r="V535" i="10"/>
  <c r="AO535" i="10" s="1"/>
  <c r="AW538" i="10"/>
  <c r="R537" i="10"/>
  <c r="AL537" i="10" s="1"/>
  <c r="AN537" i="10" s="1"/>
  <c r="AR538" i="10"/>
  <c r="W536" i="10"/>
  <c r="AP536" i="10" s="1"/>
  <c r="AR536" i="10" s="1"/>
  <c r="V536" i="10"/>
  <c r="AO536" i="10" s="1"/>
  <c r="R535" i="10"/>
  <c r="AL535" i="10" s="1"/>
  <c r="AN535" i="10" s="1"/>
  <c r="W534" i="10"/>
  <c r="AP534" i="10" s="1"/>
  <c r="AR534" i="10" s="1"/>
  <c r="AV536" i="10"/>
  <c r="R536" i="10"/>
  <c r="AL536" i="10" s="1"/>
  <c r="AN536" i="10" s="1"/>
  <c r="AJ534" i="10"/>
  <c r="AX534" i="10" s="1"/>
  <c r="AZ534" i="10" s="1"/>
  <c r="AJ535" i="10"/>
  <c r="AX535" i="10" s="1"/>
  <c r="AZ535" i="10" s="1"/>
  <c r="AJ536" i="10"/>
  <c r="AX536" i="10" s="1"/>
  <c r="AZ536" i="10" s="1"/>
  <c r="AJ537" i="10"/>
  <c r="AX537" i="10" s="1"/>
  <c r="AZ537" i="10" s="1"/>
  <c r="R534" i="10"/>
  <c r="AL534" i="10" s="1"/>
  <c r="AN534" i="10" s="1"/>
  <c r="M534" i="10"/>
  <c r="W532" i="10"/>
  <c r="AP532" i="10" s="1"/>
  <c r="AR532" i="10" s="1"/>
  <c r="V532" i="10"/>
  <c r="AO532" i="10" s="1"/>
  <c r="R532" i="10"/>
  <c r="AL532" i="10" s="1"/>
  <c r="AN532" i="10" s="1"/>
  <c r="W533" i="10"/>
  <c r="AP533" i="10" s="1"/>
  <c r="AR533" i="10" s="1"/>
  <c r="AV533" i="10"/>
  <c r="R533" i="10"/>
  <c r="AL533" i="10" s="1"/>
  <c r="AN533" i="10" s="1"/>
  <c r="AV532" i="10"/>
  <c r="AJ533" i="10"/>
  <c r="AX533" i="10" s="1"/>
  <c r="AZ533" i="10" s="1"/>
  <c r="AJ532" i="10"/>
  <c r="AX532" i="10" s="1"/>
  <c r="AW532" i="10"/>
  <c r="BM545" i="10" l="1"/>
  <c r="BF548" i="10"/>
  <c r="BJ548" i="10"/>
  <c r="BG548" i="10"/>
  <c r="BD548" i="10"/>
  <c r="BE552" i="10"/>
  <c r="BF552" i="10"/>
  <c r="BG552" i="10"/>
  <c r="BJ552" i="10"/>
  <c r="BM557" i="10"/>
  <c r="BE557" i="10"/>
  <c r="BB539" i="10"/>
  <c r="BD539" i="10" s="1"/>
  <c r="BM539" i="10" s="1"/>
  <c r="BB541" i="10"/>
  <c r="BD541" i="10" s="1"/>
  <c r="BM541" i="10" s="1"/>
  <c r="BB540" i="10"/>
  <c r="AZ541" i="10"/>
  <c r="AR539" i="10"/>
  <c r="BA539" i="10" s="1"/>
  <c r="BA540" i="10"/>
  <c r="BA541" i="10"/>
  <c r="BA537" i="10"/>
  <c r="AZ538" i="10"/>
  <c r="BA535" i="10"/>
  <c r="BA538" i="10"/>
  <c r="BE538" i="10"/>
  <c r="BA536" i="10"/>
  <c r="BB535" i="10"/>
  <c r="BB534" i="10"/>
  <c r="BA534" i="10"/>
  <c r="BB537" i="10"/>
  <c r="BD537" i="10" s="1"/>
  <c r="BM537" i="10" s="1"/>
  <c r="BB536" i="10"/>
  <c r="BD536" i="10" s="1"/>
  <c r="BM536" i="10" s="1"/>
  <c r="BA533" i="10"/>
  <c r="BB532" i="10"/>
  <c r="BD532" i="10" s="1"/>
  <c r="BE532" i="10" s="1"/>
  <c r="AZ532" i="10"/>
  <c r="BB533" i="10"/>
  <c r="BD533" i="10" s="1"/>
  <c r="BA532" i="10"/>
  <c r="BE548" i="10" l="1"/>
  <c r="BM548" i="10"/>
  <c r="BC540" i="10"/>
  <c r="BJ540" i="10" s="1"/>
  <c r="BE539" i="10"/>
  <c r="BE541" i="10"/>
  <c r="BD535" i="10"/>
  <c r="BE535" i="10" s="1"/>
  <c r="BC534" i="10"/>
  <c r="BE537" i="10"/>
  <c r="BE536" i="10"/>
  <c r="BM532" i="10"/>
  <c r="BE533" i="10"/>
  <c r="BM533" i="10"/>
  <c r="D531" i="10"/>
  <c r="E531" i="10"/>
  <c r="H531" i="10"/>
  <c r="BH531" i="10" s="1"/>
  <c r="I531" i="10"/>
  <c r="J531" i="10"/>
  <c r="K531" i="10"/>
  <c r="L531" i="10"/>
  <c r="M531" i="10" s="1"/>
  <c r="P531" i="10"/>
  <c r="U531" i="10" s="1"/>
  <c r="V531" i="10" s="1"/>
  <c r="AO531" i="10" s="1"/>
  <c r="Q531" i="10"/>
  <c r="AK531" i="10" s="1"/>
  <c r="Z531" i="10"/>
  <c r="AA531" i="10"/>
  <c r="AS531" i="10" s="1"/>
  <c r="AB531" i="10"/>
  <c r="AT531" i="10" s="1"/>
  <c r="AH531" i="10"/>
  <c r="AI531" i="10" s="1"/>
  <c r="AW531" i="10" s="1"/>
  <c r="AM531" i="10"/>
  <c r="AQ531" i="10"/>
  <c r="AU531" i="10"/>
  <c r="AY531" i="10"/>
  <c r="BG531" i="10" s="1"/>
  <c r="BF531" i="10"/>
  <c r="BJ531" i="10"/>
  <c r="F530" i="10"/>
  <c r="BG540" i="10" l="1"/>
  <c r="BM535" i="10"/>
  <c r="BF540" i="10"/>
  <c r="BD540" i="10"/>
  <c r="BM540" i="10" s="1"/>
  <c r="BF534" i="10"/>
  <c r="BJ534" i="10"/>
  <c r="BG534" i="10"/>
  <c r="BD534" i="10"/>
  <c r="W531" i="10"/>
  <c r="AP531" i="10" s="1"/>
  <c r="AR531" i="10" s="1"/>
  <c r="AV531" i="10"/>
  <c r="R531" i="10"/>
  <c r="AL531" i="10" s="1"/>
  <c r="AN531" i="10" s="1"/>
  <c r="AJ531" i="10"/>
  <c r="AX531" i="10" s="1"/>
  <c r="AZ531" i="10" s="1"/>
  <c r="BE540" i="10" l="1"/>
  <c r="BM534" i="10"/>
  <c r="BE534" i="10"/>
  <c r="BB531" i="10"/>
  <c r="BD531" i="10" s="1"/>
  <c r="BE531" i="10" s="1"/>
  <c r="BA531" i="10"/>
  <c r="D530" i="10"/>
  <c r="E530" i="10"/>
  <c r="H530" i="10"/>
  <c r="BH530" i="10" s="1"/>
  <c r="I530" i="10"/>
  <c r="J530" i="10"/>
  <c r="K530" i="10"/>
  <c r="L530" i="10"/>
  <c r="M530" i="10" s="1"/>
  <c r="P530" i="10"/>
  <c r="U530" i="10" s="1"/>
  <c r="Q530" i="10"/>
  <c r="Z530" i="10"/>
  <c r="AA530" i="10"/>
  <c r="AS530" i="10" s="1"/>
  <c r="AB530" i="10"/>
  <c r="AT530" i="10" s="1"/>
  <c r="AH530" i="10"/>
  <c r="AI530" i="10" s="1"/>
  <c r="AW530" i="10" s="1"/>
  <c r="AM530" i="10"/>
  <c r="AQ530" i="10"/>
  <c r="AU530" i="10"/>
  <c r="AY530" i="10"/>
  <c r="BG530" i="10" s="1"/>
  <c r="BF530" i="10"/>
  <c r="BJ530" i="10"/>
  <c r="BM531" i="10" l="1"/>
  <c r="AJ530" i="10"/>
  <c r="AX530" i="10" s="1"/>
  <c r="AZ530" i="10" s="1"/>
  <c r="R530" i="10"/>
  <c r="AL530" i="10" s="1"/>
  <c r="AN530" i="10" s="1"/>
  <c r="AK530" i="10"/>
  <c r="AV530" i="10"/>
  <c r="V530" i="10"/>
  <c r="AO530" i="10" s="1"/>
  <c r="W530" i="10"/>
  <c r="AP530" i="10" s="1"/>
  <c r="AR530" i="10" s="1"/>
  <c r="BA530" i="10" l="1"/>
  <c r="BB530" i="10"/>
  <c r="BD530" i="10" s="1"/>
  <c r="BM530" i="10" s="1"/>
  <c r="BE530" i="10" l="1"/>
  <c r="D529" i="10" l="1"/>
  <c r="E529" i="10"/>
  <c r="H529" i="10"/>
  <c r="BH529" i="10" s="1"/>
  <c r="I529" i="10"/>
  <c r="J529" i="10"/>
  <c r="K529" i="10"/>
  <c r="L529" i="10"/>
  <c r="M529" i="10" s="1"/>
  <c r="P529" i="10"/>
  <c r="U529" i="10" s="1"/>
  <c r="V529" i="10" s="1"/>
  <c r="AO529" i="10" s="1"/>
  <c r="Q529" i="10"/>
  <c r="Z529" i="10"/>
  <c r="AA529" i="10"/>
  <c r="AS529" i="10" s="1"/>
  <c r="AB529" i="10"/>
  <c r="AT529" i="10" s="1"/>
  <c r="AH529" i="10"/>
  <c r="AI529" i="10"/>
  <c r="AW529" i="10" s="1"/>
  <c r="AK529" i="10"/>
  <c r="AM529" i="10"/>
  <c r="AQ529" i="10"/>
  <c r="AU529" i="10"/>
  <c r="AY529" i="10"/>
  <c r="D525" i="10"/>
  <c r="E525" i="10"/>
  <c r="H525" i="10"/>
  <c r="BH525" i="10" s="1"/>
  <c r="I525" i="10"/>
  <c r="J525" i="10"/>
  <c r="K525" i="10"/>
  <c r="L525" i="10"/>
  <c r="M525" i="10" s="1"/>
  <c r="P525" i="10"/>
  <c r="U525" i="10" s="1"/>
  <c r="V525" i="10" s="1"/>
  <c r="AO525" i="10" s="1"/>
  <c r="Q525" i="10"/>
  <c r="AK525" i="10" s="1"/>
  <c r="Z525" i="10"/>
  <c r="AA525" i="10"/>
  <c r="AS525" i="10" s="1"/>
  <c r="AB525" i="10"/>
  <c r="AT525" i="10" s="1"/>
  <c r="AH525" i="10"/>
  <c r="AI525" i="10"/>
  <c r="AW525" i="10" s="1"/>
  <c r="AM525" i="10"/>
  <c r="AQ525" i="10"/>
  <c r="AU525" i="10"/>
  <c r="AY525" i="10"/>
  <c r="BG525" i="10" s="1"/>
  <c r="BF525" i="10"/>
  <c r="BJ525" i="10"/>
  <c r="D528" i="10"/>
  <c r="E528" i="10"/>
  <c r="H528" i="10"/>
  <c r="BH528" i="10" s="1"/>
  <c r="I528" i="10"/>
  <c r="J528" i="10"/>
  <c r="K528" i="10"/>
  <c r="L528" i="10"/>
  <c r="M528" i="10" s="1"/>
  <c r="P528" i="10"/>
  <c r="U528" i="10" s="1"/>
  <c r="Q528" i="10"/>
  <c r="AK528" i="10" s="1"/>
  <c r="Z528" i="10"/>
  <c r="AA528" i="10"/>
  <c r="AS528" i="10" s="1"/>
  <c r="AB528" i="10"/>
  <c r="AT528" i="10" s="1"/>
  <c r="AH528" i="10"/>
  <c r="AI528" i="10" s="1"/>
  <c r="AW528" i="10" s="1"/>
  <c r="AM528" i="10"/>
  <c r="AQ528" i="10"/>
  <c r="AU528" i="10"/>
  <c r="AY528" i="10"/>
  <c r="BG528" i="10" s="1"/>
  <c r="BF528" i="10"/>
  <c r="BJ528" i="10"/>
  <c r="D523" i="10"/>
  <c r="D524" i="10"/>
  <c r="D526" i="10"/>
  <c r="D527" i="10"/>
  <c r="E527" i="10"/>
  <c r="H527" i="10"/>
  <c r="BH527" i="10" s="1"/>
  <c r="I527" i="10"/>
  <c r="J527" i="10"/>
  <c r="K527" i="10"/>
  <c r="L527" i="10"/>
  <c r="M527" i="10" s="1"/>
  <c r="P527" i="10"/>
  <c r="U527" i="10" s="1"/>
  <c r="V527" i="10" s="1"/>
  <c r="AO527" i="10" s="1"/>
  <c r="Q527" i="10"/>
  <c r="AK527" i="10" s="1"/>
  <c r="Z527" i="10"/>
  <c r="AA527" i="10"/>
  <c r="AS527" i="10" s="1"/>
  <c r="AB527" i="10"/>
  <c r="AT527" i="10" s="1"/>
  <c r="AV527" i="10" s="1"/>
  <c r="AH527" i="10"/>
  <c r="AI527" i="10" s="1"/>
  <c r="AW527" i="10" s="1"/>
  <c r="AM527" i="10"/>
  <c r="AQ527" i="10"/>
  <c r="AY527" i="10"/>
  <c r="BG527" i="10" s="1"/>
  <c r="BF527" i="10"/>
  <c r="BJ527" i="10"/>
  <c r="E526" i="10"/>
  <c r="H526" i="10"/>
  <c r="BH526" i="10" s="1"/>
  <c r="I526" i="10"/>
  <c r="J526" i="10"/>
  <c r="K526" i="10"/>
  <c r="L526" i="10"/>
  <c r="M526" i="10" s="1"/>
  <c r="P526" i="10"/>
  <c r="U526" i="10" s="1"/>
  <c r="V526" i="10" s="1"/>
  <c r="AO526" i="10" s="1"/>
  <c r="Q526" i="10"/>
  <c r="AK526" i="10" s="1"/>
  <c r="Z526" i="10"/>
  <c r="AA526" i="10"/>
  <c r="AS526" i="10" s="1"/>
  <c r="AB526" i="10"/>
  <c r="AT526" i="10" s="1"/>
  <c r="AH526" i="10"/>
  <c r="AI526" i="10" s="1"/>
  <c r="AW526" i="10" s="1"/>
  <c r="AM526" i="10"/>
  <c r="AQ526" i="10"/>
  <c r="AU526" i="10"/>
  <c r="AY526" i="10"/>
  <c r="BG526" i="10" s="1"/>
  <c r="BF526" i="10"/>
  <c r="BJ526" i="10"/>
  <c r="E524" i="10"/>
  <c r="H524" i="10"/>
  <c r="BH524" i="10" s="1"/>
  <c r="I524" i="10"/>
  <c r="J524" i="10"/>
  <c r="K524" i="10"/>
  <c r="L524" i="10"/>
  <c r="M524" i="10" s="1"/>
  <c r="P524" i="10"/>
  <c r="U524" i="10" s="1"/>
  <c r="V524" i="10" s="1"/>
  <c r="AO524" i="10" s="1"/>
  <c r="Q524" i="10"/>
  <c r="AK524" i="10" s="1"/>
  <c r="Z524" i="10"/>
  <c r="AA524" i="10"/>
  <c r="AS524" i="10" s="1"/>
  <c r="AB524" i="10"/>
  <c r="AT524" i="10" s="1"/>
  <c r="AH524" i="10"/>
  <c r="AI524" i="10" s="1"/>
  <c r="AW524" i="10" s="1"/>
  <c r="AM524" i="10"/>
  <c r="AQ524" i="10"/>
  <c r="AU524" i="10"/>
  <c r="AY524" i="10"/>
  <c r="E523" i="10"/>
  <c r="H523" i="10"/>
  <c r="BH523" i="10" s="1"/>
  <c r="I523" i="10"/>
  <c r="J523" i="10"/>
  <c r="K523" i="10"/>
  <c r="L523" i="10"/>
  <c r="M523" i="10" s="1"/>
  <c r="P523" i="10"/>
  <c r="U523" i="10" s="1"/>
  <c r="V523" i="10" s="1"/>
  <c r="AO523" i="10" s="1"/>
  <c r="Q523" i="10"/>
  <c r="AK523" i="10" s="1"/>
  <c r="Z523" i="10"/>
  <c r="AA523" i="10"/>
  <c r="AS523" i="10" s="1"/>
  <c r="AB523" i="10"/>
  <c r="AT523" i="10" s="1"/>
  <c r="AH523" i="10"/>
  <c r="AI523" i="10" s="1"/>
  <c r="AW523" i="10" s="1"/>
  <c r="AM523" i="10"/>
  <c r="AQ523" i="10"/>
  <c r="AU523" i="10"/>
  <c r="AY523" i="10"/>
  <c r="BG523" i="10" s="1"/>
  <c r="BF523" i="10"/>
  <c r="BJ523" i="10"/>
  <c r="AJ529" i="10" l="1"/>
  <c r="AX529" i="10" s="1"/>
  <c r="AZ529" i="10" s="1"/>
  <c r="W527" i="10"/>
  <c r="AP527" i="10" s="1"/>
  <c r="AR527" i="10" s="1"/>
  <c r="W529" i="10"/>
  <c r="AP529" i="10" s="1"/>
  <c r="AR529" i="10" s="1"/>
  <c r="W526" i="10"/>
  <c r="AP526" i="10" s="1"/>
  <c r="AR526" i="10" s="1"/>
  <c r="R524" i="10"/>
  <c r="AL524" i="10" s="1"/>
  <c r="AN524" i="10" s="1"/>
  <c r="AV528" i="10"/>
  <c r="AJ525" i="10"/>
  <c r="AX525" i="10" s="1"/>
  <c r="AV526" i="10"/>
  <c r="R529" i="10"/>
  <c r="AL529" i="10" s="1"/>
  <c r="AN529" i="10" s="1"/>
  <c r="R525" i="10"/>
  <c r="AL525" i="10" s="1"/>
  <c r="AN525" i="10" s="1"/>
  <c r="AV529" i="10"/>
  <c r="AV525" i="10"/>
  <c r="W525" i="10"/>
  <c r="AP525" i="10" s="1"/>
  <c r="AR525" i="10" s="1"/>
  <c r="W528" i="10"/>
  <c r="AP528" i="10" s="1"/>
  <c r="AR528" i="10" s="1"/>
  <c r="V528" i="10"/>
  <c r="AO528" i="10" s="1"/>
  <c r="AJ527" i="10"/>
  <c r="AX527" i="10" s="1"/>
  <c r="AZ527" i="10" s="1"/>
  <c r="AV524" i="10"/>
  <c r="AJ526" i="10"/>
  <c r="AX526" i="10" s="1"/>
  <c r="AJ528" i="10"/>
  <c r="AX528" i="10" s="1"/>
  <c r="W523" i="10"/>
  <c r="AP523" i="10" s="1"/>
  <c r="AR523" i="10" s="1"/>
  <c r="R528" i="10"/>
  <c r="AL528" i="10" s="1"/>
  <c r="AN528" i="10" s="1"/>
  <c r="W524" i="10"/>
  <c r="AP524" i="10" s="1"/>
  <c r="AR524" i="10" s="1"/>
  <c r="R527" i="10"/>
  <c r="AL527" i="10" s="1"/>
  <c r="AN527" i="10" s="1"/>
  <c r="AJ523" i="10"/>
  <c r="AX523" i="10" s="1"/>
  <c r="AZ523" i="10" s="1"/>
  <c r="AJ524" i="10"/>
  <c r="AX524" i="10" s="1"/>
  <c r="R526" i="10"/>
  <c r="AL526" i="10" s="1"/>
  <c r="AN526" i="10" s="1"/>
  <c r="R523" i="10"/>
  <c r="AL523" i="10" s="1"/>
  <c r="AN523" i="10" s="1"/>
  <c r="AV523" i="10"/>
  <c r="BB529" i="10" l="1"/>
  <c r="BB526" i="10"/>
  <c r="BD526" i="10" s="1"/>
  <c r="BM526" i="10" s="1"/>
  <c r="AZ526" i="10"/>
  <c r="BB527" i="10"/>
  <c r="BD527" i="10" s="1"/>
  <c r="BM527" i="10" s="1"/>
  <c r="BA527" i="10"/>
  <c r="BA526" i="10"/>
  <c r="BA529" i="10"/>
  <c r="BA525" i="10"/>
  <c r="BB525" i="10"/>
  <c r="BD525" i="10" s="1"/>
  <c r="BE525" i="10" s="1"/>
  <c r="BB528" i="10"/>
  <c r="BD528" i="10" s="1"/>
  <c r="BM528" i="10" s="1"/>
  <c r="AZ525" i="10"/>
  <c r="AZ528" i="10"/>
  <c r="BA528" i="10"/>
  <c r="BA524" i="10"/>
  <c r="BB524" i="10"/>
  <c r="BB523" i="10"/>
  <c r="BD523" i="10" s="1"/>
  <c r="BE523" i="10" s="1"/>
  <c r="AZ524" i="10"/>
  <c r="BA523" i="10"/>
  <c r="BE526" i="10" l="1"/>
  <c r="BE527" i="10"/>
  <c r="BF529" i="10"/>
  <c r="BG529" i="10"/>
  <c r="BJ529" i="10"/>
  <c r="BD529" i="10"/>
  <c r="BE528" i="10"/>
  <c r="BM525" i="10"/>
  <c r="BC524" i="10"/>
  <c r="BM523" i="10"/>
  <c r="S518" i="10"/>
  <c r="D522" i="10"/>
  <c r="E522" i="10"/>
  <c r="H522" i="10"/>
  <c r="BH522" i="10" s="1"/>
  <c r="I522" i="10"/>
  <c r="J522" i="10"/>
  <c r="K522" i="10"/>
  <c r="L522" i="10"/>
  <c r="M522" i="10" s="1"/>
  <c r="P522" i="10"/>
  <c r="U522" i="10" s="1"/>
  <c r="Q522" i="10"/>
  <c r="AK522" i="10" s="1"/>
  <c r="V522" i="10"/>
  <c r="AO522" i="10" s="1"/>
  <c r="W522" i="10"/>
  <c r="AP522" i="10" s="1"/>
  <c r="Z522" i="10"/>
  <c r="AA522" i="10"/>
  <c r="AS522" i="10" s="1"/>
  <c r="AB522" i="10"/>
  <c r="AT522" i="10" s="1"/>
  <c r="AH522" i="10"/>
  <c r="AI522" i="10"/>
  <c r="AM522" i="10"/>
  <c r="AQ522" i="10"/>
  <c r="AU522" i="10"/>
  <c r="AY522" i="10"/>
  <c r="BG522" i="10" s="1"/>
  <c r="BF522" i="10"/>
  <c r="BJ522" i="10"/>
  <c r="BM529" i="10" l="1"/>
  <c r="BE529" i="10"/>
  <c r="BG524" i="10"/>
  <c r="BF524" i="10"/>
  <c r="BJ524" i="10"/>
  <c r="BD524" i="10"/>
  <c r="AR522" i="10"/>
  <c r="AJ522" i="10"/>
  <c r="AX522" i="10" s="1"/>
  <c r="AZ522" i="10" s="1"/>
  <c r="AV522" i="10"/>
  <c r="R522" i="10"/>
  <c r="AL522" i="10" s="1"/>
  <c r="AN522" i="10" s="1"/>
  <c r="AW522" i="10"/>
  <c r="D518" i="10"/>
  <c r="D519" i="10"/>
  <c r="D520" i="10"/>
  <c r="D521" i="10"/>
  <c r="E521" i="10"/>
  <c r="H521" i="10"/>
  <c r="BH521" i="10" s="1"/>
  <c r="I521" i="10"/>
  <c r="J521" i="10"/>
  <c r="K521" i="10"/>
  <c r="L521" i="10"/>
  <c r="M521" i="10" s="1"/>
  <c r="P521" i="10"/>
  <c r="U521" i="10" s="1"/>
  <c r="V521" i="10" s="1"/>
  <c r="AO521" i="10" s="1"/>
  <c r="Q521" i="10"/>
  <c r="AK521" i="10" s="1"/>
  <c r="Z521" i="10"/>
  <c r="AA521" i="10"/>
  <c r="AS521" i="10" s="1"/>
  <c r="AB521" i="10"/>
  <c r="AT521" i="10" s="1"/>
  <c r="AH521" i="10"/>
  <c r="AI521" i="10" s="1"/>
  <c r="AM521" i="10"/>
  <c r="AQ521" i="10"/>
  <c r="AU521" i="10"/>
  <c r="AY521" i="10"/>
  <c r="BG521" i="10" s="1"/>
  <c r="BF521" i="10"/>
  <c r="BJ521" i="10"/>
  <c r="E520" i="10"/>
  <c r="H520" i="10"/>
  <c r="BH520" i="10" s="1"/>
  <c r="I520" i="10"/>
  <c r="J520" i="10"/>
  <c r="K520" i="10"/>
  <c r="L520" i="10"/>
  <c r="M520" i="10" s="1"/>
  <c r="P520" i="10"/>
  <c r="U520" i="10" s="1"/>
  <c r="Q520" i="10"/>
  <c r="AK520" i="10" s="1"/>
  <c r="V520" i="10"/>
  <c r="AO520" i="10" s="1"/>
  <c r="W520" i="10"/>
  <c r="AP520" i="10" s="1"/>
  <c r="Z520" i="10"/>
  <c r="AA520" i="10"/>
  <c r="AS520" i="10" s="1"/>
  <c r="AB520" i="10"/>
  <c r="AT520" i="10" s="1"/>
  <c r="AH520" i="10"/>
  <c r="AI520" i="10"/>
  <c r="AW520" i="10" s="1"/>
  <c r="AM520" i="10"/>
  <c r="AQ520" i="10"/>
  <c r="AU520" i="10"/>
  <c r="AY520" i="10"/>
  <c r="BG520" i="10" s="1"/>
  <c r="BF520" i="10"/>
  <c r="BJ520" i="10"/>
  <c r="E519" i="10"/>
  <c r="H519" i="10"/>
  <c r="BH519" i="10" s="1"/>
  <c r="I519" i="10"/>
  <c r="J519" i="10"/>
  <c r="K519" i="10"/>
  <c r="L519" i="10"/>
  <c r="M519" i="10" s="1"/>
  <c r="P519" i="10"/>
  <c r="U519" i="10" s="1"/>
  <c r="V519" i="10" s="1"/>
  <c r="AO519" i="10" s="1"/>
  <c r="Q519" i="10"/>
  <c r="AK519" i="10" s="1"/>
  <c r="Z519" i="10"/>
  <c r="AA519" i="10"/>
  <c r="AS519" i="10" s="1"/>
  <c r="AB519" i="10"/>
  <c r="AT519" i="10" s="1"/>
  <c r="AH519" i="10"/>
  <c r="AI519" i="10" s="1"/>
  <c r="AM519" i="10"/>
  <c r="AQ519" i="10"/>
  <c r="AU519" i="10"/>
  <c r="AY519" i="10"/>
  <c r="BG519" i="10" s="1"/>
  <c r="BF519" i="10"/>
  <c r="BJ519" i="10"/>
  <c r="E518" i="10"/>
  <c r="H518" i="10"/>
  <c r="BH518" i="10" s="1"/>
  <c r="I518" i="10"/>
  <c r="J518" i="10"/>
  <c r="K518" i="10"/>
  <c r="L518" i="10"/>
  <c r="M518" i="10" s="1"/>
  <c r="P518" i="10"/>
  <c r="U518" i="10" s="1"/>
  <c r="V518" i="10" s="1"/>
  <c r="AO518" i="10" s="1"/>
  <c r="Q518" i="10"/>
  <c r="AK518" i="10" s="1"/>
  <c r="Z518" i="10"/>
  <c r="AA518" i="10"/>
  <c r="AS518" i="10" s="1"/>
  <c r="AB518" i="10"/>
  <c r="AT518" i="10" s="1"/>
  <c r="AH518" i="10"/>
  <c r="AI518" i="10" s="1"/>
  <c r="AW518" i="10" s="1"/>
  <c r="AM518" i="10"/>
  <c r="AQ518" i="10"/>
  <c r="AU518" i="10"/>
  <c r="AY518" i="10"/>
  <c r="F515" i="10"/>
  <c r="AD514" i="10"/>
  <c r="AD515" i="10" s="1"/>
  <c r="W521" i="10" l="1"/>
  <c r="AP521" i="10" s="1"/>
  <c r="BE524" i="10"/>
  <c r="BM524" i="10"/>
  <c r="BB522" i="10"/>
  <c r="BD522" i="10" s="1"/>
  <c r="BE522" i="10" s="1"/>
  <c r="R520" i="10"/>
  <c r="AL520" i="10" s="1"/>
  <c r="AN520" i="10" s="1"/>
  <c r="R521" i="10"/>
  <c r="AL521" i="10" s="1"/>
  <c r="AN521" i="10" s="1"/>
  <c r="AR521" i="10"/>
  <c r="AR520" i="10"/>
  <c r="BA522" i="10"/>
  <c r="AV520" i="10"/>
  <c r="AJ519" i="10"/>
  <c r="AX519" i="10" s="1"/>
  <c r="AZ519" i="10" s="1"/>
  <c r="AV521" i="10"/>
  <c r="W519" i="10"/>
  <c r="AP519" i="10" s="1"/>
  <c r="AR519" i="10" s="1"/>
  <c r="W518" i="10"/>
  <c r="AP518" i="10" s="1"/>
  <c r="AR518" i="10" s="1"/>
  <c r="AJ520" i="10"/>
  <c r="AX520" i="10" s="1"/>
  <c r="AZ520" i="10" s="1"/>
  <c r="AJ521" i="10"/>
  <c r="AX521" i="10" s="1"/>
  <c r="AZ521" i="10" s="1"/>
  <c r="R518" i="10"/>
  <c r="AL518" i="10" s="1"/>
  <c r="AN518" i="10" s="1"/>
  <c r="R519" i="10"/>
  <c r="AL519" i="10" s="1"/>
  <c r="AN519" i="10" s="1"/>
  <c r="AJ518" i="10"/>
  <c r="AX518" i="10" s="1"/>
  <c r="AZ518" i="10" s="1"/>
  <c r="AV519" i="10"/>
  <c r="AW521" i="10"/>
  <c r="AV518" i="10"/>
  <c r="AW519" i="10"/>
  <c r="D517" i="10"/>
  <c r="E517" i="10"/>
  <c r="H517" i="10"/>
  <c r="BH517" i="10" s="1"/>
  <c r="I517" i="10"/>
  <c r="J517" i="10"/>
  <c r="K517" i="10"/>
  <c r="L517" i="10"/>
  <c r="M517" i="10" s="1"/>
  <c r="P517" i="10"/>
  <c r="U517" i="10" s="1"/>
  <c r="V517" i="10" s="1"/>
  <c r="AO517" i="10" s="1"/>
  <c r="Q517" i="10"/>
  <c r="AK517" i="10" s="1"/>
  <c r="Z517" i="10"/>
  <c r="AA517" i="10"/>
  <c r="AS517" i="10" s="1"/>
  <c r="AB517" i="10"/>
  <c r="AT517" i="10" s="1"/>
  <c r="AH517" i="10"/>
  <c r="AI517" i="10" s="1"/>
  <c r="AW517" i="10" s="1"/>
  <c r="AM517" i="10"/>
  <c r="AQ517" i="10"/>
  <c r="AU517" i="10"/>
  <c r="AY517" i="10"/>
  <c r="BG517" i="10" s="1"/>
  <c r="BF517" i="10"/>
  <c r="BJ517" i="10"/>
  <c r="D516" i="10"/>
  <c r="E516" i="10"/>
  <c r="H516" i="10"/>
  <c r="BH516" i="10" s="1"/>
  <c r="I516" i="10"/>
  <c r="J516" i="10"/>
  <c r="K516" i="10"/>
  <c r="L516" i="10"/>
  <c r="M516" i="10" s="1"/>
  <c r="P516" i="10"/>
  <c r="U516" i="10" s="1"/>
  <c r="V516" i="10" s="1"/>
  <c r="AO516" i="10" s="1"/>
  <c r="Q516" i="10"/>
  <c r="AK516" i="10" s="1"/>
  <c r="Z516" i="10"/>
  <c r="AA516" i="10"/>
  <c r="AS516" i="10" s="1"/>
  <c r="AB516" i="10"/>
  <c r="AT516" i="10" s="1"/>
  <c r="AH516" i="10"/>
  <c r="AI516" i="10" s="1"/>
  <c r="AW516" i="10" s="1"/>
  <c r="AM516" i="10"/>
  <c r="AQ516" i="10"/>
  <c r="AU516" i="10"/>
  <c r="AY516" i="10"/>
  <c r="BG516" i="10" s="1"/>
  <c r="BF516" i="10"/>
  <c r="BJ516" i="10"/>
  <c r="D514" i="10"/>
  <c r="D515" i="10"/>
  <c r="E515" i="10"/>
  <c r="H515" i="10"/>
  <c r="BH515" i="10" s="1"/>
  <c r="I515" i="10"/>
  <c r="J515" i="10"/>
  <c r="K515" i="10"/>
  <c r="L515" i="10"/>
  <c r="M515" i="10" s="1"/>
  <c r="P515" i="10"/>
  <c r="U515" i="10" s="1"/>
  <c r="V515" i="10" s="1"/>
  <c r="AO515" i="10" s="1"/>
  <c r="Q515" i="10"/>
  <c r="AK515" i="10" s="1"/>
  <c r="Z515" i="10"/>
  <c r="AA515" i="10"/>
  <c r="AS515" i="10" s="1"/>
  <c r="AB515" i="10"/>
  <c r="AT515" i="10" s="1"/>
  <c r="AH515" i="10"/>
  <c r="AI515" i="10" s="1"/>
  <c r="AM515" i="10"/>
  <c r="AQ515" i="10"/>
  <c r="AU515" i="10"/>
  <c r="AY515" i="10"/>
  <c r="BG515" i="10" s="1"/>
  <c r="BF515" i="10"/>
  <c r="BJ515" i="10"/>
  <c r="E514" i="10"/>
  <c r="H514" i="10"/>
  <c r="BH514" i="10" s="1"/>
  <c r="I514" i="10"/>
  <c r="J514" i="10"/>
  <c r="K514" i="10"/>
  <c r="L514" i="10"/>
  <c r="M514" i="10" s="1"/>
  <c r="P514" i="10"/>
  <c r="U514" i="10" s="1"/>
  <c r="Q514" i="10"/>
  <c r="AK514" i="10" s="1"/>
  <c r="Z514" i="10"/>
  <c r="AA514" i="10"/>
  <c r="AS514" i="10" s="1"/>
  <c r="AB514" i="10"/>
  <c r="AT514" i="10" s="1"/>
  <c r="AH514" i="10"/>
  <c r="AI514" i="10" s="1"/>
  <c r="AW514" i="10" s="1"/>
  <c r="AM514" i="10"/>
  <c r="AQ514" i="10"/>
  <c r="AU514" i="10"/>
  <c r="AY514" i="10"/>
  <c r="D513" i="10"/>
  <c r="E513" i="10"/>
  <c r="H513" i="10"/>
  <c r="BH513" i="10" s="1"/>
  <c r="I513" i="10"/>
  <c r="J513" i="10"/>
  <c r="K513" i="10"/>
  <c r="L513" i="10"/>
  <c r="M513" i="10"/>
  <c r="P513" i="10"/>
  <c r="U513" i="10" s="1"/>
  <c r="Q513" i="10"/>
  <c r="AK513" i="10" s="1"/>
  <c r="V513" i="10"/>
  <c r="AO513" i="10" s="1"/>
  <c r="W513" i="10"/>
  <c r="AP513" i="10" s="1"/>
  <c r="Z513" i="10"/>
  <c r="AH513" i="10"/>
  <c r="AI513" i="10"/>
  <c r="AW513" i="10" s="1"/>
  <c r="AM513" i="10"/>
  <c r="AQ513" i="10"/>
  <c r="AU513" i="10"/>
  <c r="AY513" i="10"/>
  <c r="BG513" i="10" s="1"/>
  <c r="BF513" i="10"/>
  <c r="BJ513" i="10"/>
  <c r="D512" i="10"/>
  <c r="E512" i="10"/>
  <c r="H512" i="10"/>
  <c r="BH512" i="10" s="1"/>
  <c r="I512" i="10"/>
  <c r="J512" i="10"/>
  <c r="K512" i="10"/>
  <c r="L512" i="10"/>
  <c r="M512" i="10" s="1"/>
  <c r="P512" i="10"/>
  <c r="U512" i="10" s="1"/>
  <c r="Q512" i="10"/>
  <c r="AK512" i="10" s="1"/>
  <c r="Z512" i="10"/>
  <c r="AA512" i="10"/>
  <c r="AS512" i="10" s="1"/>
  <c r="AB512" i="10"/>
  <c r="AT512" i="10" s="1"/>
  <c r="AH512" i="10"/>
  <c r="AI512" i="10"/>
  <c r="AM512" i="10"/>
  <c r="AQ512" i="10"/>
  <c r="AU512" i="10"/>
  <c r="AY512" i="10"/>
  <c r="D511" i="10"/>
  <c r="E511" i="10"/>
  <c r="H511" i="10"/>
  <c r="BH511" i="10" s="1"/>
  <c r="I511" i="10"/>
  <c r="J511" i="10"/>
  <c r="K511" i="10"/>
  <c r="L511" i="10"/>
  <c r="M511" i="10" s="1"/>
  <c r="P511" i="10"/>
  <c r="U511" i="10" s="1"/>
  <c r="V511" i="10" s="1"/>
  <c r="AO511" i="10" s="1"/>
  <c r="Q511" i="10"/>
  <c r="AK511" i="10" s="1"/>
  <c r="Z511" i="10"/>
  <c r="AA511" i="10"/>
  <c r="AS511" i="10" s="1"/>
  <c r="AB511" i="10"/>
  <c r="AT511" i="10" s="1"/>
  <c r="AH511" i="10"/>
  <c r="AI511" i="10" s="1"/>
  <c r="AW511" i="10" s="1"/>
  <c r="AM511" i="10"/>
  <c r="AQ511" i="10"/>
  <c r="AU511" i="10"/>
  <c r="AY511" i="10"/>
  <c r="BG511" i="10" s="1"/>
  <c r="BF511" i="10"/>
  <c r="BJ511" i="10"/>
  <c r="D510" i="10"/>
  <c r="E510" i="10"/>
  <c r="H510" i="10"/>
  <c r="BH510" i="10" s="1"/>
  <c r="I510" i="10"/>
  <c r="J510" i="10"/>
  <c r="K510" i="10"/>
  <c r="L510" i="10"/>
  <c r="M510" i="10" s="1"/>
  <c r="P510" i="10"/>
  <c r="U510" i="10" s="1"/>
  <c r="Q510" i="10"/>
  <c r="AK510" i="10" s="1"/>
  <c r="V510" i="10"/>
  <c r="AO510" i="10" s="1"/>
  <c r="W510" i="10"/>
  <c r="AP510" i="10" s="1"/>
  <c r="Z510" i="10"/>
  <c r="AA510" i="10"/>
  <c r="AS510" i="10" s="1"/>
  <c r="AB510" i="10"/>
  <c r="AT510" i="10" s="1"/>
  <c r="AH510" i="10"/>
  <c r="AI510" i="10"/>
  <c r="AM510" i="10"/>
  <c r="AQ510" i="10"/>
  <c r="AU510" i="10"/>
  <c r="AY510" i="10"/>
  <c r="BG510" i="10" s="1"/>
  <c r="BF510" i="10"/>
  <c r="BJ510" i="10"/>
  <c r="F509" i="10"/>
  <c r="D509" i="10"/>
  <c r="E509" i="10"/>
  <c r="H509" i="10"/>
  <c r="BH509" i="10" s="1"/>
  <c r="I509" i="10"/>
  <c r="J509" i="10"/>
  <c r="K509" i="10"/>
  <c r="L509" i="10"/>
  <c r="P509" i="10"/>
  <c r="Q509" i="10"/>
  <c r="AK509" i="10" s="1"/>
  <c r="Z509" i="10"/>
  <c r="AA509" i="10"/>
  <c r="AS509" i="10" s="1"/>
  <c r="AB509" i="10"/>
  <c r="AT509" i="10" s="1"/>
  <c r="AH509" i="10"/>
  <c r="AI509" i="10" s="1"/>
  <c r="AW509" i="10" s="1"/>
  <c r="AM509" i="10"/>
  <c r="AQ509" i="10"/>
  <c r="AU509" i="10"/>
  <c r="AY509" i="10"/>
  <c r="BG509" i="10" s="1"/>
  <c r="BF509" i="10"/>
  <c r="BJ509" i="10"/>
  <c r="D508" i="10"/>
  <c r="E508" i="10"/>
  <c r="H508" i="10"/>
  <c r="BH508" i="10" s="1"/>
  <c r="I508" i="10"/>
  <c r="J508" i="10"/>
  <c r="K508" i="10"/>
  <c r="L508" i="10"/>
  <c r="M508" i="10" s="1"/>
  <c r="P508" i="10"/>
  <c r="U508" i="10" s="1"/>
  <c r="Q508" i="10"/>
  <c r="AK508" i="10" s="1"/>
  <c r="V508" i="10"/>
  <c r="AO508" i="10" s="1"/>
  <c r="W508" i="10"/>
  <c r="AP508" i="10" s="1"/>
  <c r="Z508" i="10"/>
  <c r="AA508" i="10"/>
  <c r="AS508" i="10" s="1"/>
  <c r="AB508" i="10"/>
  <c r="AT508" i="10" s="1"/>
  <c r="AH508" i="10"/>
  <c r="AI508" i="10"/>
  <c r="AW508" i="10" s="1"/>
  <c r="AM508" i="10"/>
  <c r="AQ508" i="10"/>
  <c r="AU508" i="10"/>
  <c r="AY508" i="10"/>
  <c r="BG508" i="10" s="1"/>
  <c r="BF508" i="10"/>
  <c r="BJ508" i="10"/>
  <c r="D507" i="10"/>
  <c r="E507" i="10"/>
  <c r="H507" i="10"/>
  <c r="BH507" i="10" s="1"/>
  <c r="I507" i="10"/>
  <c r="J507" i="10"/>
  <c r="K507" i="10"/>
  <c r="L507" i="10"/>
  <c r="M507" i="10" s="1"/>
  <c r="P507" i="10"/>
  <c r="U507" i="10" s="1"/>
  <c r="Q507" i="10"/>
  <c r="AK507" i="10" s="1"/>
  <c r="V507" i="10"/>
  <c r="AO507" i="10" s="1"/>
  <c r="W507" i="10"/>
  <c r="AP507" i="10" s="1"/>
  <c r="Z507" i="10"/>
  <c r="AA507" i="10"/>
  <c r="AS507" i="10" s="1"/>
  <c r="AB507" i="10"/>
  <c r="AT507" i="10" s="1"/>
  <c r="AH507" i="10"/>
  <c r="AI507" i="10"/>
  <c r="AW507" i="10" s="1"/>
  <c r="AM507" i="10"/>
  <c r="AQ507" i="10"/>
  <c r="AU507" i="10"/>
  <c r="AY507" i="10"/>
  <c r="BG507" i="10" s="1"/>
  <c r="BF507" i="10"/>
  <c r="BJ507" i="10"/>
  <c r="F504" i="10"/>
  <c r="D505" i="10"/>
  <c r="D506" i="10"/>
  <c r="E506" i="10"/>
  <c r="H506" i="10"/>
  <c r="BH506" i="10" s="1"/>
  <c r="I506" i="10"/>
  <c r="J506" i="10"/>
  <c r="K506" i="10"/>
  <c r="L506" i="10"/>
  <c r="M506" i="10"/>
  <c r="P506" i="10"/>
  <c r="U506" i="10" s="1"/>
  <c r="Q506" i="10"/>
  <c r="AK506" i="10" s="1"/>
  <c r="V506" i="10"/>
  <c r="AO506" i="10" s="1"/>
  <c r="W506" i="10"/>
  <c r="AP506" i="10" s="1"/>
  <c r="Z506" i="10"/>
  <c r="AA506" i="10" s="1"/>
  <c r="AS506" i="10" s="1"/>
  <c r="AH506" i="10"/>
  <c r="AI506" i="10" s="1"/>
  <c r="AW506" i="10" s="1"/>
  <c r="AM506" i="10"/>
  <c r="AQ506" i="10"/>
  <c r="AU506" i="10"/>
  <c r="AY506" i="10"/>
  <c r="BG506" i="10" s="1"/>
  <c r="BF506" i="10"/>
  <c r="BJ506" i="10"/>
  <c r="E505" i="10"/>
  <c r="H505" i="10"/>
  <c r="BH505" i="10" s="1"/>
  <c r="I505" i="10"/>
  <c r="J505" i="10"/>
  <c r="K505" i="10"/>
  <c r="L505" i="10"/>
  <c r="M505" i="10" s="1"/>
  <c r="P505" i="10"/>
  <c r="U505" i="10" s="1"/>
  <c r="V505" i="10" s="1"/>
  <c r="AO505" i="10" s="1"/>
  <c r="Q505" i="10"/>
  <c r="AK505" i="10" s="1"/>
  <c r="Z505" i="10"/>
  <c r="AA505" i="10"/>
  <c r="AS505" i="10" s="1"/>
  <c r="AB505" i="10"/>
  <c r="AT505" i="10" s="1"/>
  <c r="AH505" i="10"/>
  <c r="AI505" i="10" s="1"/>
  <c r="AW505" i="10" s="1"/>
  <c r="AM505" i="10"/>
  <c r="AQ505" i="10"/>
  <c r="AU505" i="10"/>
  <c r="AY505" i="10"/>
  <c r="BG505" i="10" s="1"/>
  <c r="BF505" i="10"/>
  <c r="BJ505" i="10"/>
  <c r="G504" i="10"/>
  <c r="W516" i="10" l="1"/>
  <c r="AP516" i="10" s="1"/>
  <c r="BA520" i="10"/>
  <c r="BM522" i="10"/>
  <c r="U509" i="10"/>
  <c r="V509" i="10" s="1"/>
  <c r="AO509" i="10" s="1"/>
  <c r="BB521" i="10"/>
  <c r="BD521" i="10" s="1"/>
  <c r="BM521" i="10" s="1"/>
  <c r="BA521" i="10"/>
  <c r="BA518" i="10"/>
  <c r="BB519" i="10"/>
  <c r="BD519" i="10" s="1"/>
  <c r="BM519" i="10" s="1"/>
  <c r="BB518" i="10"/>
  <c r="BB520" i="10"/>
  <c r="BD520" i="10" s="1"/>
  <c r="BM520" i="10" s="1"/>
  <c r="BA519" i="10"/>
  <c r="W517" i="10"/>
  <c r="AP517" i="10" s="1"/>
  <c r="AR517" i="10" s="1"/>
  <c r="AV517" i="10"/>
  <c r="AV515" i="10"/>
  <c r="AJ512" i="10"/>
  <c r="AX512" i="10" s="1"/>
  <c r="AZ512" i="10" s="1"/>
  <c r="R507" i="10"/>
  <c r="AL507" i="10" s="1"/>
  <c r="AN507" i="10" s="1"/>
  <c r="R512" i="10"/>
  <c r="AL512" i="10" s="1"/>
  <c r="AN512" i="10" s="1"/>
  <c r="W514" i="10"/>
  <c r="AP514" i="10" s="1"/>
  <c r="AR514" i="10" s="1"/>
  <c r="W512" i="10"/>
  <c r="AP512" i="10" s="1"/>
  <c r="AR512" i="10" s="1"/>
  <c r="V514" i="10"/>
  <c r="AO514" i="10" s="1"/>
  <c r="AW512" i="10"/>
  <c r="AV516" i="10"/>
  <c r="W511" i="10"/>
  <c r="AP511" i="10" s="1"/>
  <c r="AR511" i="10" s="1"/>
  <c r="AR513" i="10"/>
  <c r="AR516" i="10"/>
  <c r="AJ516" i="10"/>
  <c r="AX516" i="10" s="1"/>
  <c r="V512" i="10"/>
  <c r="AO512" i="10" s="1"/>
  <c r="AV514" i="10"/>
  <c r="AJ515" i="10"/>
  <c r="AX515" i="10" s="1"/>
  <c r="AZ515" i="10" s="1"/>
  <c r="AB513" i="10"/>
  <c r="AT513" i="10" s="1"/>
  <c r="AV513" i="10" s="1"/>
  <c r="BB513" i="10" s="1"/>
  <c r="BD513" i="10" s="1"/>
  <c r="AJ517" i="10"/>
  <c r="AX517" i="10" s="1"/>
  <c r="R517" i="10"/>
  <c r="AL517" i="10" s="1"/>
  <c r="AN517" i="10" s="1"/>
  <c r="AJ513" i="10"/>
  <c r="AX513" i="10" s="1"/>
  <c r="AZ513" i="10" s="1"/>
  <c r="W515" i="10"/>
  <c r="AP515" i="10" s="1"/>
  <c r="AR515" i="10" s="1"/>
  <c r="R513" i="10"/>
  <c r="AL513" i="10" s="1"/>
  <c r="AN513" i="10" s="1"/>
  <c r="AJ514" i="10"/>
  <c r="AX514" i="10" s="1"/>
  <c r="AZ514" i="10" s="1"/>
  <c r="R514" i="10"/>
  <c r="AL514" i="10" s="1"/>
  <c r="AN514" i="10" s="1"/>
  <c r="R515" i="10"/>
  <c r="AL515" i="10" s="1"/>
  <c r="AN515" i="10" s="1"/>
  <c r="R516" i="10"/>
  <c r="AL516" i="10" s="1"/>
  <c r="AN516" i="10" s="1"/>
  <c r="AV512" i="10"/>
  <c r="AW515" i="10"/>
  <c r="AA513" i="10"/>
  <c r="AS513" i="10" s="1"/>
  <c r="R511" i="10"/>
  <c r="AL511" i="10" s="1"/>
  <c r="AN511" i="10" s="1"/>
  <c r="AJ511" i="10"/>
  <c r="AX511" i="10" s="1"/>
  <c r="AV511" i="10"/>
  <c r="R505" i="10"/>
  <c r="AL505" i="10" s="1"/>
  <c r="AN505" i="10" s="1"/>
  <c r="M509" i="10"/>
  <c r="R508" i="10"/>
  <c r="AL508" i="10" s="1"/>
  <c r="AN508" i="10" s="1"/>
  <c r="AR510" i="10"/>
  <c r="R510" i="10"/>
  <c r="AL510" i="10" s="1"/>
  <c r="AN510" i="10" s="1"/>
  <c r="AJ510" i="10"/>
  <c r="AX510" i="10" s="1"/>
  <c r="BB510" i="10" s="1"/>
  <c r="BD510" i="10" s="1"/>
  <c r="AV508" i="10"/>
  <c r="AV510" i="10"/>
  <c r="AV509" i="10"/>
  <c r="W505" i="10"/>
  <c r="AP505" i="10" s="1"/>
  <c r="AR505" i="10" s="1"/>
  <c r="AW510" i="10"/>
  <c r="AJ508" i="10"/>
  <c r="AX508" i="10" s="1"/>
  <c r="AZ508" i="10" s="1"/>
  <c r="AJ507" i="10"/>
  <c r="AX507" i="10" s="1"/>
  <c r="AZ507" i="10" s="1"/>
  <c r="AJ509" i="10"/>
  <c r="AX509" i="10" s="1"/>
  <c r="AZ509" i="10" s="1"/>
  <c r="R509" i="10"/>
  <c r="AL509" i="10" s="1"/>
  <c r="AN509" i="10" s="1"/>
  <c r="AV505" i="10"/>
  <c r="AB506" i="10"/>
  <c r="AT506" i="10" s="1"/>
  <c r="AV506" i="10" s="1"/>
  <c r="BB506" i="10" s="1"/>
  <c r="AR507" i="10"/>
  <c r="AV507" i="10"/>
  <c r="AR506" i="10"/>
  <c r="AR508" i="10"/>
  <c r="AJ505" i="10"/>
  <c r="AX505" i="10" s="1"/>
  <c r="AZ505" i="10" s="1"/>
  <c r="AJ506" i="10"/>
  <c r="AX506" i="10" s="1"/>
  <c r="R506" i="10"/>
  <c r="AL506" i="10" s="1"/>
  <c r="AN506" i="10" s="1"/>
  <c r="D502" i="10"/>
  <c r="D503" i="10"/>
  <c r="D504" i="10"/>
  <c r="E504" i="10"/>
  <c r="H504" i="10"/>
  <c r="BH504" i="10" s="1"/>
  <c r="I504" i="10"/>
  <c r="J504" i="10"/>
  <c r="K504" i="10"/>
  <c r="L504" i="10"/>
  <c r="M504" i="10" s="1"/>
  <c r="P504" i="10"/>
  <c r="U504" i="10" s="1"/>
  <c r="V504" i="10" s="1"/>
  <c r="AO504" i="10" s="1"/>
  <c r="Q504" i="10"/>
  <c r="AK504" i="10" s="1"/>
  <c r="Z504" i="10"/>
  <c r="AA504" i="10"/>
  <c r="AS504" i="10" s="1"/>
  <c r="AB504" i="10"/>
  <c r="AT504" i="10" s="1"/>
  <c r="AH504" i="10"/>
  <c r="AI504" i="10" s="1"/>
  <c r="AW504" i="10" s="1"/>
  <c r="AM504" i="10"/>
  <c r="AQ504" i="10"/>
  <c r="AU504" i="10"/>
  <c r="AY504" i="10"/>
  <c r="E503" i="10"/>
  <c r="H503" i="10"/>
  <c r="BH503" i="10" s="1"/>
  <c r="I503" i="10"/>
  <c r="J503" i="10"/>
  <c r="K503" i="10"/>
  <c r="L503" i="10"/>
  <c r="M503" i="10" s="1"/>
  <c r="P503" i="10"/>
  <c r="U503" i="10" s="1"/>
  <c r="V503" i="10" s="1"/>
  <c r="AO503" i="10" s="1"/>
  <c r="Q503" i="10"/>
  <c r="AK503" i="10" s="1"/>
  <c r="Z503" i="10"/>
  <c r="AA503" i="10"/>
  <c r="AS503" i="10" s="1"/>
  <c r="AB503" i="10"/>
  <c r="AT503" i="10" s="1"/>
  <c r="AH503" i="10"/>
  <c r="AI503" i="10" s="1"/>
  <c r="AW503" i="10" s="1"/>
  <c r="AM503" i="10"/>
  <c r="AQ503" i="10"/>
  <c r="AU503" i="10"/>
  <c r="AY503" i="10"/>
  <c r="BG503" i="10" s="1"/>
  <c r="BF503" i="10"/>
  <c r="BJ503" i="10"/>
  <c r="E502" i="10"/>
  <c r="H502" i="10"/>
  <c r="BH502" i="10" s="1"/>
  <c r="I502" i="10"/>
  <c r="J502" i="10"/>
  <c r="K502" i="10"/>
  <c r="L502" i="10"/>
  <c r="M502" i="10" s="1"/>
  <c r="P502" i="10"/>
  <c r="U502" i="10" s="1"/>
  <c r="V502" i="10" s="1"/>
  <c r="AO502" i="10" s="1"/>
  <c r="Q502" i="10"/>
  <c r="AK502" i="10" s="1"/>
  <c r="Z502" i="10"/>
  <c r="AA502" i="10"/>
  <c r="AS502" i="10" s="1"/>
  <c r="AB502" i="10"/>
  <c r="AT502" i="10" s="1"/>
  <c r="AH502" i="10"/>
  <c r="AI502" i="10" s="1"/>
  <c r="AW502" i="10" s="1"/>
  <c r="AM502" i="10"/>
  <c r="AQ502" i="10"/>
  <c r="AU502" i="10"/>
  <c r="AY502" i="10"/>
  <c r="BG502" i="10" s="1"/>
  <c r="BF502" i="10"/>
  <c r="BJ502" i="10"/>
  <c r="F500" i="10"/>
  <c r="D500" i="10"/>
  <c r="D501" i="10"/>
  <c r="E501" i="10"/>
  <c r="H501" i="10"/>
  <c r="BH501" i="10" s="1"/>
  <c r="I501" i="10"/>
  <c r="J501" i="10"/>
  <c r="K501" i="10"/>
  <c r="L501" i="10"/>
  <c r="M501" i="10" s="1"/>
  <c r="P501" i="10"/>
  <c r="U501" i="10" s="1"/>
  <c r="V501" i="10" s="1"/>
  <c r="AO501" i="10" s="1"/>
  <c r="Q501" i="10"/>
  <c r="AK501" i="10" s="1"/>
  <c r="Z501" i="10"/>
  <c r="AH501" i="10"/>
  <c r="AI501" i="10" s="1"/>
  <c r="AM501" i="10"/>
  <c r="AQ501" i="10"/>
  <c r="AU501" i="10"/>
  <c r="AY501" i="10"/>
  <c r="BG501" i="10" s="1"/>
  <c r="BF501" i="10"/>
  <c r="BJ501" i="10"/>
  <c r="E500" i="10"/>
  <c r="H500" i="10"/>
  <c r="BH500" i="10" s="1"/>
  <c r="I500" i="10"/>
  <c r="W500" i="10" s="1"/>
  <c r="AP500" i="10" s="1"/>
  <c r="J500" i="10"/>
  <c r="K500" i="10"/>
  <c r="L500" i="10"/>
  <c r="P500" i="10"/>
  <c r="Q500" i="10"/>
  <c r="AK500" i="10" s="1"/>
  <c r="V500" i="10"/>
  <c r="AO500" i="10" s="1"/>
  <c r="Z500" i="10"/>
  <c r="AA500" i="10" s="1"/>
  <c r="AS500" i="10" s="1"/>
  <c r="AH500" i="10"/>
  <c r="AI500" i="10" s="1"/>
  <c r="AW500" i="10" s="1"/>
  <c r="AM500" i="10"/>
  <c r="AQ500" i="10"/>
  <c r="AU500" i="10"/>
  <c r="AY500" i="10"/>
  <c r="BG500" i="10" s="1"/>
  <c r="BF500" i="10"/>
  <c r="BJ500" i="10"/>
  <c r="F496" i="10"/>
  <c r="D499" i="10"/>
  <c r="E499" i="10"/>
  <c r="H499" i="10"/>
  <c r="BH499" i="10" s="1"/>
  <c r="I499" i="10"/>
  <c r="W499" i="10" s="1"/>
  <c r="AP499" i="10" s="1"/>
  <c r="J499" i="10"/>
  <c r="K499" i="10"/>
  <c r="L499" i="10"/>
  <c r="M499" i="10" s="1"/>
  <c r="P499" i="10"/>
  <c r="Q499" i="10"/>
  <c r="AK499" i="10" s="1"/>
  <c r="V499" i="10"/>
  <c r="AO499" i="10" s="1"/>
  <c r="Z499" i="10"/>
  <c r="AA499" i="10" s="1"/>
  <c r="AS499" i="10" s="1"/>
  <c r="AH499" i="10"/>
  <c r="AI499" i="10" s="1"/>
  <c r="AW499" i="10" s="1"/>
  <c r="AM499" i="10"/>
  <c r="AQ499" i="10"/>
  <c r="AU499" i="10"/>
  <c r="AY499" i="10"/>
  <c r="BG499" i="10" s="1"/>
  <c r="BF499" i="10"/>
  <c r="BJ499" i="10"/>
  <c r="D497" i="10"/>
  <c r="E497" i="10"/>
  <c r="H497" i="10"/>
  <c r="BH497" i="10" s="1"/>
  <c r="I497" i="10"/>
  <c r="J497" i="10"/>
  <c r="K497" i="10"/>
  <c r="L497" i="10"/>
  <c r="M497" i="10" s="1"/>
  <c r="P497" i="10"/>
  <c r="U497" i="10" s="1"/>
  <c r="Q497" i="10"/>
  <c r="AK497" i="10" s="1"/>
  <c r="Z497" i="10"/>
  <c r="AA497" i="10"/>
  <c r="AS497" i="10" s="1"/>
  <c r="AB497" i="10"/>
  <c r="AT497" i="10" s="1"/>
  <c r="AH497" i="10"/>
  <c r="AI497" i="10" s="1"/>
  <c r="AW497" i="10" s="1"/>
  <c r="AM497" i="10"/>
  <c r="AQ497" i="10"/>
  <c r="AU497" i="10"/>
  <c r="AY497" i="10"/>
  <c r="BG497" i="10" s="1"/>
  <c r="BF497" i="10"/>
  <c r="BJ497" i="10"/>
  <c r="D496" i="10"/>
  <c r="D498" i="10"/>
  <c r="E498" i="10"/>
  <c r="H498" i="10"/>
  <c r="BH498" i="10" s="1"/>
  <c r="I498" i="10"/>
  <c r="W498" i="10" s="1"/>
  <c r="AP498" i="10" s="1"/>
  <c r="J498" i="10"/>
  <c r="K498" i="10"/>
  <c r="L498" i="10"/>
  <c r="M498" i="10" s="1"/>
  <c r="P498" i="10"/>
  <c r="Q498" i="10"/>
  <c r="V498" i="10"/>
  <c r="AO498" i="10" s="1"/>
  <c r="Z498" i="10"/>
  <c r="AA498" i="10" s="1"/>
  <c r="AS498" i="10" s="1"/>
  <c r="AH498" i="10"/>
  <c r="AI498" i="10" s="1"/>
  <c r="AW498" i="10" s="1"/>
  <c r="AM498" i="10"/>
  <c r="AQ498" i="10"/>
  <c r="AU498" i="10"/>
  <c r="AY498" i="10"/>
  <c r="F495" i="10"/>
  <c r="E496" i="10"/>
  <c r="H496" i="10"/>
  <c r="BH496" i="10" s="1"/>
  <c r="I496" i="10"/>
  <c r="J496" i="10"/>
  <c r="K496" i="10"/>
  <c r="L496" i="10"/>
  <c r="P496" i="10"/>
  <c r="Q496" i="10"/>
  <c r="AK496" i="10" s="1"/>
  <c r="Z496" i="10"/>
  <c r="AA496" i="10"/>
  <c r="AS496" i="10" s="1"/>
  <c r="AB496" i="10"/>
  <c r="AT496" i="10" s="1"/>
  <c r="AH496" i="10"/>
  <c r="AI496" i="10" s="1"/>
  <c r="AW496" i="10" s="1"/>
  <c r="AM496" i="10"/>
  <c r="AQ496" i="10"/>
  <c r="AU496" i="10"/>
  <c r="AY496" i="10"/>
  <c r="D493" i="10"/>
  <c r="D494" i="10"/>
  <c r="D495" i="10"/>
  <c r="E495" i="10"/>
  <c r="H495" i="10"/>
  <c r="BH495" i="10" s="1"/>
  <c r="I495" i="10"/>
  <c r="J495" i="10"/>
  <c r="K495" i="10"/>
  <c r="L495" i="10"/>
  <c r="P495" i="10"/>
  <c r="Q495" i="10"/>
  <c r="AK495" i="10" s="1"/>
  <c r="Z495" i="10"/>
  <c r="AA495" i="10"/>
  <c r="AS495" i="10" s="1"/>
  <c r="AB495" i="10"/>
  <c r="AT495" i="10" s="1"/>
  <c r="AH495" i="10"/>
  <c r="AI495" i="10" s="1"/>
  <c r="AW495" i="10" s="1"/>
  <c r="AM495" i="10"/>
  <c r="AQ495" i="10"/>
  <c r="AU495" i="10"/>
  <c r="AY495" i="10"/>
  <c r="BG495" i="10" s="1"/>
  <c r="BF495" i="10"/>
  <c r="BJ495" i="10"/>
  <c r="E494" i="10"/>
  <c r="H494" i="10"/>
  <c r="BH494" i="10" s="1"/>
  <c r="I494" i="10"/>
  <c r="J494" i="10"/>
  <c r="K494" i="10"/>
  <c r="L494" i="10"/>
  <c r="M494" i="10" s="1"/>
  <c r="P494" i="10"/>
  <c r="U494" i="10" s="1"/>
  <c r="Q494" i="10"/>
  <c r="AK494" i="10" s="1"/>
  <c r="V494" i="10"/>
  <c r="AO494" i="10" s="1"/>
  <c r="W494" i="10"/>
  <c r="AP494" i="10" s="1"/>
  <c r="Z494" i="10"/>
  <c r="AA494" i="10"/>
  <c r="AS494" i="10" s="1"/>
  <c r="AB494" i="10"/>
  <c r="AT494" i="10" s="1"/>
  <c r="AH494" i="10"/>
  <c r="AI494" i="10"/>
  <c r="AM494" i="10"/>
  <c r="AQ494" i="10"/>
  <c r="AU494" i="10"/>
  <c r="AY494" i="10"/>
  <c r="BG494" i="10" s="1"/>
  <c r="BF494" i="10"/>
  <c r="BJ494" i="10"/>
  <c r="E493" i="10"/>
  <c r="H493" i="10"/>
  <c r="BH493" i="10" s="1"/>
  <c r="I493" i="10"/>
  <c r="J493" i="10"/>
  <c r="K493" i="10"/>
  <c r="L493" i="10"/>
  <c r="M493" i="10" s="1"/>
  <c r="P493" i="10"/>
  <c r="U493" i="10" s="1"/>
  <c r="V493" i="10" s="1"/>
  <c r="AO493" i="10" s="1"/>
  <c r="Q493" i="10"/>
  <c r="AK493" i="10" s="1"/>
  <c r="Z493" i="10"/>
  <c r="AA493" i="10"/>
  <c r="AS493" i="10" s="1"/>
  <c r="AB493" i="10"/>
  <c r="AT493" i="10" s="1"/>
  <c r="AH493" i="10"/>
  <c r="AI493" i="10" s="1"/>
  <c r="AW493" i="10" s="1"/>
  <c r="AM493" i="10"/>
  <c r="AQ493" i="10"/>
  <c r="AU493" i="10"/>
  <c r="AY493" i="10"/>
  <c r="BG493" i="10" s="1"/>
  <c r="BF493" i="10"/>
  <c r="BJ493" i="10"/>
  <c r="S488" i="10"/>
  <c r="W509" i="10" l="1"/>
  <c r="AP509" i="10" s="1"/>
  <c r="BB509" i="10" s="1"/>
  <c r="BD509" i="10" s="1"/>
  <c r="BM509" i="10" s="1"/>
  <c r="BB516" i="10"/>
  <c r="BD516" i="10" s="1"/>
  <c r="BE516" i="10" s="1"/>
  <c r="BC518" i="10"/>
  <c r="BD518" i="10" s="1"/>
  <c r="BE519" i="10"/>
  <c r="BE521" i="10"/>
  <c r="BE520" i="10"/>
  <c r="BB517" i="10"/>
  <c r="BD517" i="10" s="1"/>
  <c r="BE517" i="10" s="1"/>
  <c r="BA517" i="10"/>
  <c r="BB515" i="10"/>
  <c r="BD515" i="10" s="1"/>
  <c r="BM515" i="10" s="1"/>
  <c r="BB512" i="10"/>
  <c r="BC512" i="10" s="1"/>
  <c r="BA516" i="10"/>
  <c r="AZ516" i="10"/>
  <c r="AZ517" i="10"/>
  <c r="BA512" i="10"/>
  <c r="BB511" i="10"/>
  <c r="BD511" i="10" s="1"/>
  <c r="BM511" i="10" s="1"/>
  <c r="BB514" i="10"/>
  <c r="BA515" i="10"/>
  <c r="BA513" i="10"/>
  <c r="BA514" i="10"/>
  <c r="BM516" i="10"/>
  <c r="BA511" i="10"/>
  <c r="AZ511" i="10"/>
  <c r="BM513" i="10"/>
  <c r="BE513" i="10"/>
  <c r="AB501" i="10"/>
  <c r="AT501" i="10" s="1"/>
  <c r="AV501" i="10" s="1"/>
  <c r="AZ510" i="10"/>
  <c r="BA510" i="10"/>
  <c r="BA508" i="10"/>
  <c r="BB507" i="10"/>
  <c r="BD507" i="10" s="1"/>
  <c r="BM507" i="10" s="1"/>
  <c r="U495" i="10"/>
  <c r="V495" i="10" s="1"/>
  <c r="AO495" i="10" s="1"/>
  <c r="BD506" i="10"/>
  <c r="BM506" i="10" s="1"/>
  <c r="W503" i="10"/>
  <c r="AP503" i="10" s="1"/>
  <c r="AR503" i="10" s="1"/>
  <c r="BA507" i="10"/>
  <c r="W504" i="10"/>
  <c r="AP504" i="10" s="1"/>
  <c r="AR504" i="10" s="1"/>
  <c r="W502" i="10"/>
  <c r="AP502" i="10" s="1"/>
  <c r="AR502" i="10" s="1"/>
  <c r="BB508" i="10"/>
  <c r="BD508" i="10" s="1"/>
  <c r="BM508" i="10" s="1"/>
  <c r="AJ504" i="10"/>
  <c r="AX504" i="10" s="1"/>
  <c r="BM510" i="10"/>
  <c r="BE510" i="10"/>
  <c r="AZ506" i="10"/>
  <c r="BA506" i="10"/>
  <c r="AV502" i="10"/>
  <c r="BA505" i="10"/>
  <c r="BB505" i="10"/>
  <c r="BD505" i="10" s="1"/>
  <c r="BE505" i="10" s="1"/>
  <c r="AV504" i="10"/>
  <c r="AB500" i="10"/>
  <c r="AT500" i="10" s="1"/>
  <c r="AV500" i="10" s="1"/>
  <c r="AA501" i="10"/>
  <c r="AS501" i="10" s="1"/>
  <c r="R504" i="10"/>
  <c r="AL504" i="10" s="1"/>
  <c r="AN504" i="10" s="1"/>
  <c r="AV503" i="10"/>
  <c r="AJ503" i="10"/>
  <c r="AX503" i="10" s="1"/>
  <c r="AJ502" i="10"/>
  <c r="AX502" i="10" s="1"/>
  <c r="AJ500" i="10"/>
  <c r="AX500" i="10" s="1"/>
  <c r="R503" i="10"/>
  <c r="AL503" i="10" s="1"/>
  <c r="AN503" i="10" s="1"/>
  <c r="R502" i="10"/>
  <c r="AL502" i="10" s="1"/>
  <c r="AN502" i="10" s="1"/>
  <c r="W501" i="10"/>
  <c r="AP501" i="10" s="1"/>
  <c r="AR501" i="10" s="1"/>
  <c r="R501" i="10"/>
  <c r="AL501" i="10" s="1"/>
  <c r="AN501" i="10" s="1"/>
  <c r="M500" i="10"/>
  <c r="AJ501" i="10"/>
  <c r="AX501" i="10" s="1"/>
  <c r="W497" i="10"/>
  <c r="AP497" i="10" s="1"/>
  <c r="AR497" i="10" s="1"/>
  <c r="AR500" i="10"/>
  <c r="AW501" i="10"/>
  <c r="R500" i="10"/>
  <c r="AL500" i="10" s="1"/>
  <c r="AN500" i="10" s="1"/>
  <c r="V497" i="10"/>
  <c r="AO497" i="10" s="1"/>
  <c r="R498" i="10"/>
  <c r="AL498" i="10" s="1"/>
  <c r="AN498" i="10" s="1"/>
  <c r="R494" i="10"/>
  <c r="AL494" i="10" s="1"/>
  <c r="AN494" i="10" s="1"/>
  <c r="AK498" i="10"/>
  <c r="AJ498" i="10"/>
  <c r="AX498" i="10" s="1"/>
  <c r="AZ498" i="10" s="1"/>
  <c r="AJ499" i="10"/>
  <c r="AX499" i="10" s="1"/>
  <c r="AZ499" i="10" s="1"/>
  <c r="M496" i="10"/>
  <c r="W493" i="10"/>
  <c r="AP493" i="10" s="1"/>
  <c r="AR493" i="10" s="1"/>
  <c r="AB498" i="10"/>
  <c r="AT498" i="10" s="1"/>
  <c r="AV498" i="10" s="1"/>
  <c r="BB498" i="10" s="1"/>
  <c r="AB499" i="10"/>
  <c r="AT499" i="10" s="1"/>
  <c r="AV499" i="10" s="1"/>
  <c r="BB499" i="10" s="1"/>
  <c r="AJ497" i="10"/>
  <c r="AX497" i="10" s="1"/>
  <c r="AZ497" i="10" s="1"/>
  <c r="AR499" i="10"/>
  <c r="U496" i="10"/>
  <c r="R499" i="10"/>
  <c r="AL499" i="10" s="1"/>
  <c r="AN499" i="10" s="1"/>
  <c r="R497" i="10"/>
  <c r="AL497" i="10" s="1"/>
  <c r="AN497" i="10" s="1"/>
  <c r="AV497" i="10"/>
  <c r="AR498" i="10"/>
  <c r="M495" i="10"/>
  <c r="R493" i="10"/>
  <c r="AL493" i="10" s="1"/>
  <c r="AN493" i="10" s="1"/>
  <c r="AJ495" i="10"/>
  <c r="AX495" i="10" s="1"/>
  <c r="AZ495" i="10" s="1"/>
  <c r="R495" i="10"/>
  <c r="AL495" i="10" s="1"/>
  <c r="AN495" i="10" s="1"/>
  <c r="AV495" i="10"/>
  <c r="AV493" i="10"/>
  <c r="AV496" i="10"/>
  <c r="AR494" i="10"/>
  <c r="AJ496" i="10"/>
  <c r="AX496" i="10" s="1"/>
  <c r="AZ496" i="10" s="1"/>
  <c r="AJ494" i="10"/>
  <c r="AX494" i="10" s="1"/>
  <c r="BB494" i="10" s="1"/>
  <c r="BD494" i="10" s="1"/>
  <c r="R496" i="10"/>
  <c r="AL496" i="10" s="1"/>
  <c r="AN496" i="10" s="1"/>
  <c r="AW494" i="10"/>
  <c r="AJ493" i="10"/>
  <c r="AX493" i="10" s="1"/>
  <c r="AV494" i="10"/>
  <c r="D491" i="10"/>
  <c r="D492" i="10"/>
  <c r="E492" i="10"/>
  <c r="H492" i="10"/>
  <c r="BH492" i="10" s="1"/>
  <c r="I492" i="10"/>
  <c r="J492" i="10"/>
  <c r="K492" i="10"/>
  <c r="L492" i="10"/>
  <c r="M492" i="10" s="1"/>
  <c r="P492" i="10"/>
  <c r="U492" i="10" s="1"/>
  <c r="Q492" i="10"/>
  <c r="AK492" i="10" s="1"/>
  <c r="V492" i="10"/>
  <c r="AO492" i="10" s="1"/>
  <c r="W492" i="10"/>
  <c r="AP492" i="10" s="1"/>
  <c r="Z492" i="10"/>
  <c r="AA492" i="10"/>
  <c r="AS492" i="10" s="1"/>
  <c r="AB492" i="10"/>
  <c r="AT492" i="10" s="1"/>
  <c r="AH492" i="10"/>
  <c r="AI492" i="10"/>
  <c r="AW492" i="10" s="1"/>
  <c r="AM492" i="10"/>
  <c r="AQ492" i="10"/>
  <c r="AU492" i="10"/>
  <c r="AY492" i="10"/>
  <c r="BG492" i="10" s="1"/>
  <c r="BF492" i="10"/>
  <c r="BJ492" i="10"/>
  <c r="E491" i="10"/>
  <c r="H491" i="10"/>
  <c r="BH491" i="10" s="1"/>
  <c r="I491" i="10"/>
  <c r="J491" i="10"/>
  <c r="K491" i="10"/>
  <c r="L491" i="10"/>
  <c r="M491" i="10" s="1"/>
  <c r="P491" i="10"/>
  <c r="U491" i="10" s="1"/>
  <c r="V491" i="10" s="1"/>
  <c r="AO491" i="10" s="1"/>
  <c r="Q491" i="10"/>
  <c r="AK491" i="10" s="1"/>
  <c r="Z491" i="10"/>
  <c r="AA491" i="10"/>
  <c r="AS491" i="10" s="1"/>
  <c r="AB491" i="10"/>
  <c r="AT491" i="10" s="1"/>
  <c r="AH491" i="10"/>
  <c r="AI491" i="10" s="1"/>
  <c r="AW491" i="10" s="1"/>
  <c r="AM491" i="10"/>
  <c r="AQ491" i="10"/>
  <c r="AU491" i="10"/>
  <c r="AY491" i="10"/>
  <c r="BG491" i="10" s="1"/>
  <c r="BF491" i="10"/>
  <c r="BJ491" i="10"/>
  <c r="AR509" i="10" l="1"/>
  <c r="BA509" i="10" s="1"/>
  <c r="BG518" i="10"/>
  <c r="BF518" i="10"/>
  <c r="BJ518" i="10"/>
  <c r="BM518" i="10"/>
  <c r="BE518" i="10"/>
  <c r="BM517" i="10"/>
  <c r="BE511" i="10"/>
  <c r="BE515" i="10"/>
  <c r="W495" i="10"/>
  <c r="AP495" i="10" s="1"/>
  <c r="AR495" i="10" s="1"/>
  <c r="BA495" i="10" s="1"/>
  <c r="BC514" i="10"/>
  <c r="BD514" i="10" s="1"/>
  <c r="BJ512" i="10"/>
  <c r="BG512" i="10"/>
  <c r="BF512" i="10"/>
  <c r="BD512" i="10"/>
  <c r="BE507" i="10"/>
  <c r="BE506" i="10"/>
  <c r="BB503" i="10"/>
  <c r="BD503" i="10" s="1"/>
  <c r="BM503" i="10" s="1"/>
  <c r="BE509" i="10"/>
  <c r="BE508" i="10"/>
  <c r="BB504" i="10"/>
  <c r="BC504" i="10" s="1"/>
  <c r="AZ503" i="10"/>
  <c r="AZ504" i="10"/>
  <c r="BA504" i="10"/>
  <c r="BM505" i="10"/>
  <c r="AZ501" i="10"/>
  <c r="BB501" i="10"/>
  <c r="BD501" i="10" s="1"/>
  <c r="BM501" i="10" s="1"/>
  <c r="BA503" i="10"/>
  <c r="BB500" i="10"/>
  <c r="BD500" i="10" s="1"/>
  <c r="AZ502" i="10"/>
  <c r="BB502" i="10"/>
  <c r="BD502" i="10" s="1"/>
  <c r="AZ500" i="10"/>
  <c r="BA502" i="10"/>
  <c r="BA501" i="10"/>
  <c r="BA500" i="10"/>
  <c r="BB493" i="10"/>
  <c r="BD493" i="10" s="1"/>
  <c r="BM493" i="10" s="1"/>
  <c r="BD499" i="10"/>
  <c r="BM499" i="10" s="1"/>
  <c r="V496" i="10"/>
  <c r="AO496" i="10" s="1"/>
  <c r="W496" i="10"/>
  <c r="AP496" i="10" s="1"/>
  <c r="AR496" i="10" s="1"/>
  <c r="BA496" i="10" s="1"/>
  <c r="BA499" i="10"/>
  <c r="BB497" i="10"/>
  <c r="BA497" i="10"/>
  <c r="BA498" i="10"/>
  <c r="W491" i="10"/>
  <c r="AP491" i="10" s="1"/>
  <c r="AR491" i="10" s="1"/>
  <c r="AZ493" i="10"/>
  <c r="BA493" i="10"/>
  <c r="R492" i="10"/>
  <c r="AL492" i="10" s="1"/>
  <c r="AN492" i="10" s="1"/>
  <c r="AZ494" i="10"/>
  <c r="BA494" i="10"/>
  <c r="AR492" i="10"/>
  <c r="AV492" i="10"/>
  <c r="BM494" i="10"/>
  <c r="BE494" i="10"/>
  <c r="AV491" i="10"/>
  <c r="R491" i="10"/>
  <c r="AL491" i="10" s="1"/>
  <c r="AN491" i="10" s="1"/>
  <c r="AJ492" i="10"/>
  <c r="AX492" i="10" s="1"/>
  <c r="BB492" i="10" s="1"/>
  <c r="BD492" i="10" s="1"/>
  <c r="AJ491" i="10"/>
  <c r="AX491" i="10" s="1"/>
  <c r="AZ491" i="10" s="1"/>
  <c r="BB495" i="10" l="1"/>
  <c r="BD495" i="10" s="1"/>
  <c r="BM495" i="10" s="1"/>
  <c r="BF514" i="10"/>
  <c r="BJ514" i="10"/>
  <c r="BG514" i="10"/>
  <c r="BE514" i="10"/>
  <c r="BM514" i="10"/>
  <c r="BM512" i="10"/>
  <c r="BE512" i="10"/>
  <c r="BE503" i="10"/>
  <c r="BE493" i="10"/>
  <c r="BF504" i="10"/>
  <c r="BJ504" i="10"/>
  <c r="BG504" i="10"/>
  <c r="BD504" i="10"/>
  <c r="BM500" i="10"/>
  <c r="BE500" i="10"/>
  <c r="BE502" i="10"/>
  <c r="BM502" i="10"/>
  <c r="BD497" i="10"/>
  <c r="BM497" i="10" s="1"/>
  <c r="BE501" i="10"/>
  <c r="BF498" i="10"/>
  <c r="BJ498" i="10"/>
  <c r="BG498" i="10"/>
  <c r="BE499" i="10"/>
  <c r="BD498" i="10"/>
  <c r="BB496" i="10"/>
  <c r="BC496" i="10" s="1"/>
  <c r="BA492" i="10"/>
  <c r="AZ492" i="10"/>
  <c r="BA491" i="10"/>
  <c r="BB491" i="10"/>
  <c r="BD491" i="10" s="1"/>
  <c r="BE491" i="10" s="1"/>
  <c r="BM492" i="10"/>
  <c r="BE492" i="10"/>
  <c r="BE495" i="10" l="1"/>
  <c r="BM504" i="10"/>
  <c r="BE504" i="10"/>
  <c r="BE497" i="10"/>
  <c r="BM498" i="10"/>
  <c r="BE498" i="10"/>
  <c r="BM491" i="10"/>
  <c r="F488" i="10"/>
  <c r="D490" i="10"/>
  <c r="E490" i="10"/>
  <c r="H490" i="10"/>
  <c r="BH490" i="10" s="1"/>
  <c r="I490" i="10"/>
  <c r="J490" i="10"/>
  <c r="K490" i="10"/>
  <c r="L490" i="10"/>
  <c r="M490" i="10" s="1"/>
  <c r="P490" i="10"/>
  <c r="U490" i="10" s="1"/>
  <c r="Q490" i="10"/>
  <c r="AK490" i="10" s="1"/>
  <c r="V490" i="10"/>
  <c r="AO490" i="10" s="1"/>
  <c r="W490" i="10"/>
  <c r="AP490" i="10" s="1"/>
  <c r="Z490" i="10"/>
  <c r="AA490" i="10"/>
  <c r="AS490" i="10" s="1"/>
  <c r="AB490" i="10"/>
  <c r="AT490" i="10" s="1"/>
  <c r="AH490" i="10"/>
  <c r="AI490" i="10"/>
  <c r="AW490" i="10" s="1"/>
  <c r="AM490" i="10"/>
  <c r="AQ490" i="10"/>
  <c r="AU490" i="10"/>
  <c r="AY490" i="10"/>
  <c r="BG490" i="10" s="1"/>
  <c r="BF490" i="10"/>
  <c r="BJ490" i="10"/>
  <c r="D488" i="10"/>
  <c r="D489" i="10"/>
  <c r="E489" i="10"/>
  <c r="H489" i="10"/>
  <c r="BH489" i="10" s="1"/>
  <c r="I489" i="10"/>
  <c r="J489" i="10"/>
  <c r="K489" i="10"/>
  <c r="L489" i="10"/>
  <c r="M489" i="10" s="1"/>
  <c r="P489" i="10"/>
  <c r="U489" i="10" s="1"/>
  <c r="Q489" i="10"/>
  <c r="AK489" i="10" s="1"/>
  <c r="Z489" i="10"/>
  <c r="AA489" i="10"/>
  <c r="AS489" i="10" s="1"/>
  <c r="AB489" i="10"/>
  <c r="AT489" i="10" s="1"/>
  <c r="AH489" i="10"/>
  <c r="AI489" i="10" s="1"/>
  <c r="AW489" i="10" s="1"/>
  <c r="AM489" i="10"/>
  <c r="AQ489" i="10"/>
  <c r="AU489" i="10"/>
  <c r="AY489" i="10"/>
  <c r="BG489" i="10" s="1"/>
  <c r="BF489" i="10"/>
  <c r="BJ489" i="10"/>
  <c r="E488" i="10"/>
  <c r="H488" i="10"/>
  <c r="BH488" i="10" s="1"/>
  <c r="I488" i="10"/>
  <c r="J488" i="10"/>
  <c r="K488" i="10"/>
  <c r="L488" i="10"/>
  <c r="P488" i="10"/>
  <c r="Q488" i="10"/>
  <c r="AK488" i="10" s="1"/>
  <c r="Z488" i="10"/>
  <c r="AA488" i="10"/>
  <c r="AS488" i="10" s="1"/>
  <c r="AB488" i="10"/>
  <c r="AT488" i="10" s="1"/>
  <c r="AH488" i="10"/>
  <c r="AI488" i="10" s="1"/>
  <c r="AW488" i="10" s="1"/>
  <c r="AM488" i="10"/>
  <c r="AQ488" i="10"/>
  <c r="AU488" i="10"/>
  <c r="AY488" i="10"/>
  <c r="S478" i="10"/>
  <c r="BJ496" i="10" l="1"/>
  <c r="BF496" i="10"/>
  <c r="BG496" i="10"/>
  <c r="BD496" i="10"/>
  <c r="R490" i="10"/>
  <c r="AL490" i="10" s="1"/>
  <c r="AN490" i="10" s="1"/>
  <c r="AV490" i="10"/>
  <c r="W489" i="10"/>
  <c r="AP489" i="10" s="1"/>
  <c r="AR489" i="10" s="1"/>
  <c r="V489" i="10"/>
  <c r="AO489" i="10" s="1"/>
  <c r="U488" i="10"/>
  <c r="AJ488" i="10"/>
  <c r="AX488" i="10" s="1"/>
  <c r="AZ488" i="10" s="1"/>
  <c r="AR490" i="10"/>
  <c r="AJ490" i="10"/>
  <c r="AX490" i="10" s="1"/>
  <c r="BB490" i="10" s="1"/>
  <c r="BD490" i="10" s="1"/>
  <c r="AV488" i="10"/>
  <c r="AV489" i="10"/>
  <c r="R489" i="10"/>
  <c r="AL489" i="10" s="1"/>
  <c r="AN489" i="10" s="1"/>
  <c r="M488" i="10"/>
  <c r="R488" i="10"/>
  <c r="AL488" i="10" s="1"/>
  <c r="AN488" i="10" s="1"/>
  <c r="AJ489" i="10"/>
  <c r="AX489" i="10" s="1"/>
  <c r="S484" i="10"/>
  <c r="L484" i="10" s="1"/>
  <c r="D486" i="10"/>
  <c r="D487" i="10"/>
  <c r="E487" i="10"/>
  <c r="H487" i="10"/>
  <c r="BH487" i="10" s="1"/>
  <c r="I487" i="10"/>
  <c r="J487" i="10"/>
  <c r="K487" i="10"/>
  <c r="L487" i="10"/>
  <c r="M487" i="10" s="1"/>
  <c r="P487" i="10"/>
  <c r="U487" i="10" s="1"/>
  <c r="Q487" i="10"/>
  <c r="AK487" i="10" s="1"/>
  <c r="V487" i="10"/>
  <c r="AO487" i="10" s="1"/>
  <c r="W487" i="10"/>
  <c r="AP487" i="10" s="1"/>
  <c r="Z487" i="10"/>
  <c r="AA487" i="10"/>
  <c r="AS487" i="10" s="1"/>
  <c r="AB487" i="10"/>
  <c r="AT487" i="10" s="1"/>
  <c r="AH487" i="10"/>
  <c r="AI487" i="10"/>
  <c r="AW487" i="10" s="1"/>
  <c r="AM487" i="10"/>
  <c r="AQ487" i="10"/>
  <c r="AU487" i="10"/>
  <c r="AY487" i="10"/>
  <c r="BG487" i="10" s="1"/>
  <c r="BF487" i="10"/>
  <c r="BJ487" i="10"/>
  <c r="E486" i="10"/>
  <c r="H486" i="10"/>
  <c r="BH486" i="10" s="1"/>
  <c r="I486" i="10"/>
  <c r="J486" i="10"/>
  <c r="K486" i="10"/>
  <c r="L486" i="10"/>
  <c r="M486" i="10" s="1"/>
  <c r="P486" i="10"/>
  <c r="U486" i="10" s="1"/>
  <c r="V486" i="10" s="1"/>
  <c r="AO486" i="10" s="1"/>
  <c r="Q486" i="10"/>
  <c r="AK486" i="10" s="1"/>
  <c r="Z486" i="10"/>
  <c r="AA486" i="10"/>
  <c r="AS486" i="10" s="1"/>
  <c r="AB486" i="10"/>
  <c r="AT486" i="10" s="1"/>
  <c r="AH486" i="10"/>
  <c r="AI486" i="10" s="1"/>
  <c r="AM486" i="10"/>
  <c r="AQ486" i="10"/>
  <c r="AU486" i="10"/>
  <c r="AY486" i="10"/>
  <c r="BG486" i="10" s="1"/>
  <c r="BF486" i="10"/>
  <c r="BJ486" i="10"/>
  <c r="F484" i="10"/>
  <c r="D485" i="10"/>
  <c r="D484" i="10"/>
  <c r="E485" i="10"/>
  <c r="H485" i="10"/>
  <c r="BH485" i="10" s="1"/>
  <c r="I485" i="10"/>
  <c r="J485" i="10"/>
  <c r="K485" i="10"/>
  <c r="L485" i="10"/>
  <c r="M485" i="10" s="1"/>
  <c r="P485" i="10"/>
  <c r="U485" i="10" s="1"/>
  <c r="V485" i="10" s="1"/>
  <c r="AO485" i="10" s="1"/>
  <c r="Q485" i="10"/>
  <c r="AK485" i="10" s="1"/>
  <c r="Z485" i="10"/>
  <c r="AA485" i="10"/>
  <c r="AS485" i="10" s="1"/>
  <c r="AB485" i="10"/>
  <c r="AT485" i="10" s="1"/>
  <c r="AH485" i="10"/>
  <c r="AI485" i="10" s="1"/>
  <c r="AW485" i="10" s="1"/>
  <c r="AM485" i="10"/>
  <c r="AQ485" i="10"/>
  <c r="AU485" i="10"/>
  <c r="AY485" i="10"/>
  <c r="BG485" i="10" s="1"/>
  <c r="BF485" i="10"/>
  <c r="BJ485" i="10"/>
  <c r="E484" i="10"/>
  <c r="H484" i="10"/>
  <c r="BH484" i="10" s="1"/>
  <c r="I484" i="10"/>
  <c r="J484" i="10"/>
  <c r="K484" i="10"/>
  <c r="P484" i="10"/>
  <c r="Q484" i="10"/>
  <c r="AK484" i="10" s="1"/>
  <c r="Z484" i="10"/>
  <c r="AA484" i="10"/>
  <c r="AS484" i="10" s="1"/>
  <c r="AB484" i="10"/>
  <c r="AT484" i="10" s="1"/>
  <c r="AH484" i="10"/>
  <c r="AI484" i="10" s="1"/>
  <c r="AW484" i="10" s="1"/>
  <c r="AM484" i="10"/>
  <c r="AQ484" i="10"/>
  <c r="AU484" i="10"/>
  <c r="AY484" i="10"/>
  <c r="AD479" i="10"/>
  <c r="AD480" i="10"/>
  <c r="D481" i="10"/>
  <c r="D482" i="10"/>
  <c r="D483" i="10"/>
  <c r="BM496" i="10" l="1"/>
  <c r="BE496" i="10"/>
  <c r="U484" i="10"/>
  <c r="V484" i="10" s="1"/>
  <c r="AO484" i="10" s="1"/>
  <c r="BB489" i="10"/>
  <c r="BD489" i="10" s="1"/>
  <c r="BM489" i="10" s="1"/>
  <c r="W486" i="10"/>
  <c r="AP486" i="10" s="1"/>
  <c r="AR486" i="10" s="1"/>
  <c r="AZ490" i="10"/>
  <c r="BA490" i="10"/>
  <c r="BA489" i="10"/>
  <c r="V488" i="10"/>
  <c r="AO488" i="10" s="1"/>
  <c r="W488" i="10"/>
  <c r="AP488" i="10" s="1"/>
  <c r="AR488" i="10" s="1"/>
  <c r="BA488" i="10" s="1"/>
  <c r="AZ489" i="10"/>
  <c r="BM490" i="10"/>
  <c r="BE490" i="10"/>
  <c r="AV486" i="10"/>
  <c r="AV485" i="10"/>
  <c r="AV487" i="10"/>
  <c r="AJ485" i="10"/>
  <c r="AX485" i="10" s="1"/>
  <c r="AZ485" i="10" s="1"/>
  <c r="R487" i="10"/>
  <c r="AL487" i="10" s="1"/>
  <c r="AN487" i="10" s="1"/>
  <c r="AJ487" i="10"/>
  <c r="AX487" i="10" s="1"/>
  <c r="AZ487" i="10" s="1"/>
  <c r="AJ484" i="10"/>
  <c r="AX484" i="10" s="1"/>
  <c r="AZ484" i="10" s="1"/>
  <c r="R485" i="10"/>
  <c r="AL485" i="10" s="1"/>
  <c r="AN485" i="10" s="1"/>
  <c r="AR487" i="10"/>
  <c r="R486" i="10"/>
  <c r="AL486" i="10" s="1"/>
  <c r="AN486" i="10" s="1"/>
  <c r="AJ486" i="10"/>
  <c r="AX486" i="10" s="1"/>
  <c r="AZ486" i="10" s="1"/>
  <c r="M484" i="10"/>
  <c r="W485" i="10"/>
  <c r="AP485" i="10" s="1"/>
  <c r="AV484" i="10"/>
  <c r="AW486" i="10"/>
  <c r="R484" i="10"/>
  <c r="AL484" i="10" s="1"/>
  <c r="AN484" i="10" s="1"/>
  <c r="E483" i="10"/>
  <c r="H483" i="10"/>
  <c r="BH483" i="10" s="1"/>
  <c r="I483" i="10"/>
  <c r="J483" i="10"/>
  <c r="K483" i="10"/>
  <c r="L483" i="10"/>
  <c r="M483" i="10" s="1"/>
  <c r="P483" i="10"/>
  <c r="U483" i="10" s="1"/>
  <c r="Q483" i="10"/>
  <c r="AK483" i="10" s="1"/>
  <c r="Z483" i="10"/>
  <c r="AA483" i="10"/>
  <c r="AS483" i="10" s="1"/>
  <c r="AB483" i="10"/>
  <c r="AT483" i="10" s="1"/>
  <c r="AH483" i="10"/>
  <c r="AI483" i="10" s="1"/>
  <c r="AM483" i="10"/>
  <c r="AQ483" i="10"/>
  <c r="AU483" i="10"/>
  <c r="AY483" i="10"/>
  <c r="BG483" i="10" s="1"/>
  <c r="BF483" i="10"/>
  <c r="BJ483" i="10"/>
  <c r="E482" i="10"/>
  <c r="H482" i="10"/>
  <c r="BH482" i="10" s="1"/>
  <c r="I482" i="10"/>
  <c r="J482" i="10"/>
  <c r="K482" i="10"/>
  <c r="L482" i="10"/>
  <c r="M482" i="10" s="1"/>
  <c r="P482" i="10"/>
  <c r="U482" i="10" s="1"/>
  <c r="Q482" i="10"/>
  <c r="AK482" i="10" s="1"/>
  <c r="V482" i="10"/>
  <c r="AO482" i="10" s="1"/>
  <c r="W482" i="10"/>
  <c r="AP482" i="10" s="1"/>
  <c r="Z482" i="10"/>
  <c r="AA482" i="10"/>
  <c r="AS482" i="10" s="1"/>
  <c r="AB482" i="10"/>
  <c r="AT482" i="10" s="1"/>
  <c r="AH482" i="10"/>
  <c r="AI482" i="10"/>
  <c r="AW482" i="10" s="1"/>
  <c r="AM482" i="10"/>
  <c r="AQ482" i="10"/>
  <c r="AU482" i="10"/>
  <c r="AY482" i="10"/>
  <c r="BG482" i="10" s="1"/>
  <c r="BF482" i="10"/>
  <c r="BJ482" i="10"/>
  <c r="E481" i="10"/>
  <c r="H481" i="10"/>
  <c r="BH481" i="10" s="1"/>
  <c r="I481" i="10"/>
  <c r="J481" i="10"/>
  <c r="K481" i="10"/>
  <c r="L481" i="10"/>
  <c r="M481" i="10" s="1"/>
  <c r="P481" i="10"/>
  <c r="U481" i="10" s="1"/>
  <c r="Q481" i="10"/>
  <c r="AK481" i="10" s="1"/>
  <c r="V481" i="10"/>
  <c r="AO481" i="10" s="1"/>
  <c r="W481" i="10"/>
  <c r="AP481" i="10" s="1"/>
  <c r="Z481" i="10"/>
  <c r="AA481" i="10"/>
  <c r="AS481" i="10" s="1"/>
  <c r="AB481" i="10"/>
  <c r="AT481" i="10" s="1"/>
  <c r="AH481" i="10"/>
  <c r="AI481" i="10"/>
  <c r="AW481" i="10" s="1"/>
  <c r="AM481" i="10"/>
  <c r="AQ481" i="10"/>
  <c r="AU481" i="10"/>
  <c r="AY481" i="10"/>
  <c r="BG481" i="10" s="1"/>
  <c r="BF481" i="10"/>
  <c r="BJ481" i="10"/>
  <c r="F478" i="10"/>
  <c r="D478" i="10"/>
  <c r="D479" i="10"/>
  <c r="D480" i="10"/>
  <c r="E480" i="10"/>
  <c r="H480" i="10"/>
  <c r="BH480" i="10" s="1"/>
  <c r="I480" i="10"/>
  <c r="J480" i="10"/>
  <c r="K480" i="10"/>
  <c r="L480" i="10"/>
  <c r="M480" i="10" s="1"/>
  <c r="P480" i="10"/>
  <c r="U480" i="10" s="1"/>
  <c r="Q480" i="10"/>
  <c r="AK480" i="10" s="1"/>
  <c r="Z480" i="10"/>
  <c r="AA480" i="10"/>
  <c r="AS480" i="10" s="1"/>
  <c r="AB480" i="10"/>
  <c r="AT480" i="10" s="1"/>
  <c r="AH480" i="10"/>
  <c r="AI480" i="10" s="1"/>
  <c r="AW480" i="10" s="1"/>
  <c r="AM480" i="10"/>
  <c r="AQ480" i="10"/>
  <c r="AU480" i="10"/>
  <c r="AY480" i="10"/>
  <c r="BG480" i="10" s="1"/>
  <c r="BF480" i="10"/>
  <c r="BJ480" i="10"/>
  <c r="E479" i="10"/>
  <c r="H479" i="10"/>
  <c r="BH479" i="10" s="1"/>
  <c r="I479" i="10"/>
  <c r="J479" i="10"/>
  <c r="K479" i="10"/>
  <c r="L479" i="10"/>
  <c r="M479" i="10" s="1"/>
  <c r="P479" i="10"/>
  <c r="U479" i="10" s="1"/>
  <c r="Q479" i="10"/>
  <c r="AK479" i="10" s="1"/>
  <c r="Z479" i="10"/>
  <c r="AA479" i="10"/>
  <c r="AS479" i="10" s="1"/>
  <c r="AB479" i="10"/>
  <c r="AT479" i="10" s="1"/>
  <c r="AH479" i="10"/>
  <c r="AI479" i="10" s="1"/>
  <c r="AW479" i="10" s="1"/>
  <c r="AM479" i="10"/>
  <c r="AQ479" i="10"/>
  <c r="AU479" i="10"/>
  <c r="AY479" i="10"/>
  <c r="E478" i="10"/>
  <c r="H478" i="10"/>
  <c r="BH478" i="10" s="1"/>
  <c r="I478" i="10"/>
  <c r="J478" i="10"/>
  <c r="K478" i="10"/>
  <c r="L478" i="10"/>
  <c r="P478" i="10"/>
  <c r="Q478" i="10"/>
  <c r="AK478" i="10" s="1"/>
  <c r="Z478" i="10"/>
  <c r="AA478" i="10"/>
  <c r="AS478" i="10" s="1"/>
  <c r="AB478" i="10"/>
  <c r="AT478" i="10" s="1"/>
  <c r="AH478" i="10"/>
  <c r="AI478" i="10" s="1"/>
  <c r="AW478" i="10" s="1"/>
  <c r="AM478" i="10"/>
  <c r="AQ478" i="10"/>
  <c r="AU478" i="10"/>
  <c r="AY478" i="10"/>
  <c r="BG478" i="10" s="1"/>
  <c r="BF478" i="10"/>
  <c r="BJ478" i="10"/>
  <c r="S473" i="10"/>
  <c r="L473" i="10" s="1"/>
  <c r="M473" i="10" s="1"/>
  <c r="D476" i="10"/>
  <c r="D477" i="10"/>
  <c r="E477" i="10"/>
  <c r="H477" i="10"/>
  <c r="BH477" i="10" s="1"/>
  <c r="I477" i="10"/>
  <c r="J477" i="10"/>
  <c r="K477" i="10"/>
  <c r="L477" i="10"/>
  <c r="M477" i="10" s="1"/>
  <c r="P477" i="10"/>
  <c r="U477" i="10" s="1"/>
  <c r="V477" i="10" s="1"/>
  <c r="AO477" i="10" s="1"/>
  <c r="Q477" i="10"/>
  <c r="AK477" i="10" s="1"/>
  <c r="Z477" i="10"/>
  <c r="AA477" i="10"/>
  <c r="AS477" i="10" s="1"/>
  <c r="AB477" i="10"/>
  <c r="AT477" i="10" s="1"/>
  <c r="AH477" i="10"/>
  <c r="AI477" i="10"/>
  <c r="AW477" i="10" s="1"/>
  <c r="AM477" i="10"/>
  <c r="AQ477" i="10"/>
  <c r="AU477" i="10"/>
  <c r="AY477" i="10"/>
  <c r="BG477" i="10" s="1"/>
  <c r="BF477" i="10"/>
  <c r="BJ477" i="10"/>
  <c r="E476" i="10"/>
  <c r="H476" i="10"/>
  <c r="BH476" i="10" s="1"/>
  <c r="I476" i="10"/>
  <c r="J476" i="10"/>
  <c r="K476" i="10"/>
  <c r="L476" i="10"/>
  <c r="M476" i="10" s="1"/>
  <c r="P476" i="10"/>
  <c r="U476" i="10" s="1"/>
  <c r="V476" i="10" s="1"/>
  <c r="AO476" i="10" s="1"/>
  <c r="Q476" i="10"/>
  <c r="AK476" i="10" s="1"/>
  <c r="Z476" i="10"/>
  <c r="AA476" i="10"/>
  <c r="AS476" i="10" s="1"/>
  <c r="AB476" i="10"/>
  <c r="AT476" i="10" s="1"/>
  <c r="AH476" i="10"/>
  <c r="AI476" i="10" s="1"/>
  <c r="AW476" i="10" s="1"/>
  <c r="AM476" i="10"/>
  <c r="AQ476" i="10"/>
  <c r="AU476" i="10"/>
  <c r="AY476" i="10"/>
  <c r="BG476" i="10" s="1"/>
  <c r="BF476" i="10"/>
  <c r="BJ476" i="10"/>
  <c r="D473" i="10"/>
  <c r="D474" i="10"/>
  <c r="D475" i="10"/>
  <c r="E475" i="10"/>
  <c r="H475" i="10"/>
  <c r="BH475" i="10" s="1"/>
  <c r="I475" i="10"/>
  <c r="J475" i="10"/>
  <c r="K475" i="10"/>
  <c r="L475" i="10"/>
  <c r="M475" i="10" s="1"/>
  <c r="P475" i="10"/>
  <c r="U475" i="10" s="1"/>
  <c r="V475" i="10" s="1"/>
  <c r="AO475" i="10" s="1"/>
  <c r="Q475" i="10"/>
  <c r="AK475" i="10" s="1"/>
  <c r="Z475" i="10"/>
  <c r="AA475" i="10"/>
  <c r="AS475" i="10" s="1"/>
  <c r="AB475" i="10"/>
  <c r="AT475" i="10" s="1"/>
  <c r="AH475" i="10"/>
  <c r="AI475" i="10"/>
  <c r="AM475" i="10"/>
  <c r="AQ475" i="10"/>
  <c r="AU475" i="10"/>
  <c r="AY475" i="10"/>
  <c r="BG475" i="10" s="1"/>
  <c r="BF475" i="10"/>
  <c r="BJ475" i="10"/>
  <c r="E474" i="10"/>
  <c r="H474" i="10"/>
  <c r="BH474" i="10" s="1"/>
  <c r="I474" i="10"/>
  <c r="J474" i="10"/>
  <c r="K474" i="10"/>
  <c r="L474" i="10"/>
  <c r="M474" i="10" s="1"/>
  <c r="P474" i="10"/>
  <c r="U474" i="10" s="1"/>
  <c r="V474" i="10" s="1"/>
  <c r="AO474" i="10" s="1"/>
  <c r="Q474" i="10"/>
  <c r="AK474" i="10" s="1"/>
  <c r="Z474" i="10"/>
  <c r="AA474" i="10"/>
  <c r="AS474" i="10" s="1"/>
  <c r="AB474" i="10"/>
  <c r="AT474" i="10" s="1"/>
  <c r="AH474" i="10"/>
  <c r="AI474" i="10" s="1"/>
  <c r="AW474" i="10" s="1"/>
  <c r="AM474" i="10"/>
  <c r="AQ474" i="10"/>
  <c r="AU474" i="10"/>
  <c r="AY474" i="10"/>
  <c r="BG474" i="10" s="1"/>
  <c r="BF474" i="10"/>
  <c r="BJ474" i="10"/>
  <c r="E473" i="10"/>
  <c r="H473" i="10"/>
  <c r="BH473" i="10" s="1"/>
  <c r="I473" i="10"/>
  <c r="J473" i="10"/>
  <c r="K473" i="10"/>
  <c r="P473" i="10"/>
  <c r="U473" i="10" s="1"/>
  <c r="Q473" i="10"/>
  <c r="AK473" i="10" s="1"/>
  <c r="Z473" i="10"/>
  <c r="AA473" i="10"/>
  <c r="AS473" i="10" s="1"/>
  <c r="AB473" i="10"/>
  <c r="AT473" i="10" s="1"/>
  <c r="AH473" i="10"/>
  <c r="AI473" i="10"/>
  <c r="AW473" i="10" s="1"/>
  <c r="AM473" i="10"/>
  <c r="AQ473" i="10"/>
  <c r="AU473" i="10"/>
  <c r="AY473" i="10"/>
  <c r="W484" i="10" l="1"/>
  <c r="AP484" i="10" s="1"/>
  <c r="AR484" i="10" s="1"/>
  <c r="BA484" i="10" s="1"/>
  <c r="BE489" i="10"/>
  <c r="BB488" i="10"/>
  <c r="BC488" i="10" s="1"/>
  <c r="BG488" i="10" s="1"/>
  <c r="BB485" i="10"/>
  <c r="BD485" i="10" s="1"/>
  <c r="BM485" i="10" s="1"/>
  <c r="BA487" i="10"/>
  <c r="AR485" i="10"/>
  <c r="BA485" i="10" s="1"/>
  <c r="BB486" i="10"/>
  <c r="BD486" i="10" s="1"/>
  <c r="BM486" i="10" s="1"/>
  <c r="U478" i="10"/>
  <c r="V478" i="10" s="1"/>
  <c r="AO478" i="10" s="1"/>
  <c r="BB487" i="10"/>
  <c r="BD487" i="10" s="1"/>
  <c r="BA486" i="10"/>
  <c r="W480" i="10"/>
  <c r="AP480" i="10" s="1"/>
  <c r="AR480" i="10" s="1"/>
  <c r="AV483" i="10"/>
  <c r="AV482" i="10"/>
  <c r="W479" i="10"/>
  <c r="AP479" i="10" s="1"/>
  <c r="AR479" i="10" s="1"/>
  <c r="V483" i="10"/>
  <c r="AO483" i="10" s="1"/>
  <c r="W483" i="10"/>
  <c r="AP483" i="10" s="1"/>
  <c r="AR483" i="10" s="1"/>
  <c r="R478" i="10"/>
  <c r="AL478" i="10" s="1"/>
  <c r="AN478" i="10" s="1"/>
  <c r="V479" i="10"/>
  <c r="AO479" i="10" s="1"/>
  <c r="V480" i="10"/>
  <c r="AO480" i="10" s="1"/>
  <c r="AJ483" i="10"/>
  <c r="AX483" i="10" s="1"/>
  <c r="AZ483" i="10" s="1"/>
  <c r="AW483" i="10"/>
  <c r="W477" i="10"/>
  <c r="AP477" i="10" s="1"/>
  <c r="AR477" i="10" s="1"/>
  <c r="AR481" i="10"/>
  <c r="W475" i="10"/>
  <c r="AP475" i="10" s="1"/>
  <c r="AR475" i="10" s="1"/>
  <c r="AJ475" i="10"/>
  <c r="AX475" i="10" s="1"/>
  <c r="AJ481" i="10"/>
  <c r="AX481" i="10" s="1"/>
  <c r="AZ481" i="10" s="1"/>
  <c r="W476" i="10"/>
  <c r="AP476" i="10" s="1"/>
  <c r="AR476" i="10" s="1"/>
  <c r="M478" i="10"/>
  <c r="R481" i="10"/>
  <c r="AL481" i="10" s="1"/>
  <c r="AN481" i="10" s="1"/>
  <c r="R483" i="10"/>
  <c r="AL483" i="10" s="1"/>
  <c r="AN483" i="10" s="1"/>
  <c r="AJ478" i="10"/>
  <c r="AX478" i="10" s="1"/>
  <c r="AZ478" i="10" s="1"/>
  <c r="AV481" i="10"/>
  <c r="AJ479" i="10"/>
  <c r="AX479" i="10" s="1"/>
  <c r="AZ479" i="10" s="1"/>
  <c r="R479" i="10"/>
  <c r="AL479" i="10" s="1"/>
  <c r="AN479" i="10" s="1"/>
  <c r="AJ482" i="10"/>
  <c r="AX482" i="10" s="1"/>
  <c r="AZ482" i="10" s="1"/>
  <c r="R482" i="10"/>
  <c r="AL482" i="10" s="1"/>
  <c r="AN482" i="10" s="1"/>
  <c r="R480" i="10"/>
  <c r="AL480" i="10" s="1"/>
  <c r="AN480" i="10" s="1"/>
  <c r="AV479" i="10"/>
  <c r="AR482" i="10"/>
  <c r="AV473" i="10"/>
  <c r="AJ480" i="10"/>
  <c r="AX480" i="10" s="1"/>
  <c r="AV478" i="10"/>
  <c r="AV480" i="10"/>
  <c r="AJ476" i="10"/>
  <c r="AX476" i="10" s="1"/>
  <c r="W473" i="10"/>
  <c r="AP473" i="10" s="1"/>
  <c r="AR473" i="10" s="1"/>
  <c r="V473" i="10"/>
  <c r="AO473" i="10" s="1"/>
  <c r="R474" i="10"/>
  <c r="AL474" i="10" s="1"/>
  <c r="AN474" i="10" s="1"/>
  <c r="AW475" i="10"/>
  <c r="R475" i="10"/>
  <c r="AL475" i="10" s="1"/>
  <c r="AN475" i="10" s="1"/>
  <c r="W474" i="10"/>
  <c r="AP474" i="10" s="1"/>
  <c r="AR474" i="10" s="1"/>
  <c r="AV477" i="10"/>
  <c r="AJ474" i="10"/>
  <c r="AX474" i="10" s="1"/>
  <c r="AZ474" i="10" s="1"/>
  <c r="AJ473" i="10"/>
  <c r="AX473" i="10" s="1"/>
  <c r="AZ473" i="10" s="1"/>
  <c r="R473" i="10"/>
  <c r="AL473" i="10" s="1"/>
  <c r="AN473" i="10" s="1"/>
  <c r="R476" i="10"/>
  <c r="AL476" i="10" s="1"/>
  <c r="AN476" i="10" s="1"/>
  <c r="R477" i="10"/>
  <c r="AL477" i="10" s="1"/>
  <c r="AN477" i="10" s="1"/>
  <c r="AJ477" i="10"/>
  <c r="AX477" i="10" s="1"/>
  <c r="AV476" i="10"/>
  <c r="AV474" i="10"/>
  <c r="AV475" i="10"/>
  <c r="BB484" i="10" l="1"/>
  <c r="BC484" i="10" s="1"/>
  <c r="BD484" i="10" s="1"/>
  <c r="BE484" i="10" s="1"/>
  <c r="BJ488" i="10"/>
  <c r="BD488" i="10"/>
  <c r="BE488" i="10" s="1"/>
  <c r="BE485" i="10"/>
  <c r="BF488" i="10"/>
  <c r="BB481" i="10"/>
  <c r="BD481" i="10" s="1"/>
  <c r="BM481" i="10" s="1"/>
  <c r="BE486" i="10"/>
  <c r="W478" i="10"/>
  <c r="AP478" i="10" s="1"/>
  <c r="AR478" i="10" s="1"/>
  <c r="BA478" i="10" s="1"/>
  <c r="BE487" i="10"/>
  <c r="BM487" i="10"/>
  <c r="BB477" i="10"/>
  <c r="BD477" i="10" s="1"/>
  <c r="BM477" i="10" s="1"/>
  <c r="BB483" i="10"/>
  <c r="BD483" i="10" s="1"/>
  <c r="BM483" i="10" s="1"/>
  <c r="BB480" i="10"/>
  <c r="BD480" i="10" s="1"/>
  <c r="BM480" i="10" s="1"/>
  <c r="BB475" i="10"/>
  <c r="BD475" i="10" s="1"/>
  <c r="BM475" i="10" s="1"/>
  <c r="BB476" i="10"/>
  <c r="BD476" i="10" s="1"/>
  <c r="BM476" i="10" s="1"/>
  <c r="BA483" i="10"/>
  <c r="BA481" i="10"/>
  <c r="AZ475" i="10"/>
  <c r="BA482" i="10"/>
  <c r="BA479" i="10"/>
  <c r="BB479" i="10"/>
  <c r="BB482" i="10"/>
  <c r="BD482" i="10" s="1"/>
  <c r="BM482" i="10" s="1"/>
  <c r="BA480" i="10"/>
  <c r="AZ480" i="10"/>
  <c r="BA477" i="10"/>
  <c r="BB473" i="10"/>
  <c r="AZ476" i="10"/>
  <c r="BA473" i="10"/>
  <c r="BA475" i="10"/>
  <c r="AZ477" i="10"/>
  <c r="BB474" i="10"/>
  <c r="BD474" i="10" s="1"/>
  <c r="BE474" i="10" s="1"/>
  <c r="BA474" i="10"/>
  <c r="BA476" i="10"/>
  <c r="BM488" i="10" l="1"/>
  <c r="BM484" i="10"/>
  <c r="BE481" i="10"/>
  <c r="BF484" i="10"/>
  <c r="BJ484" i="10"/>
  <c r="BG484" i="10"/>
  <c r="BB478" i="10"/>
  <c r="BD478" i="10" s="1"/>
  <c r="BE478" i="10" s="1"/>
  <c r="BC479" i="10"/>
  <c r="BD479" i="10" s="1"/>
  <c r="BM479" i="10" s="1"/>
  <c r="BE483" i="10"/>
  <c r="BE480" i="10"/>
  <c r="BE477" i="10"/>
  <c r="BE476" i="10"/>
  <c r="BE475" i="10"/>
  <c r="BM474" i="10"/>
  <c r="BE482" i="10"/>
  <c r="BJ473" i="10"/>
  <c r="BF473" i="10"/>
  <c r="BG473" i="10"/>
  <c r="BD473" i="10"/>
  <c r="D472" i="10"/>
  <c r="E472" i="10"/>
  <c r="H472" i="10"/>
  <c r="BH472" i="10" s="1"/>
  <c r="I472" i="10"/>
  <c r="J472" i="10"/>
  <c r="K472" i="10"/>
  <c r="L472" i="10"/>
  <c r="M472" i="10" s="1"/>
  <c r="P472" i="10"/>
  <c r="U472" i="10" s="1"/>
  <c r="V472" i="10" s="1"/>
  <c r="AO472" i="10" s="1"/>
  <c r="Q472" i="10"/>
  <c r="AK472" i="10" s="1"/>
  <c r="Z472" i="10"/>
  <c r="AA472" i="10"/>
  <c r="AS472" i="10" s="1"/>
  <c r="AB472" i="10"/>
  <c r="AT472" i="10" s="1"/>
  <c r="AH472" i="10"/>
  <c r="AI472" i="10" s="1"/>
  <c r="AW472" i="10" s="1"/>
  <c r="AM472" i="10"/>
  <c r="AQ472" i="10"/>
  <c r="AU472" i="10"/>
  <c r="AY472" i="10"/>
  <c r="BG472" i="10" s="1"/>
  <c r="BF472" i="10"/>
  <c r="BJ472" i="10"/>
  <c r="D469" i="10"/>
  <c r="D470" i="10"/>
  <c r="D471" i="10"/>
  <c r="E471" i="10"/>
  <c r="H471" i="10"/>
  <c r="BH471" i="10" s="1"/>
  <c r="I471" i="10"/>
  <c r="J471" i="10"/>
  <c r="K471" i="10"/>
  <c r="L471" i="10"/>
  <c r="M471" i="10" s="1"/>
  <c r="P471" i="10"/>
  <c r="U471" i="10" s="1"/>
  <c r="V471" i="10" s="1"/>
  <c r="AO471" i="10" s="1"/>
  <c r="Q471" i="10"/>
  <c r="AK471" i="10" s="1"/>
  <c r="Z471" i="10"/>
  <c r="AA471" i="10"/>
  <c r="AS471" i="10" s="1"/>
  <c r="AB471" i="10"/>
  <c r="AT471" i="10" s="1"/>
  <c r="AH471" i="10"/>
  <c r="AI471" i="10" s="1"/>
  <c r="AW471" i="10" s="1"/>
  <c r="AM471" i="10"/>
  <c r="AQ471" i="10"/>
  <c r="AU471" i="10"/>
  <c r="AY471" i="10"/>
  <c r="BG471" i="10" s="1"/>
  <c r="BF471" i="10"/>
  <c r="BJ471" i="10"/>
  <c r="E470" i="10"/>
  <c r="H470" i="10"/>
  <c r="BH470" i="10" s="1"/>
  <c r="I470" i="10"/>
  <c r="J470" i="10"/>
  <c r="K470" i="10"/>
  <c r="L470" i="10"/>
  <c r="M470" i="10" s="1"/>
  <c r="P470" i="10"/>
  <c r="U470" i="10" s="1"/>
  <c r="V470" i="10" s="1"/>
  <c r="AO470" i="10" s="1"/>
  <c r="Q470" i="10"/>
  <c r="AK470" i="10" s="1"/>
  <c r="Z470" i="10"/>
  <c r="AA470" i="10"/>
  <c r="AS470" i="10" s="1"/>
  <c r="AB470" i="10"/>
  <c r="AT470" i="10" s="1"/>
  <c r="AH470" i="10"/>
  <c r="AI470" i="10"/>
  <c r="AW470" i="10" s="1"/>
  <c r="AM470" i="10"/>
  <c r="AQ470" i="10"/>
  <c r="AU470" i="10"/>
  <c r="AY470" i="10"/>
  <c r="BG470" i="10" s="1"/>
  <c r="BF470" i="10"/>
  <c r="BJ470" i="10"/>
  <c r="E469" i="10"/>
  <c r="H469" i="10"/>
  <c r="BH469" i="10" s="1"/>
  <c r="I469" i="10"/>
  <c r="J469" i="10"/>
  <c r="K469" i="10"/>
  <c r="L469" i="10"/>
  <c r="M469" i="10" s="1"/>
  <c r="P469" i="10"/>
  <c r="U469" i="10" s="1"/>
  <c r="V469" i="10" s="1"/>
  <c r="AO469" i="10" s="1"/>
  <c r="Q469" i="10"/>
  <c r="AK469" i="10" s="1"/>
  <c r="Z469" i="10"/>
  <c r="AA469" i="10"/>
  <c r="AS469" i="10" s="1"/>
  <c r="AB469" i="10"/>
  <c r="AT469" i="10" s="1"/>
  <c r="AH469" i="10"/>
  <c r="AI469" i="10" s="1"/>
  <c r="AM469" i="10"/>
  <c r="AQ469" i="10"/>
  <c r="AU469" i="10"/>
  <c r="AY469" i="10"/>
  <c r="BG469" i="10" s="1"/>
  <c r="BF469" i="10"/>
  <c r="BJ469" i="10"/>
  <c r="I464" i="10"/>
  <c r="S467" i="10"/>
  <c r="L467" i="10" s="1"/>
  <c r="F467" i="10"/>
  <c r="D467" i="10"/>
  <c r="D468" i="10"/>
  <c r="E468" i="10"/>
  <c r="H468" i="10"/>
  <c r="BH468" i="10" s="1"/>
  <c r="I468" i="10"/>
  <c r="J468" i="10"/>
  <c r="K468" i="10"/>
  <c r="L468" i="10"/>
  <c r="M468" i="10" s="1"/>
  <c r="P468" i="10"/>
  <c r="U468" i="10" s="1"/>
  <c r="V468" i="10" s="1"/>
  <c r="AO468" i="10" s="1"/>
  <c r="Q468" i="10"/>
  <c r="AK468" i="10" s="1"/>
  <c r="Z468" i="10"/>
  <c r="AA468" i="10"/>
  <c r="AS468" i="10" s="1"/>
  <c r="AB468" i="10"/>
  <c r="AT468" i="10" s="1"/>
  <c r="AH468" i="10"/>
  <c r="AI468" i="10" s="1"/>
  <c r="AW468" i="10" s="1"/>
  <c r="AM468" i="10"/>
  <c r="AQ468" i="10"/>
  <c r="AU468" i="10"/>
  <c r="AY468" i="10"/>
  <c r="BG468" i="10" s="1"/>
  <c r="BF468" i="10"/>
  <c r="BJ468" i="10"/>
  <c r="E467" i="10"/>
  <c r="H467" i="10"/>
  <c r="BH467" i="10" s="1"/>
  <c r="I467" i="10"/>
  <c r="J467" i="10"/>
  <c r="K467" i="10"/>
  <c r="P467" i="10"/>
  <c r="Q467" i="10"/>
  <c r="AK467" i="10" s="1"/>
  <c r="Z467" i="10"/>
  <c r="AA467" i="10"/>
  <c r="AS467" i="10" s="1"/>
  <c r="AB467" i="10"/>
  <c r="AT467" i="10" s="1"/>
  <c r="AH467" i="10"/>
  <c r="AI467" i="10" s="1"/>
  <c r="AW467" i="10" s="1"/>
  <c r="AM467" i="10"/>
  <c r="AQ467" i="10"/>
  <c r="AU467" i="10"/>
  <c r="AY467" i="10"/>
  <c r="S465" i="10"/>
  <c r="BM478" i="10" l="1"/>
  <c r="W470" i="10"/>
  <c r="AP470" i="10" s="1"/>
  <c r="AR470" i="10" s="1"/>
  <c r="BG479" i="10"/>
  <c r="BF479" i="10"/>
  <c r="BE479" i="10"/>
  <c r="BJ479" i="10"/>
  <c r="W471" i="10"/>
  <c r="AP471" i="10" s="1"/>
  <c r="AR471" i="10" s="1"/>
  <c r="AJ469" i="10"/>
  <c r="AX469" i="10" s="1"/>
  <c r="AZ469" i="10" s="1"/>
  <c r="W472" i="10"/>
  <c r="AP472" i="10" s="1"/>
  <c r="AR472" i="10" s="1"/>
  <c r="W469" i="10"/>
  <c r="AP469" i="10" s="1"/>
  <c r="AR469" i="10" s="1"/>
  <c r="R472" i="10"/>
  <c r="AL472" i="10" s="1"/>
  <c r="AN472" i="10" s="1"/>
  <c r="BE473" i="10"/>
  <c r="BM473" i="10"/>
  <c r="AJ472" i="10"/>
  <c r="AX472" i="10" s="1"/>
  <c r="AZ472" i="10" s="1"/>
  <c r="AJ470" i="10"/>
  <c r="AX470" i="10" s="1"/>
  <c r="AJ471" i="10"/>
  <c r="AX471" i="10" s="1"/>
  <c r="AZ471" i="10" s="1"/>
  <c r="AV472" i="10"/>
  <c r="AV470" i="10"/>
  <c r="AV469" i="10"/>
  <c r="R469" i="10"/>
  <c r="AL469" i="10" s="1"/>
  <c r="AN469" i="10" s="1"/>
  <c r="AV471" i="10"/>
  <c r="R470" i="10"/>
  <c r="AL470" i="10" s="1"/>
  <c r="AN470" i="10" s="1"/>
  <c r="AW469" i="10"/>
  <c r="R471" i="10"/>
  <c r="AL471" i="10" s="1"/>
  <c r="AN471" i="10" s="1"/>
  <c r="AV468" i="10"/>
  <c r="AV467" i="10"/>
  <c r="AJ468" i="10"/>
  <c r="AX468" i="10" s="1"/>
  <c r="AZ468" i="10" s="1"/>
  <c r="AJ467" i="10"/>
  <c r="AX467" i="10" s="1"/>
  <c r="AZ467" i="10" s="1"/>
  <c r="R467" i="10"/>
  <c r="AL467" i="10" s="1"/>
  <c r="AN467" i="10" s="1"/>
  <c r="U467" i="10"/>
  <c r="W468" i="10"/>
  <c r="AP468" i="10" s="1"/>
  <c r="AR468" i="10" s="1"/>
  <c r="M467" i="10"/>
  <c r="R468" i="10"/>
  <c r="AL468" i="10" s="1"/>
  <c r="AN468" i="10" s="1"/>
  <c r="F462" i="10"/>
  <c r="D465" i="10"/>
  <c r="D466" i="10"/>
  <c r="E466" i="10"/>
  <c r="H466" i="10"/>
  <c r="BH466" i="10" s="1"/>
  <c r="I466" i="10"/>
  <c r="J466" i="10"/>
  <c r="K466" i="10"/>
  <c r="L466" i="10"/>
  <c r="M466" i="10" s="1"/>
  <c r="P466" i="10"/>
  <c r="U466" i="10" s="1"/>
  <c r="V466" i="10" s="1"/>
  <c r="AO466" i="10" s="1"/>
  <c r="Q466" i="10"/>
  <c r="AK466" i="10" s="1"/>
  <c r="Z466" i="10"/>
  <c r="AA466" i="10"/>
  <c r="AS466" i="10" s="1"/>
  <c r="AB466" i="10"/>
  <c r="AT466" i="10" s="1"/>
  <c r="AH466" i="10"/>
  <c r="AI466" i="10" s="1"/>
  <c r="AW466" i="10" s="1"/>
  <c r="AM466" i="10"/>
  <c r="AQ466" i="10"/>
  <c r="AU466" i="10"/>
  <c r="AY466" i="10"/>
  <c r="BG466" i="10" s="1"/>
  <c r="BF466" i="10"/>
  <c r="BJ466" i="10"/>
  <c r="E465" i="10"/>
  <c r="H465" i="10"/>
  <c r="BH465" i="10" s="1"/>
  <c r="I465" i="10"/>
  <c r="J465" i="10"/>
  <c r="K465" i="10"/>
  <c r="L465" i="10"/>
  <c r="M465" i="10" s="1"/>
  <c r="P465" i="10"/>
  <c r="U465" i="10" s="1"/>
  <c r="V465" i="10" s="1"/>
  <c r="AO465" i="10" s="1"/>
  <c r="Q465" i="10"/>
  <c r="AK465" i="10" s="1"/>
  <c r="Z465" i="10"/>
  <c r="AA465" i="10"/>
  <c r="AS465" i="10" s="1"/>
  <c r="AB465" i="10"/>
  <c r="AT465" i="10" s="1"/>
  <c r="AH465" i="10"/>
  <c r="AI465" i="10" s="1"/>
  <c r="AM465" i="10"/>
  <c r="AQ465" i="10"/>
  <c r="AU465" i="10"/>
  <c r="AY465" i="10"/>
  <c r="BG465" i="10" s="1"/>
  <c r="BF465" i="10"/>
  <c r="BJ465" i="10"/>
  <c r="D462" i="10"/>
  <c r="D464" i="10"/>
  <c r="D463" i="10"/>
  <c r="E463" i="10"/>
  <c r="H463" i="10"/>
  <c r="BH463" i="10" s="1"/>
  <c r="I463" i="10"/>
  <c r="J463" i="10"/>
  <c r="K463" i="10"/>
  <c r="L463" i="10"/>
  <c r="M463" i="10" s="1"/>
  <c r="P463" i="10"/>
  <c r="U463" i="10" s="1"/>
  <c r="V463" i="10" s="1"/>
  <c r="AO463" i="10" s="1"/>
  <c r="Q463" i="10"/>
  <c r="AK463" i="10" s="1"/>
  <c r="Z463" i="10"/>
  <c r="AA463" i="10"/>
  <c r="AS463" i="10" s="1"/>
  <c r="AB463" i="10"/>
  <c r="AT463" i="10" s="1"/>
  <c r="AH463" i="10"/>
  <c r="AI463" i="10" s="1"/>
  <c r="AW463" i="10" s="1"/>
  <c r="AM463" i="10"/>
  <c r="AQ463" i="10"/>
  <c r="AU463" i="10"/>
  <c r="AY463" i="10"/>
  <c r="BG463" i="10" s="1"/>
  <c r="BF463" i="10"/>
  <c r="BJ463" i="10"/>
  <c r="E464" i="10"/>
  <c r="H464" i="10"/>
  <c r="BH464" i="10" s="1"/>
  <c r="J464" i="10"/>
  <c r="K464" i="10"/>
  <c r="L464" i="10"/>
  <c r="M464" i="10" s="1"/>
  <c r="P464" i="10"/>
  <c r="U464" i="10" s="1"/>
  <c r="W464" i="10" s="1"/>
  <c r="AP464" i="10" s="1"/>
  <c r="Q464" i="10"/>
  <c r="AK464" i="10" s="1"/>
  <c r="Z464" i="10"/>
  <c r="AA464" i="10"/>
  <c r="AS464" i="10" s="1"/>
  <c r="AB464" i="10"/>
  <c r="AT464" i="10" s="1"/>
  <c r="AH464" i="10"/>
  <c r="AI464" i="10" s="1"/>
  <c r="AW464" i="10" s="1"/>
  <c r="AM464" i="10"/>
  <c r="AQ464" i="10"/>
  <c r="AU464" i="10"/>
  <c r="AY464" i="10"/>
  <c r="BG464" i="10" s="1"/>
  <c r="BF464" i="10"/>
  <c r="BJ464" i="10"/>
  <c r="E462" i="10"/>
  <c r="H462" i="10"/>
  <c r="BH462" i="10" s="1"/>
  <c r="I462" i="10"/>
  <c r="J462" i="10"/>
  <c r="K462" i="10"/>
  <c r="L462" i="10"/>
  <c r="P462" i="10"/>
  <c r="Q462" i="10"/>
  <c r="AK462" i="10" s="1"/>
  <c r="Z462" i="10"/>
  <c r="AA462" i="10"/>
  <c r="AS462" i="10" s="1"/>
  <c r="AB462" i="10"/>
  <c r="AT462" i="10" s="1"/>
  <c r="AH462" i="10"/>
  <c r="AI462" i="10" s="1"/>
  <c r="AW462" i="10" s="1"/>
  <c r="AM462" i="10"/>
  <c r="AQ462" i="10"/>
  <c r="AU462" i="10"/>
  <c r="AY462" i="10"/>
  <c r="BG462" i="10" s="1"/>
  <c r="BF462" i="10"/>
  <c r="BJ462" i="10"/>
  <c r="D461" i="10"/>
  <c r="E461" i="10"/>
  <c r="H461" i="10"/>
  <c r="BH461" i="10" s="1"/>
  <c r="I461" i="10"/>
  <c r="J461" i="10"/>
  <c r="K461" i="10"/>
  <c r="L461" i="10"/>
  <c r="M461" i="10" s="1"/>
  <c r="P461" i="10"/>
  <c r="U461" i="10" s="1"/>
  <c r="Q461" i="10"/>
  <c r="AK461" i="10" s="1"/>
  <c r="Z461" i="10"/>
  <c r="AA461" i="10"/>
  <c r="AS461" i="10" s="1"/>
  <c r="AB461" i="10"/>
  <c r="AT461" i="10" s="1"/>
  <c r="AH461" i="10"/>
  <c r="AI461" i="10" s="1"/>
  <c r="AW461" i="10" s="1"/>
  <c r="AM461" i="10"/>
  <c r="AQ461" i="10"/>
  <c r="AU461" i="10"/>
  <c r="AY461" i="10"/>
  <c r="BG461" i="10" s="1"/>
  <c r="BF461" i="10"/>
  <c r="BJ461" i="10"/>
  <c r="D460" i="10"/>
  <c r="E460" i="10"/>
  <c r="H460" i="10"/>
  <c r="BH460" i="10" s="1"/>
  <c r="I460" i="10"/>
  <c r="J460" i="10"/>
  <c r="K460" i="10"/>
  <c r="L460" i="10"/>
  <c r="M460" i="10" s="1"/>
  <c r="P460" i="10"/>
  <c r="U460" i="10" s="1"/>
  <c r="V460" i="10" s="1"/>
  <c r="AO460" i="10" s="1"/>
  <c r="Q460" i="10"/>
  <c r="AK460" i="10" s="1"/>
  <c r="Z460" i="10"/>
  <c r="AA460" i="10"/>
  <c r="AS460" i="10" s="1"/>
  <c r="AB460" i="10"/>
  <c r="AT460" i="10" s="1"/>
  <c r="AH460" i="10"/>
  <c r="AI460" i="10" s="1"/>
  <c r="AW460" i="10" s="1"/>
  <c r="AM460" i="10"/>
  <c r="AQ460" i="10"/>
  <c r="AU460" i="10"/>
  <c r="AY460" i="10"/>
  <c r="BG460" i="10" s="1"/>
  <c r="BF460" i="10"/>
  <c r="BJ460" i="10"/>
  <c r="BB470" i="10" l="1"/>
  <c r="BD470" i="10" s="1"/>
  <c r="BE470" i="10" s="1"/>
  <c r="U462" i="10"/>
  <c r="V462" i="10" s="1"/>
  <c r="AO462" i="10" s="1"/>
  <c r="M462" i="10"/>
  <c r="AZ470" i="10"/>
  <c r="BA472" i="10"/>
  <c r="BB469" i="10"/>
  <c r="BD469" i="10" s="1"/>
  <c r="BE469" i="10" s="1"/>
  <c r="BA469" i="10"/>
  <c r="BB472" i="10"/>
  <c r="BD472" i="10" s="1"/>
  <c r="BM472" i="10" s="1"/>
  <c r="BB471" i="10"/>
  <c r="BD471" i="10" s="1"/>
  <c r="BM471" i="10" s="1"/>
  <c r="BA470" i="10"/>
  <c r="BA471" i="10"/>
  <c r="W460" i="10"/>
  <c r="AP460" i="10" s="1"/>
  <c r="AR460" i="10" s="1"/>
  <c r="W463" i="10"/>
  <c r="AP463" i="10" s="1"/>
  <c r="AR463" i="10" s="1"/>
  <c r="W466" i="10"/>
  <c r="AP466" i="10" s="1"/>
  <c r="AR466" i="10" s="1"/>
  <c r="R461" i="10"/>
  <c r="AL461" i="10" s="1"/>
  <c r="AN461" i="10" s="1"/>
  <c r="AV462" i="10"/>
  <c r="AV466" i="10"/>
  <c r="V464" i="10"/>
  <c r="AO464" i="10" s="1"/>
  <c r="BB468" i="10"/>
  <c r="BD468" i="10" s="1"/>
  <c r="BM468" i="10" s="1"/>
  <c r="BA468" i="10"/>
  <c r="V467" i="10"/>
  <c r="AO467" i="10" s="1"/>
  <c r="W467" i="10"/>
  <c r="AP467" i="10" s="1"/>
  <c r="AV464" i="10"/>
  <c r="AJ466" i="10"/>
  <c r="AX466" i="10" s="1"/>
  <c r="AZ466" i="10" s="1"/>
  <c r="AJ463" i="10"/>
  <c r="AX463" i="10" s="1"/>
  <c r="AJ462" i="10"/>
  <c r="AX462" i="10" s="1"/>
  <c r="AZ462" i="10" s="1"/>
  <c r="W465" i="10"/>
  <c r="AP465" i="10" s="1"/>
  <c r="AR465" i="10" s="1"/>
  <c r="R465" i="10"/>
  <c r="AL465" i="10" s="1"/>
  <c r="AN465" i="10" s="1"/>
  <c r="R466" i="10"/>
  <c r="AL466" i="10" s="1"/>
  <c r="AN466" i="10" s="1"/>
  <c r="AJ465" i="10"/>
  <c r="AX465" i="10" s="1"/>
  <c r="R462" i="10"/>
  <c r="AL462" i="10" s="1"/>
  <c r="AN462" i="10" s="1"/>
  <c r="AJ464" i="10"/>
  <c r="AX464" i="10" s="1"/>
  <c r="BB464" i="10" s="1"/>
  <c r="BD464" i="10" s="1"/>
  <c r="AW465" i="10"/>
  <c r="R464" i="10"/>
  <c r="AL464" i="10" s="1"/>
  <c r="AN464" i="10" s="1"/>
  <c r="AV463" i="10"/>
  <c r="AJ460" i="10"/>
  <c r="AX460" i="10" s="1"/>
  <c r="AZ460" i="10" s="1"/>
  <c r="AV465" i="10"/>
  <c r="R463" i="10"/>
  <c r="AL463" i="10" s="1"/>
  <c r="AN463" i="10" s="1"/>
  <c r="AR464" i="10"/>
  <c r="AV461" i="10"/>
  <c r="V461" i="10"/>
  <c r="AO461" i="10" s="1"/>
  <c r="W461" i="10"/>
  <c r="AP461" i="10" s="1"/>
  <c r="AR461" i="10" s="1"/>
  <c r="R460" i="10"/>
  <c r="AL460" i="10" s="1"/>
  <c r="AN460" i="10" s="1"/>
  <c r="AJ461" i="10"/>
  <c r="AX461" i="10" s="1"/>
  <c r="AZ461" i="10" s="1"/>
  <c r="AV460" i="10"/>
  <c r="W462" i="10" l="1"/>
  <c r="AP462" i="10" s="1"/>
  <c r="AR462" i="10" s="1"/>
  <c r="BA462" i="10" s="1"/>
  <c r="BM470" i="10"/>
  <c r="BM469" i="10"/>
  <c r="BE472" i="10"/>
  <c r="BE471" i="10"/>
  <c r="BB463" i="10"/>
  <c r="BD463" i="10" s="1"/>
  <c r="BE463" i="10" s="1"/>
  <c r="BB460" i="10"/>
  <c r="BD460" i="10" s="1"/>
  <c r="BM460" i="10" s="1"/>
  <c r="BA466" i="10"/>
  <c r="BE468" i="10"/>
  <c r="BB466" i="10"/>
  <c r="BD466" i="10" s="1"/>
  <c r="BE466" i="10" s="1"/>
  <c r="AR467" i="10"/>
  <c r="BA467" i="10" s="1"/>
  <c r="BB467" i="10"/>
  <c r="BB465" i="10"/>
  <c r="BD465" i="10" s="1"/>
  <c r="BM465" i="10" s="1"/>
  <c r="AZ463" i="10"/>
  <c r="AZ464" i="10"/>
  <c r="BA465" i="10"/>
  <c r="AZ465" i="10"/>
  <c r="BA463" i="10"/>
  <c r="BA464" i="10"/>
  <c r="BA461" i="10"/>
  <c r="BM464" i="10"/>
  <c r="BE464" i="10"/>
  <c r="BB461" i="10"/>
  <c r="BD461" i="10" s="1"/>
  <c r="BM461" i="10" s="1"/>
  <c r="BA460" i="10"/>
  <c r="BB462" i="10" l="1"/>
  <c r="BD462" i="10" s="1"/>
  <c r="BM462" i="10" s="1"/>
  <c r="BE460" i="10"/>
  <c r="BM463" i="10"/>
  <c r="BM466" i="10"/>
  <c r="BE465" i="10"/>
  <c r="BC467" i="10"/>
  <c r="BD467" i="10" s="1"/>
  <c r="BE461" i="10"/>
  <c r="F456" i="10"/>
  <c r="D459" i="10"/>
  <c r="D458" i="10"/>
  <c r="E458" i="10"/>
  <c r="H458" i="10"/>
  <c r="BH458" i="10" s="1"/>
  <c r="I458" i="10"/>
  <c r="J458" i="10"/>
  <c r="K458" i="10"/>
  <c r="L458" i="10"/>
  <c r="M458" i="10" s="1"/>
  <c r="P458" i="10"/>
  <c r="U458" i="10" s="1"/>
  <c r="V458" i="10" s="1"/>
  <c r="AO458" i="10" s="1"/>
  <c r="Q458" i="10"/>
  <c r="AK458" i="10" s="1"/>
  <c r="Z458" i="10"/>
  <c r="AA458" i="10"/>
  <c r="AS458" i="10" s="1"/>
  <c r="AB458" i="10"/>
  <c r="AT458" i="10" s="1"/>
  <c r="AH458" i="10"/>
  <c r="AI458" i="10"/>
  <c r="AW458" i="10" s="1"/>
  <c r="AM458" i="10"/>
  <c r="AQ458" i="10"/>
  <c r="AU458" i="10"/>
  <c r="AY458" i="10"/>
  <c r="BG458" i="10" s="1"/>
  <c r="BF458" i="10"/>
  <c r="BJ458" i="10"/>
  <c r="E459" i="10"/>
  <c r="H459" i="10"/>
  <c r="BH459" i="10" s="1"/>
  <c r="I459" i="10"/>
  <c r="J459" i="10"/>
  <c r="K459" i="10"/>
  <c r="L459" i="10"/>
  <c r="M459" i="10" s="1"/>
  <c r="P459" i="10"/>
  <c r="U459" i="10" s="1"/>
  <c r="V459" i="10" s="1"/>
  <c r="AO459" i="10" s="1"/>
  <c r="Q459" i="10"/>
  <c r="AK459" i="10" s="1"/>
  <c r="Z459" i="10"/>
  <c r="AA459" i="10"/>
  <c r="AS459" i="10" s="1"/>
  <c r="AB459" i="10"/>
  <c r="AT459" i="10" s="1"/>
  <c r="AH459" i="10"/>
  <c r="AI459" i="10" s="1"/>
  <c r="AW459" i="10" s="1"/>
  <c r="AM459" i="10"/>
  <c r="AQ459" i="10"/>
  <c r="AU459" i="10"/>
  <c r="AY459" i="10"/>
  <c r="BG459" i="10" s="1"/>
  <c r="BF459" i="10"/>
  <c r="BJ459" i="10"/>
  <c r="D457" i="10"/>
  <c r="D456" i="10"/>
  <c r="E457" i="10"/>
  <c r="H457" i="10"/>
  <c r="BH457" i="10" s="1"/>
  <c r="I457" i="10"/>
  <c r="J457" i="10"/>
  <c r="K457" i="10"/>
  <c r="L457" i="10"/>
  <c r="M457" i="10" s="1"/>
  <c r="P457" i="10"/>
  <c r="U457" i="10" s="1"/>
  <c r="V457" i="10" s="1"/>
  <c r="AO457" i="10" s="1"/>
  <c r="Q457" i="10"/>
  <c r="AK457" i="10" s="1"/>
  <c r="Z457" i="10"/>
  <c r="AA457" i="10"/>
  <c r="AS457" i="10" s="1"/>
  <c r="AB457" i="10"/>
  <c r="AT457" i="10" s="1"/>
  <c r="AH457" i="10"/>
  <c r="AI457" i="10"/>
  <c r="AW457" i="10" s="1"/>
  <c r="AM457" i="10"/>
  <c r="AQ457" i="10"/>
  <c r="AU457" i="10"/>
  <c r="AY457" i="10"/>
  <c r="BG457" i="10" s="1"/>
  <c r="BF457" i="10"/>
  <c r="BJ457" i="10"/>
  <c r="E456" i="10"/>
  <c r="H456" i="10"/>
  <c r="BH456" i="10" s="1"/>
  <c r="I456" i="10"/>
  <c r="J456" i="10"/>
  <c r="K456" i="10"/>
  <c r="L456" i="10"/>
  <c r="M456" i="10" s="1"/>
  <c r="P456" i="10"/>
  <c r="U456" i="10" s="1"/>
  <c r="V456" i="10" s="1"/>
  <c r="AO456" i="10" s="1"/>
  <c r="Q456" i="10"/>
  <c r="AK456" i="10" s="1"/>
  <c r="Z456" i="10"/>
  <c r="AA456" i="10"/>
  <c r="AS456" i="10" s="1"/>
  <c r="AB456" i="10"/>
  <c r="AT456" i="10" s="1"/>
  <c r="AH456" i="10"/>
  <c r="AI456" i="10" s="1"/>
  <c r="AW456" i="10" s="1"/>
  <c r="AM456" i="10"/>
  <c r="AQ456" i="10"/>
  <c r="AU456" i="10"/>
  <c r="AY456" i="10"/>
  <c r="BG456" i="10" s="1"/>
  <c r="BF456" i="10"/>
  <c r="BJ456" i="10"/>
  <c r="S452" i="10"/>
  <c r="L452" i="10" s="1"/>
  <c r="M452" i="10" s="1"/>
  <c r="D451" i="10"/>
  <c r="D452" i="10"/>
  <c r="D453" i="10"/>
  <c r="D454" i="10"/>
  <c r="D455" i="10"/>
  <c r="E453" i="10"/>
  <c r="E454" i="10"/>
  <c r="E455" i="10"/>
  <c r="H453" i="10"/>
  <c r="BH453" i="10" s="1"/>
  <c r="H454" i="10"/>
  <c r="BH454" i="10" s="1"/>
  <c r="H455" i="10"/>
  <c r="BH455" i="10" s="1"/>
  <c r="I453" i="10"/>
  <c r="I454" i="10"/>
  <c r="I455" i="10"/>
  <c r="J453" i="10"/>
  <c r="J454" i="10"/>
  <c r="J455" i="10"/>
  <c r="K453" i="10"/>
  <c r="K454" i="10"/>
  <c r="K455" i="10"/>
  <c r="L453" i="10"/>
  <c r="M453" i="10" s="1"/>
  <c r="L454" i="10"/>
  <c r="M454" i="10" s="1"/>
  <c r="L455" i="10"/>
  <c r="M455" i="10" s="1"/>
  <c r="P453" i="10"/>
  <c r="U453" i="10" s="1"/>
  <c r="P454" i="10"/>
  <c r="U454" i="10" s="1"/>
  <c r="V454" i="10" s="1"/>
  <c r="AO454" i="10" s="1"/>
  <c r="P455" i="10"/>
  <c r="U455" i="10" s="1"/>
  <c r="V455" i="10" s="1"/>
  <c r="AO455" i="10" s="1"/>
  <c r="Q453" i="10"/>
  <c r="AK453" i="10" s="1"/>
  <c r="Q454" i="10"/>
  <c r="Q455" i="10"/>
  <c r="AK455" i="10" s="1"/>
  <c r="Z453" i="10"/>
  <c r="Z454" i="10"/>
  <c r="Z455" i="10"/>
  <c r="AA453" i="10"/>
  <c r="AS453" i="10" s="1"/>
  <c r="AA454" i="10"/>
  <c r="AS454" i="10" s="1"/>
  <c r="AA455" i="10"/>
  <c r="AS455" i="10" s="1"/>
  <c r="AB453" i="10"/>
  <c r="AT453" i="10" s="1"/>
  <c r="AB454" i="10"/>
  <c r="AT454" i="10" s="1"/>
  <c r="AB455" i="10"/>
  <c r="AT455" i="10" s="1"/>
  <c r="AH453" i="10"/>
  <c r="AI453" i="10" s="1"/>
  <c r="AW453" i="10" s="1"/>
  <c r="AH454" i="10"/>
  <c r="AI454" i="10" s="1"/>
  <c r="AW454" i="10" s="1"/>
  <c r="AH455" i="10"/>
  <c r="AI455" i="10"/>
  <c r="AW455" i="10" s="1"/>
  <c r="AM453" i="10"/>
  <c r="AM454" i="10"/>
  <c r="AM455" i="10"/>
  <c r="AQ453" i="10"/>
  <c r="AQ454" i="10"/>
  <c r="AQ455" i="10"/>
  <c r="AU453" i="10"/>
  <c r="AU454" i="10"/>
  <c r="AU455" i="10"/>
  <c r="AY453" i="10"/>
  <c r="BG453" i="10" s="1"/>
  <c r="AY454" i="10"/>
  <c r="BG454" i="10" s="1"/>
  <c r="AY455" i="10"/>
  <c r="BG455" i="10" s="1"/>
  <c r="BF453" i="10"/>
  <c r="BF454" i="10"/>
  <c r="BF455" i="10"/>
  <c r="BJ453" i="10"/>
  <c r="BJ454" i="10"/>
  <c r="BJ455" i="10"/>
  <c r="E452" i="10"/>
  <c r="H452" i="10"/>
  <c r="BH452" i="10" s="1"/>
  <c r="I452" i="10"/>
  <c r="J452" i="10"/>
  <c r="K452" i="10"/>
  <c r="P452" i="10"/>
  <c r="U452" i="10" s="1"/>
  <c r="V452" i="10" s="1"/>
  <c r="AO452" i="10" s="1"/>
  <c r="Q452" i="10"/>
  <c r="AK452" i="10" s="1"/>
  <c r="Z452" i="10"/>
  <c r="AA452" i="10"/>
  <c r="AS452" i="10" s="1"/>
  <c r="AB452" i="10"/>
  <c r="AT452" i="10" s="1"/>
  <c r="AH452" i="10"/>
  <c r="AI452" i="10" s="1"/>
  <c r="AW452" i="10" s="1"/>
  <c r="AM452" i="10"/>
  <c r="AQ452" i="10"/>
  <c r="AU452" i="10"/>
  <c r="AY452" i="10"/>
  <c r="BG452" i="10" s="1"/>
  <c r="BF452" i="10"/>
  <c r="BJ452" i="10"/>
  <c r="E451" i="10"/>
  <c r="H451" i="10"/>
  <c r="BH451" i="10" s="1"/>
  <c r="I451" i="10"/>
  <c r="J451" i="10"/>
  <c r="K451" i="10"/>
  <c r="L451" i="10"/>
  <c r="M451" i="10" s="1"/>
  <c r="P451" i="10"/>
  <c r="U451" i="10" s="1"/>
  <c r="V451" i="10" s="1"/>
  <c r="AO451" i="10" s="1"/>
  <c r="Q451" i="10"/>
  <c r="AK451" i="10" s="1"/>
  <c r="Z451" i="10"/>
  <c r="AA451" i="10"/>
  <c r="AS451" i="10" s="1"/>
  <c r="AB451" i="10"/>
  <c r="AT451" i="10" s="1"/>
  <c r="AH451" i="10"/>
  <c r="AI451" i="10"/>
  <c r="AW451" i="10" s="1"/>
  <c r="AM451" i="10"/>
  <c r="AQ451" i="10"/>
  <c r="AU451" i="10"/>
  <c r="AY451" i="10"/>
  <c r="BG451" i="10" s="1"/>
  <c r="BF451" i="10"/>
  <c r="BJ451" i="10"/>
  <c r="S444" i="10"/>
  <c r="D449" i="10"/>
  <c r="E449" i="10"/>
  <c r="H449" i="10"/>
  <c r="BH449" i="10" s="1"/>
  <c r="I449" i="10"/>
  <c r="J449" i="10"/>
  <c r="K449" i="10"/>
  <c r="L449" i="10"/>
  <c r="M449" i="10" s="1"/>
  <c r="P449" i="10"/>
  <c r="U449" i="10" s="1"/>
  <c r="V449" i="10" s="1"/>
  <c r="AO449" i="10" s="1"/>
  <c r="Q449" i="10"/>
  <c r="AK449" i="10" s="1"/>
  <c r="Z449" i="10"/>
  <c r="AA449" i="10"/>
  <c r="AS449" i="10" s="1"/>
  <c r="AB449" i="10"/>
  <c r="AT449" i="10" s="1"/>
  <c r="AH449" i="10"/>
  <c r="AI449" i="10"/>
  <c r="AW449" i="10" s="1"/>
  <c r="AM449" i="10"/>
  <c r="AQ449" i="10"/>
  <c r="AU449" i="10"/>
  <c r="AY449" i="10"/>
  <c r="BG449" i="10" s="1"/>
  <c r="BF449" i="10"/>
  <c r="BJ449" i="10"/>
  <c r="S446" i="10"/>
  <c r="F446" i="10"/>
  <c r="BE462" i="10" l="1"/>
  <c r="W457" i="10"/>
  <c r="AP457" i="10" s="1"/>
  <c r="AR457" i="10" s="1"/>
  <c r="W458" i="10"/>
  <c r="AP458" i="10" s="1"/>
  <c r="AR458" i="10" s="1"/>
  <c r="AJ451" i="10"/>
  <c r="AX451" i="10" s="1"/>
  <c r="AZ451" i="10" s="1"/>
  <c r="W455" i="10"/>
  <c r="AP455" i="10" s="1"/>
  <c r="AR455" i="10" s="1"/>
  <c r="W459" i="10"/>
  <c r="AP459" i="10" s="1"/>
  <c r="AR459" i="10" s="1"/>
  <c r="BM467" i="10"/>
  <c r="BE467" i="10"/>
  <c r="BF467" i="10"/>
  <c r="BJ467" i="10"/>
  <c r="BG467" i="10"/>
  <c r="W451" i="10"/>
  <c r="AP451" i="10" s="1"/>
  <c r="AR451" i="10" s="1"/>
  <c r="W449" i="10"/>
  <c r="AP449" i="10" s="1"/>
  <c r="AR449" i="10" s="1"/>
  <c r="W454" i="10"/>
  <c r="AP454" i="10" s="1"/>
  <c r="AR454" i="10" s="1"/>
  <c r="W456" i="10"/>
  <c r="AP456" i="10" s="1"/>
  <c r="AR456" i="10" s="1"/>
  <c r="AJ456" i="10"/>
  <c r="AX456" i="10" s="1"/>
  <c r="AZ456" i="10" s="1"/>
  <c r="AJ458" i="10"/>
  <c r="AX458" i="10" s="1"/>
  <c r="AZ458" i="10" s="1"/>
  <c r="W453" i="10"/>
  <c r="AP453" i="10" s="1"/>
  <c r="AR453" i="10" s="1"/>
  <c r="AV458" i="10"/>
  <c r="R459" i="10"/>
  <c r="AL459" i="10" s="1"/>
  <c r="AN459" i="10" s="1"/>
  <c r="R455" i="10"/>
  <c r="AL455" i="10" s="1"/>
  <c r="AN455" i="10" s="1"/>
  <c r="AJ459" i="10"/>
  <c r="AX459" i="10" s="1"/>
  <c r="R458" i="10"/>
  <c r="AL458" i="10" s="1"/>
  <c r="AN458" i="10" s="1"/>
  <c r="R456" i="10"/>
  <c r="AL456" i="10" s="1"/>
  <c r="AN456" i="10" s="1"/>
  <c r="R457" i="10"/>
  <c r="AL457" i="10" s="1"/>
  <c r="AN457" i="10" s="1"/>
  <c r="AJ457" i="10"/>
  <c r="AX457" i="10" s="1"/>
  <c r="AV459" i="10"/>
  <c r="AV457" i="10"/>
  <c r="AV455" i="10"/>
  <c r="AV456" i="10"/>
  <c r="R454" i="10"/>
  <c r="AL454" i="10" s="1"/>
  <c r="AN454" i="10" s="1"/>
  <c r="AV451" i="10"/>
  <c r="AV454" i="10"/>
  <c r="AK454" i="10"/>
  <c r="R449" i="10"/>
  <c r="AL449" i="10" s="1"/>
  <c r="AN449" i="10" s="1"/>
  <c r="AV453" i="10"/>
  <c r="R452" i="10"/>
  <c r="AL452" i="10" s="1"/>
  <c r="AN452" i="10" s="1"/>
  <c r="W452" i="10"/>
  <c r="AP452" i="10" s="1"/>
  <c r="AR452" i="10" s="1"/>
  <c r="V453" i="10"/>
  <c r="AO453" i="10" s="1"/>
  <c r="R453" i="10"/>
  <c r="AL453" i="10" s="1"/>
  <c r="AN453" i="10" s="1"/>
  <c r="AJ452" i="10"/>
  <c r="AX452" i="10" s="1"/>
  <c r="R451" i="10"/>
  <c r="AL451" i="10" s="1"/>
  <c r="AN451" i="10" s="1"/>
  <c r="AJ455" i="10"/>
  <c r="AX455" i="10" s="1"/>
  <c r="AJ454" i="10"/>
  <c r="AX454" i="10" s="1"/>
  <c r="AV452" i="10"/>
  <c r="AJ453" i="10"/>
  <c r="AX453" i="10" s="1"/>
  <c r="AV449" i="10"/>
  <c r="AJ449" i="10"/>
  <c r="AX449" i="10" s="1"/>
  <c r="AZ449" i="10" s="1"/>
  <c r="BB457" i="10" l="1"/>
  <c r="BD457" i="10" s="1"/>
  <c r="BE457" i="10" s="1"/>
  <c r="BB459" i="10"/>
  <c r="BD459" i="10" s="1"/>
  <c r="BE459" i="10" s="1"/>
  <c r="BB451" i="10"/>
  <c r="BD451" i="10" s="1"/>
  <c r="BM451" i="10" s="1"/>
  <c r="BB458" i="10"/>
  <c r="BD458" i="10" s="1"/>
  <c r="BM458" i="10" s="1"/>
  <c r="BB456" i="10"/>
  <c r="BD456" i="10" s="1"/>
  <c r="BM456" i="10" s="1"/>
  <c r="AZ459" i="10"/>
  <c r="BA458" i="10"/>
  <c r="BA455" i="10"/>
  <c r="BA453" i="10"/>
  <c r="AZ457" i="10"/>
  <c r="BA459" i="10"/>
  <c r="BA456" i="10"/>
  <c r="BA457" i="10"/>
  <c r="BB452" i="10"/>
  <c r="BD452" i="10" s="1"/>
  <c r="BE452" i="10" s="1"/>
  <c r="BA454" i="10"/>
  <c r="AZ452" i="10"/>
  <c r="BA452" i="10"/>
  <c r="BA451" i="10"/>
  <c r="BB455" i="10"/>
  <c r="BD455" i="10" s="1"/>
  <c r="AZ455" i="10"/>
  <c r="BB453" i="10"/>
  <c r="BD453" i="10" s="1"/>
  <c r="AZ453" i="10"/>
  <c r="BA449" i="10"/>
  <c r="BB454" i="10"/>
  <c r="BD454" i="10" s="1"/>
  <c r="AZ454" i="10"/>
  <c r="BB449" i="10"/>
  <c r="BD449" i="10" s="1"/>
  <c r="BM449" i="10" s="1"/>
  <c r="BM457" i="10" l="1"/>
  <c r="BM459" i="10"/>
  <c r="BE451" i="10"/>
  <c r="BE458" i="10"/>
  <c r="BE456" i="10"/>
  <c r="BM452" i="10"/>
  <c r="BE455" i="10"/>
  <c r="BM455" i="10"/>
  <c r="BE454" i="10"/>
  <c r="BM454" i="10"/>
  <c r="BM453" i="10"/>
  <c r="BE453" i="10"/>
  <c r="BE449" i="10"/>
  <c r="D446" i="10"/>
  <c r="D447" i="10"/>
  <c r="D448" i="10"/>
  <c r="D450" i="10"/>
  <c r="E450" i="10"/>
  <c r="H450" i="10"/>
  <c r="BH450" i="10" s="1"/>
  <c r="I450" i="10"/>
  <c r="J450" i="10"/>
  <c r="K450" i="10"/>
  <c r="L450" i="10"/>
  <c r="M450" i="10" s="1"/>
  <c r="P450" i="10"/>
  <c r="U450" i="10" s="1"/>
  <c r="V450" i="10" s="1"/>
  <c r="AO450" i="10" s="1"/>
  <c r="Q450" i="10"/>
  <c r="AK450" i="10" s="1"/>
  <c r="Z450" i="10"/>
  <c r="AA450" i="10"/>
  <c r="AS450" i="10" s="1"/>
  <c r="AB450" i="10"/>
  <c r="AT450" i="10" s="1"/>
  <c r="AH450" i="10"/>
  <c r="AI450" i="10" s="1"/>
  <c r="AW450" i="10" s="1"/>
  <c r="AM450" i="10"/>
  <c r="AQ450" i="10"/>
  <c r="AU450" i="10"/>
  <c r="AY450" i="10"/>
  <c r="BG450" i="10" s="1"/>
  <c r="BF450" i="10"/>
  <c r="BJ450" i="10"/>
  <c r="E448" i="10"/>
  <c r="H448" i="10"/>
  <c r="BH448" i="10" s="1"/>
  <c r="I448" i="10"/>
  <c r="J448" i="10"/>
  <c r="K448" i="10"/>
  <c r="L448" i="10"/>
  <c r="M448" i="10" s="1"/>
  <c r="P448" i="10"/>
  <c r="U448" i="10" s="1"/>
  <c r="V448" i="10" s="1"/>
  <c r="AO448" i="10" s="1"/>
  <c r="Q448" i="10"/>
  <c r="AK448" i="10" s="1"/>
  <c r="Z448" i="10"/>
  <c r="AA448" i="10"/>
  <c r="AS448" i="10" s="1"/>
  <c r="AB448" i="10"/>
  <c r="AT448" i="10" s="1"/>
  <c r="AH448" i="10"/>
  <c r="AI448" i="10"/>
  <c r="AW448" i="10" s="1"/>
  <c r="AM448" i="10"/>
  <c r="AQ448" i="10"/>
  <c r="AU448" i="10"/>
  <c r="AY448" i="10"/>
  <c r="BG448" i="10" s="1"/>
  <c r="BF448" i="10"/>
  <c r="BJ448" i="10"/>
  <c r="E447" i="10"/>
  <c r="H447" i="10"/>
  <c r="BH447" i="10" s="1"/>
  <c r="I447" i="10"/>
  <c r="J447" i="10"/>
  <c r="K447" i="10"/>
  <c r="L447" i="10"/>
  <c r="M447" i="10" s="1"/>
  <c r="P447" i="10"/>
  <c r="U447" i="10" s="1"/>
  <c r="V447" i="10" s="1"/>
  <c r="AO447" i="10" s="1"/>
  <c r="Q447" i="10"/>
  <c r="AK447" i="10" s="1"/>
  <c r="Z447" i="10"/>
  <c r="AA447" i="10"/>
  <c r="AS447" i="10" s="1"/>
  <c r="AB447" i="10"/>
  <c r="AT447" i="10" s="1"/>
  <c r="AH447" i="10"/>
  <c r="AI447" i="10" s="1"/>
  <c r="AW447" i="10" s="1"/>
  <c r="AM447" i="10"/>
  <c r="AQ447" i="10"/>
  <c r="AU447" i="10"/>
  <c r="AY447" i="10"/>
  <c r="BG447" i="10" s="1"/>
  <c r="BF447" i="10"/>
  <c r="BJ447" i="10"/>
  <c r="E446" i="10"/>
  <c r="H446" i="10"/>
  <c r="BH446" i="10" s="1"/>
  <c r="I446" i="10"/>
  <c r="J446" i="10"/>
  <c r="K446" i="10"/>
  <c r="L446" i="10"/>
  <c r="P446" i="10"/>
  <c r="Q446" i="10"/>
  <c r="AK446" i="10" s="1"/>
  <c r="Z446" i="10"/>
  <c r="AA446" i="10"/>
  <c r="AS446" i="10" s="1"/>
  <c r="AB446" i="10"/>
  <c r="AT446" i="10" s="1"/>
  <c r="AH446" i="10"/>
  <c r="AI446" i="10" s="1"/>
  <c r="AW446" i="10" s="1"/>
  <c r="AM446" i="10"/>
  <c r="AQ446" i="10"/>
  <c r="AU446" i="10"/>
  <c r="AY446" i="10"/>
  <c r="BG446" i="10" s="1"/>
  <c r="BF446" i="10"/>
  <c r="BJ446" i="10"/>
  <c r="AD441" i="10"/>
  <c r="W448" i="10" l="1"/>
  <c r="AP448" i="10" s="1"/>
  <c r="AR448" i="10" s="1"/>
  <c r="W450" i="10"/>
  <c r="AP450" i="10" s="1"/>
  <c r="AR450" i="10" s="1"/>
  <c r="R448" i="10"/>
  <c r="AL448" i="10" s="1"/>
  <c r="AN448" i="10" s="1"/>
  <c r="R450" i="10"/>
  <c r="AL450" i="10" s="1"/>
  <c r="AN450" i="10" s="1"/>
  <c r="W447" i="10"/>
  <c r="AP447" i="10" s="1"/>
  <c r="AR447" i="10" s="1"/>
  <c r="AV450" i="10"/>
  <c r="AJ446" i="10"/>
  <c r="AX446" i="10" s="1"/>
  <c r="AJ447" i="10"/>
  <c r="AX447" i="10" s="1"/>
  <c r="AZ447" i="10" s="1"/>
  <c r="R447" i="10"/>
  <c r="AL447" i="10" s="1"/>
  <c r="AN447" i="10" s="1"/>
  <c r="AJ450" i="10"/>
  <c r="AX450" i="10" s="1"/>
  <c r="AV446" i="10"/>
  <c r="AV448" i="10"/>
  <c r="M446" i="10"/>
  <c r="U446" i="10"/>
  <c r="R446" i="10"/>
  <c r="AL446" i="10" s="1"/>
  <c r="AN446" i="10" s="1"/>
  <c r="AV447" i="10"/>
  <c r="AJ448" i="10"/>
  <c r="AX448" i="10" s="1"/>
  <c r="AD444" i="10"/>
  <c r="AH444" i="10" s="1"/>
  <c r="AI444" i="10" s="1"/>
  <c r="AW444" i="10" s="1"/>
  <c r="S435" i="10"/>
  <c r="D445" i="10"/>
  <c r="D444" i="10"/>
  <c r="D443" i="10"/>
  <c r="D442" i="10"/>
  <c r="D441" i="10"/>
  <c r="E441" i="10"/>
  <c r="E442" i="10"/>
  <c r="E443" i="10"/>
  <c r="E444" i="10"/>
  <c r="E445" i="10"/>
  <c r="H441" i="10"/>
  <c r="BH441" i="10" s="1"/>
  <c r="H442" i="10"/>
  <c r="BH442" i="10" s="1"/>
  <c r="H443" i="10"/>
  <c r="BH443" i="10" s="1"/>
  <c r="H444" i="10"/>
  <c r="BH444" i="10" s="1"/>
  <c r="H445" i="10"/>
  <c r="BH445" i="10" s="1"/>
  <c r="I441" i="10"/>
  <c r="I442" i="10"/>
  <c r="I443" i="10"/>
  <c r="I444" i="10"/>
  <c r="I445" i="10"/>
  <c r="J441" i="10"/>
  <c r="J442" i="10"/>
  <c r="J443" i="10"/>
  <c r="J444" i="10"/>
  <c r="J445" i="10"/>
  <c r="K441" i="10"/>
  <c r="K442" i="10"/>
  <c r="K443" i="10"/>
  <c r="K444" i="10"/>
  <c r="K445" i="10"/>
  <c r="L441" i="10"/>
  <c r="M441" i="10" s="1"/>
  <c r="L442" i="10"/>
  <c r="M442" i="10" s="1"/>
  <c r="L443" i="10"/>
  <c r="M443" i="10" s="1"/>
  <c r="L444" i="10"/>
  <c r="M444" i="10" s="1"/>
  <c r="L445" i="10"/>
  <c r="M445" i="10" s="1"/>
  <c r="P441" i="10"/>
  <c r="U441" i="10" s="1"/>
  <c r="P442" i="10"/>
  <c r="U442" i="10" s="1"/>
  <c r="P443" i="10"/>
  <c r="U443" i="10" s="1"/>
  <c r="P444" i="10"/>
  <c r="U444" i="10" s="1"/>
  <c r="P445" i="10"/>
  <c r="U445" i="10" s="1"/>
  <c r="Q441" i="10"/>
  <c r="Q442" i="10"/>
  <c r="AK442" i="10" s="1"/>
  <c r="Q443" i="10"/>
  <c r="AK443" i="10" s="1"/>
  <c r="Q444" i="10"/>
  <c r="Q445" i="10"/>
  <c r="AK445" i="10" s="1"/>
  <c r="V443" i="10"/>
  <c r="AO443" i="10" s="1"/>
  <c r="V445" i="10"/>
  <c r="AO445" i="10" s="1"/>
  <c r="W443" i="10"/>
  <c r="AP443" i="10" s="1"/>
  <c r="W445" i="10"/>
  <c r="AP445" i="10" s="1"/>
  <c r="Z441" i="10"/>
  <c r="Z442" i="10"/>
  <c r="Z443" i="10"/>
  <c r="Z444" i="10"/>
  <c r="Z445" i="10"/>
  <c r="AA441" i="10"/>
  <c r="AS441" i="10" s="1"/>
  <c r="AA442" i="10"/>
  <c r="AS442" i="10" s="1"/>
  <c r="AA443" i="10"/>
  <c r="AS443" i="10" s="1"/>
  <c r="AA444" i="10"/>
  <c r="AS444" i="10" s="1"/>
  <c r="AA445" i="10"/>
  <c r="AS445" i="10" s="1"/>
  <c r="AB441" i="10"/>
  <c r="AT441" i="10" s="1"/>
  <c r="AB442" i="10"/>
  <c r="AT442" i="10" s="1"/>
  <c r="AB443" i="10"/>
  <c r="AT443" i="10" s="1"/>
  <c r="AB444" i="10"/>
  <c r="AT444" i="10" s="1"/>
  <c r="AB445" i="10"/>
  <c r="AT445" i="10" s="1"/>
  <c r="AH441" i="10"/>
  <c r="AI441" i="10" s="1"/>
  <c r="AH442" i="10"/>
  <c r="AI442" i="10" s="1"/>
  <c r="AH443" i="10"/>
  <c r="AH445" i="10"/>
  <c r="AI443" i="10"/>
  <c r="AW443" i="10" s="1"/>
  <c r="AI445" i="10"/>
  <c r="AW445" i="10" s="1"/>
  <c r="AM441" i="10"/>
  <c r="AM442" i="10"/>
  <c r="AM443" i="10"/>
  <c r="AM444" i="10"/>
  <c r="AM445" i="10"/>
  <c r="AQ441" i="10"/>
  <c r="AQ442" i="10"/>
  <c r="AQ443" i="10"/>
  <c r="AQ444" i="10"/>
  <c r="AQ445" i="10"/>
  <c r="AU441" i="10"/>
  <c r="AU442" i="10"/>
  <c r="AU443" i="10"/>
  <c r="AU444" i="10"/>
  <c r="AU445" i="10"/>
  <c r="AY441" i="10"/>
  <c r="BG441" i="10" s="1"/>
  <c r="AY442" i="10"/>
  <c r="BG442" i="10" s="1"/>
  <c r="AY443" i="10"/>
  <c r="BG443" i="10" s="1"/>
  <c r="AY444" i="10"/>
  <c r="BG444" i="10" s="1"/>
  <c r="AY445" i="10"/>
  <c r="BG445" i="10" s="1"/>
  <c r="BF441" i="10"/>
  <c r="BF442" i="10"/>
  <c r="BF443" i="10"/>
  <c r="BF444" i="10"/>
  <c r="BF445" i="10"/>
  <c r="BJ441" i="10"/>
  <c r="BJ442" i="10"/>
  <c r="BJ443" i="10"/>
  <c r="BJ444" i="10"/>
  <c r="BJ445" i="10"/>
  <c r="BB448" i="10" l="1"/>
  <c r="BD448" i="10" s="1"/>
  <c r="BE448" i="10" s="1"/>
  <c r="BB450" i="10"/>
  <c r="BD450" i="10" s="1"/>
  <c r="BM450" i="10" s="1"/>
  <c r="W444" i="10"/>
  <c r="AP444" i="10" s="1"/>
  <c r="AR444" i="10" s="1"/>
  <c r="V444" i="10"/>
  <c r="AO444" i="10" s="1"/>
  <c r="W446" i="10"/>
  <c r="AP446" i="10" s="1"/>
  <c r="AR446" i="10" s="1"/>
  <c r="BA446" i="10" s="1"/>
  <c r="V446" i="10"/>
  <c r="AO446" i="10" s="1"/>
  <c r="BA450" i="10"/>
  <c r="AZ446" i="10"/>
  <c r="BB447" i="10"/>
  <c r="BD447" i="10" s="1"/>
  <c r="BE447" i="10" s="1"/>
  <c r="BA447" i="10"/>
  <c r="AZ450" i="10"/>
  <c r="BA448" i="10"/>
  <c r="AZ448" i="10"/>
  <c r="W441" i="10"/>
  <c r="AP441" i="10" s="1"/>
  <c r="AR441" i="10" s="1"/>
  <c r="W442" i="10"/>
  <c r="AP442" i="10" s="1"/>
  <c r="AR442" i="10" s="1"/>
  <c r="AR443" i="10"/>
  <c r="AJ442" i="10"/>
  <c r="AX442" i="10" s="1"/>
  <c r="AZ442" i="10" s="1"/>
  <c r="AJ441" i="10"/>
  <c r="AX441" i="10" s="1"/>
  <c r="AZ441" i="10" s="1"/>
  <c r="AV441" i="10"/>
  <c r="R444" i="10"/>
  <c r="AL444" i="10" s="1"/>
  <c r="AN444" i="10" s="1"/>
  <c r="R445" i="10"/>
  <c r="AL445" i="10" s="1"/>
  <c r="AN445" i="10" s="1"/>
  <c r="AV445" i="10"/>
  <c r="AV443" i="10"/>
  <c r="R442" i="10"/>
  <c r="AL442" i="10" s="1"/>
  <c r="AN442" i="10" s="1"/>
  <c r="AV442" i="10"/>
  <c r="AR445" i="10"/>
  <c r="AK444" i="10"/>
  <c r="V442" i="10"/>
  <c r="AO442" i="10" s="1"/>
  <c r="V441" i="10"/>
  <c r="AO441" i="10" s="1"/>
  <c r="R441" i="10"/>
  <c r="AL441" i="10" s="1"/>
  <c r="AN441" i="10" s="1"/>
  <c r="AJ444" i="10"/>
  <c r="AX444" i="10" s="1"/>
  <c r="AV444" i="10"/>
  <c r="AJ445" i="10"/>
  <c r="AX445" i="10" s="1"/>
  <c r="BB445" i="10" s="1"/>
  <c r="BD445" i="10" s="1"/>
  <c r="AW441" i="10"/>
  <c r="AW442" i="10"/>
  <c r="R443" i="10"/>
  <c r="AL443" i="10" s="1"/>
  <c r="AN443" i="10" s="1"/>
  <c r="AK441" i="10"/>
  <c r="AJ443" i="10"/>
  <c r="AX443" i="10" s="1"/>
  <c r="BE450" i="10" l="1"/>
  <c r="BM448" i="10"/>
  <c r="BB444" i="10"/>
  <c r="BD444" i="10" s="1"/>
  <c r="BE444" i="10" s="1"/>
  <c r="BB446" i="10"/>
  <c r="BD446" i="10" s="1"/>
  <c r="BM446" i="10" s="1"/>
  <c r="BM447" i="10"/>
  <c r="BA442" i="10"/>
  <c r="BA441" i="10"/>
  <c r="AZ445" i="10"/>
  <c r="BB442" i="10"/>
  <c r="BD442" i="10" s="1"/>
  <c r="BM442" i="10" s="1"/>
  <c r="BB441" i="10"/>
  <c r="BD441" i="10" s="1"/>
  <c r="BE441" i="10" s="1"/>
  <c r="BA445" i="10"/>
  <c r="BA443" i="10"/>
  <c r="BA444" i="10"/>
  <c r="AZ444" i="10"/>
  <c r="BE445" i="10"/>
  <c r="BM445" i="10"/>
  <c r="BB443" i="10"/>
  <c r="BD443" i="10" s="1"/>
  <c r="AZ443" i="10"/>
  <c r="BM444" i="10" l="1"/>
  <c r="BE446" i="10"/>
  <c r="BM441" i="10"/>
  <c r="BE442" i="10"/>
  <c r="BM443" i="10"/>
  <c r="BE443" i="10"/>
  <c r="BM113" i="10"/>
  <c r="E440" i="10"/>
  <c r="D440" i="10"/>
  <c r="H440" i="10"/>
  <c r="BH440" i="10" s="1"/>
  <c r="I440" i="10"/>
  <c r="J440" i="10"/>
  <c r="K440" i="10"/>
  <c r="L440" i="10"/>
  <c r="M440" i="10" s="1"/>
  <c r="P440" i="10"/>
  <c r="U440" i="10" s="1"/>
  <c r="V440" i="10" s="1"/>
  <c r="AO440" i="10" s="1"/>
  <c r="Q440" i="10"/>
  <c r="AK440" i="10" s="1"/>
  <c r="Z440" i="10"/>
  <c r="AA440" i="10"/>
  <c r="AS440" i="10" s="1"/>
  <c r="AB440" i="10"/>
  <c r="AT440" i="10" s="1"/>
  <c r="AH440" i="10"/>
  <c r="AI440" i="10"/>
  <c r="AW440" i="10" s="1"/>
  <c r="AM440" i="10"/>
  <c r="AQ440" i="10"/>
  <c r="AU440" i="10"/>
  <c r="AY440" i="10"/>
  <c r="BG440" i="10" s="1"/>
  <c r="BF440" i="10"/>
  <c r="BJ440" i="10"/>
  <c r="F437" i="10"/>
  <c r="D436" i="10"/>
  <c r="E436" i="10"/>
  <c r="H436" i="10"/>
  <c r="BH436" i="10" s="1"/>
  <c r="I436" i="10"/>
  <c r="J436" i="10"/>
  <c r="K436" i="10"/>
  <c r="L436" i="10"/>
  <c r="M436" i="10" s="1"/>
  <c r="P436" i="10"/>
  <c r="U436" i="10" s="1"/>
  <c r="V436" i="10" s="1"/>
  <c r="AO436" i="10" s="1"/>
  <c r="Q436" i="10"/>
  <c r="AK436" i="10" s="1"/>
  <c r="Z436" i="10"/>
  <c r="AA436" i="10"/>
  <c r="AS436" i="10" s="1"/>
  <c r="AB436" i="10"/>
  <c r="AT436" i="10" s="1"/>
  <c r="AH436" i="10"/>
  <c r="AI436" i="10" s="1"/>
  <c r="AW436" i="10" s="1"/>
  <c r="AM436" i="10"/>
  <c r="AQ436" i="10"/>
  <c r="AU436" i="10"/>
  <c r="AY436" i="10"/>
  <c r="BG436" i="10" s="1"/>
  <c r="BF436" i="10"/>
  <c r="BJ436" i="10"/>
  <c r="D435" i="10"/>
  <c r="E435" i="10"/>
  <c r="H435" i="10"/>
  <c r="BH435" i="10" s="1"/>
  <c r="I435" i="10"/>
  <c r="J435" i="10"/>
  <c r="K435" i="10"/>
  <c r="L435" i="10"/>
  <c r="M435" i="10" s="1"/>
  <c r="P435" i="10"/>
  <c r="U435" i="10" s="1"/>
  <c r="V435" i="10" s="1"/>
  <c r="AO435" i="10" s="1"/>
  <c r="Q435" i="10"/>
  <c r="AK435" i="10" s="1"/>
  <c r="Z435" i="10"/>
  <c r="AA435" i="10"/>
  <c r="AS435" i="10" s="1"/>
  <c r="AB435" i="10"/>
  <c r="AT435" i="10" s="1"/>
  <c r="AH435" i="10"/>
  <c r="AI435" i="10" s="1"/>
  <c r="AW435" i="10" s="1"/>
  <c r="AM435" i="10"/>
  <c r="AQ435" i="10"/>
  <c r="AU435" i="10"/>
  <c r="AY435" i="10"/>
  <c r="BG435" i="10" s="1"/>
  <c r="BF435" i="10"/>
  <c r="BJ435" i="10"/>
  <c r="D439" i="10"/>
  <c r="E439" i="10"/>
  <c r="H439" i="10"/>
  <c r="BH439" i="10" s="1"/>
  <c r="I439" i="10"/>
  <c r="J439" i="10"/>
  <c r="K439" i="10"/>
  <c r="L439" i="10"/>
  <c r="M439" i="10" s="1"/>
  <c r="P439" i="10"/>
  <c r="U439" i="10" s="1"/>
  <c r="Q439" i="10"/>
  <c r="AK439" i="10" s="1"/>
  <c r="Z439" i="10"/>
  <c r="AA439" i="10"/>
  <c r="AS439" i="10" s="1"/>
  <c r="AB439" i="10"/>
  <c r="AT439" i="10" s="1"/>
  <c r="AH439" i="10"/>
  <c r="AI439" i="10" s="1"/>
  <c r="AW439" i="10" s="1"/>
  <c r="AM439" i="10"/>
  <c r="AQ439" i="10"/>
  <c r="AU439" i="10"/>
  <c r="AY439" i="10"/>
  <c r="BG439" i="10" s="1"/>
  <c r="BF439" i="10"/>
  <c r="BJ439" i="10"/>
  <c r="D437" i="10"/>
  <c r="D438" i="10"/>
  <c r="E438" i="10"/>
  <c r="H438" i="10"/>
  <c r="BH438" i="10" s="1"/>
  <c r="I438" i="10"/>
  <c r="J438" i="10"/>
  <c r="K438" i="10"/>
  <c r="L438" i="10"/>
  <c r="M438" i="10" s="1"/>
  <c r="P438" i="10"/>
  <c r="U438" i="10" s="1"/>
  <c r="V438" i="10" s="1"/>
  <c r="AO438" i="10" s="1"/>
  <c r="Q438" i="10"/>
  <c r="AK438" i="10" s="1"/>
  <c r="Z438" i="10"/>
  <c r="AA438" i="10"/>
  <c r="AS438" i="10" s="1"/>
  <c r="AB438" i="10"/>
  <c r="AT438" i="10" s="1"/>
  <c r="AH438" i="10"/>
  <c r="AI438" i="10" s="1"/>
  <c r="AW438" i="10" s="1"/>
  <c r="AM438" i="10"/>
  <c r="AQ438" i="10"/>
  <c r="AU438" i="10"/>
  <c r="AY438" i="10"/>
  <c r="BG438" i="10" s="1"/>
  <c r="BF438" i="10"/>
  <c r="BJ438" i="10"/>
  <c r="E437" i="10"/>
  <c r="H437" i="10"/>
  <c r="BH437" i="10" s="1"/>
  <c r="I437" i="10"/>
  <c r="J437" i="10"/>
  <c r="K437" i="10"/>
  <c r="L437" i="10"/>
  <c r="P437" i="10"/>
  <c r="U437" i="10" s="1"/>
  <c r="V437" i="10" s="1"/>
  <c r="AO437" i="10" s="1"/>
  <c r="Q437" i="10"/>
  <c r="AK437" i="10" s="1"/>
  <c r="Z437" i="10"/>
  <c r="AA437" i="10"/>
  <c r="AS437" i="10" s="1"/>
  <c r="AB437" i="10"/>
  <c r="AT437" i="10" s="1"/>
  <c r="AH437" i="10"/>
  <c r="AI437" i="10" s="1"/>
  <c r="AW437" i="10" s="1"/>
  <c r="AM437" i="10"/>
  <c r="AQ437" i="10"/>
  <c r="AU437" i="10"/>
  <c r="AY437" i="10"/>
  <c r="BG437" i="10" s="1"/>
  <c r="BF437" i="10"/>
  <c r="BJ437" i="10"/>
  <c r="D432" i="10"/>
  <c r="E432" i="10"/>
  <c r="H432" i="10"/>
  <c r="BH432" i="10" s="1"/>
  <c r="I432" i="10"/>
  <c r="J432" i="10"/>
  <c r="K432" i="10"/>
  <c r="L432" i="10"/>
  <c r="M432" i="10" s="1"/>
  <c r="P432" i="10"/>
  <c r="U432" i="10" s="1"/>
  <c r="V432" i="10" s="1"/>
  <c r="AO432" i="10" s="1"/>
  <c r="Q432" i="10"/>
  <c r="AK432" i="10" s="1"/>
  <c r="Z432" i="10"/>
  <c r="AA432" i="10"/>
  <c r="AS432" i="10" s="1"/>
  <c r="AB432" i="10"/>
  <c r="AT432" i="10" s="1"/>
  <c r="AH432" i="10"/>
  <c r="AI432" i="10"/>
  <c r="AW432" i="10" s="1"/>
  <c r="AM432" i="10"/>
  <c r="AQ432" i="10"/>
  <c r="AU432" i="10"/>
  <c r="AY432" i="10"/>
  <c r="BG432" i="10" s="1"/>
  <c r="BF432" i="10"/>
  <c r="BJ432" i="10"/>
  <c r="F428" i="10"/>
  <c r="D431" i="10"/>
  <c r="E431" i="10"/>
  <c r="H431" i="10"/>
  <c r="BH431" i="10" s="1"/>
  <c r="I431" i="10"/>
  <c r="J431" i="10"/>
  <c r="K431" i="10"/>
  <c r="L431" i="10"/>
  <c r="M431" i="10" s="1"/>
  <c r="P431" i="10"/>
  <c r="U431" i="10" s="1"/>
  <c r="V431" i="10" s="1"/>
  <c r="AO431" i="10" s="1"/>
  <c r="Q431" i="10"/>
  <c r="AK431" i="10" s="1"/>
  <c r="Z431" i="10"/>
  <c r="AA431" i="10"/>
  <c r="AS431" i="10" s="1"/>
  <c r="AB431" i="10"/>
  <c r="AT431" i="10" s="1"/>
  <c r="AH431" i="10"/>
  <c r="AI431" i="10"/>
  <c r="AM431" i="10"/>
  <c r="AQ431" i="10"/>
  <c r="AU431" i="10"/>
  <c r="AY431" i="10"/>
  <c r="BG431" i="10" s="1"/>
  <c r="BF431" i="10"/>
  <c r="BJ431" i="10"/>
  <c r="M437" i="10" l="1"/>
  <c r="R431" i="10"/>
  <c r="AL431" i="10" s="1"/>
  <c r="AN431" i="10" s="1"/>
  <c r="W435" i="10"/>
  <c r="AP435" i="10" s="1"/>
  <c r="AR435" i="10" s="1"/>
  <c r="R432" i="10"/>
  <c r="AL432" i="10" s="1"/>
  <c r="AN432" i="10" s="1"/>
  <c r="W440" i="10"/>
  <c r="AP440" i="10" s="1"/>
  <c r="AR440" i="10" s="1"/>
  <c r="W436" i="10"/>
  <c r="AP436" i="10" s="1"/>
  <c r="AR436" i="10" s="1"/>
  <c r="AV435" i="10"/>
  <c r="R435" i="10"/>
  <c r="AL435" i="10" s="1"/>
  <c r="AN435" i="10" s="1"/>
  <c r="V439" i="10"/>
  <c r="AO439" i="10" s="1"/>
  <c r="W439" i="10"/>
  <c r="AP439" i="10" s="1"/>
  <c r="AR439" i="10" s="1"/>
  <c r="AV438" i="10"/>
  <c r="R440" i="10"/>
  <c r="AL440" i="10" s="1"/>
  <c r="AN440" i="10" s="1"/>
  <c r="AV436" i="10"/>
  <c r="AV440" i="10"/>
  <c r="AJ440" i="10"/>
  <c r="AX440" i="10" s="1"/>
  <c r="W432" i="10"/>
  <c r="AP432" i="10" s="1"/>
  <c r="AR432" i="10" s="1"/>
  <c r="AJ436" i="10"/>
  <c r="AX436" i="10" s="1"/>
  <c r="R436" i="10"/>
  <c r="AL436" i="10" s="1"/>
  <c r="AN436" i="10" s="1"/>
  <c r="AJ435" i="10"/>
  <c r="AX435" i="10" s="1"/>
  <c r="W431" i="10"/>
  <c r="AP431" i="10" s="1"/>
  <c r="AR431" i="10" s="1"/>
  <c r="AV439" i="10"/>
  <c r="W438" i="10"/>
  <c r="AP438" i="10" s="1"/>
  <c r="AR438" i="10" s="1"/>
  <c r="R437" i="10"/>
  <c r="AL437" i="10" s="1"/>
  <c r="AN437" i="10" s="1"/>
  <c r="R438" i="10"/>
  <c r="AL438" i="10" s="1"/>
  <c r="AN438" i="10" s="1"/>
  <c r="W437" i="10"/>
  <c r="AP437" i="10" s="1"/>
  <c r="AR437" i="10" s="1"/>
  <c r="R439" i="10"/>
  <c r="AL439" i="10" s="1"/>
  <c r="AN439" i="10" s="1"/>
  <c r="AJ439" i="10"/>
  <c r="AX439" i="10" s="1"/>
  <c r="AJ437" i="10"/>
  <c r="AX437" i="10" s="1"/>
  <c r="AZ437" i="10" s="1"/>
  <c r="AJ438" i="10"/>
  <c r="AX438" i="10" s="1"/>
  <c r="AV437" i="10"/>
  <c r="AV431" i="10"/>
  <c r="AV432" i="10"/>
  <c r="AJ432" i="10"/>
  <c r="AX432" i="10" s="1"/>
  <c r="AJ431" i="10"/>
  <c r="AX431" i="10" s="1"/>
  <c r="AZ431" i="10" s="1"/>
  <c r="AW431" i="10"/>
  <c r="BB435" i="10" l="1"/>
  <c r="BD435" i="10" s="1"/>
  <c r="BM435" i="10" s="1"/>
  <c r="BB440" i="10"/>
  <c r="BD440" i="10" s="1"/>
  <c r="BM440" i="10" s="1"/>
  <c r="BA436" i="10"/>
  <c r="BB438" i="10"/>
  <c r="BD438" i="10" s="1"/>
  <c r="BE438" i="10" s="1"/>
  <c r="BB436" i="10"/>
  <c r="BD436" i="10" s="1"/>
  <c r="BM436" i="10" s="1"/>
  <c r="BB439" i="10"/>
  <c r="BD439" i="10" s="1"/>
  <c r="BE439" i="10" s="1"/>
  <c r="BA438" i="10"/>
  <c r="BA440" i="10"/>
  <c r="AZ435" i="10"/>
  <c r="AZ438" i="10"/>
  <c r="BB431" i="10"/>
  <c r="BD431" i="10" s="1"/>
  <c r="AZ436" i="10"/>
  <c r="AZ440" i="10"/>
  <c r="BA435" i="10"/>
  <c r="BB432" i="10"/>
  <c r="BD432" i="10" s="1"/>
  <c r="BA439" i="10"/>
  <c r="BB437" i="10"/>
  <c r="BD437" i="10" s="1"/>
  <c r="BE437" i="10" s="1"/>
  <c r="AZ439" i="10"/>
  <c r="BA437" i="10"/>
  <c r="BA431" i="10"/>
  <c r="BA432" i="10"/>
  <c r="AZ432" i="10"/>
  <c r="S428" i="10"/>
  <c r="AD428" i="10"/>
  <c r="D429" i="10"/>
  <c r="E429" i="10"/>
  <c r="H429" i="10"/>
  <c r="BH429" i="10" s="1"/>
  <c r="I429" i="10"/>
  <c r="J429" i="10"/>
  <c r="K429" i="10"/>
  <c r="L429" i="10"/>
  <c r="M429" i="10" s="1"/>
  <c r="P429" i="10" s="1"/>
  <c r="Z429" i="10"/>
  <c r="AA429" i="10"/>
  <c r="AS429" i="10" s="1"/>
  <c r="AB429" i="10"/>
  <c r="AT429" i="10" s="1"/>
  <c r="AH429" i="10"/>
  <c r="AI429" i="10" s="1"/>
  <c r="AW429" i="10" s="1"/>
  <c r="AM429" i="10"/>
  <c r="AQ429" i="10"/>
  <c r="AU429" i="10"/>
  <c r="AY429" i="10"/>
  <c r="BG429" i="10" s="1"/>
  <c r="BF429" i="10"/>
  <c r="BJ429" i="10"/>
  <c r="BE435" i="10" l="1"/>
  <c r="BE440" i="10"/>
  <c r="BM439" i="10"/>
  <c r="BE436" i="10"/>
  <c r="BE432" i="10"/>
  <c r="BM432" i="10"/>
  <c r="BE431" i="10"/>
  <c r="BM431" i="10"/>
  <c r="U429" i="10"/>
  <c r="W429" i="10" s="1"/>
  <c r="AP429" i="10" s="1"/>
  <c r="AR429" i="10" s="1"/>
  <c r="Q429" i="10"/>
  <c r="AK429" i="10" s="1"/>
  <c r="AV429" i="10"/>
  <c r="AJ429" i="10"/>
  <c r="AX429" i="10" s="1"/>
  <c r="V429" i="10" l="1"/>
  <c r="AO429" i="10" s="1"/>
  <c r="BB429" i="10"/>
  <c r="BD429" i="10" s="1"/>
  <c r="R429" i="10"/>
  <c r="AL429" i="10" s="1"/>
  <c r="AN429" i="10" s="1"/>
  <c r="BA429" i="10" s="1"/>
  <c r="AZ429" i="10"/>
  <c r="D434" i="10"/>
  <c r="E434" i="10"/>
  <c r="H434" i="10"/>
  <c r="BH434" i="10" s="1"/>
  <c r="I434" i="10"/>
  <c r="J434" i="10"/>
  <c r="K434" i="10"/>
  <c r="L434" i="10"/>
  <c r="M434" i="10" s="1"/>
  <c r="P434" i="10"/>
  <c r="U434" i="10" s="1"/>
  <c r="Q434" i="10"/>
  <c r="AK434" i="10" s="1"/>
  <c r="V434" i="10"/>
  <c r="AO434" i="10" s="1"/>
  <c r="W434" i="10"/>
  <c r="AP434" i="10" s="1"/>
  <c r="Z434" i="10"/>
  <c r="AA434" i="10"/>
  <c r="AS434" i="10" s="1"/>
  <c r="AB434" i="10"/>
  <c r="AT434" i="10" s="1"/>
  <c r="AH434" i="10"/>
  <c r="AI434" i="10"/>
  <c r="AW434" i="10" s="1"/>
  <c r="AM434" i="10"/>
  <c r="AQ434" i="10"/>
  <c r="AU434" i="10"/>
  <c r="AY434" i="10"/>
  <c r="BG434" i="10" s="1"/>
  <c r="BF434" i="10"/>
  <c r="BJ434" i="10"/>
  <c r="BE429" i="10" l="1"/>
  <c r="BM429" i="10"/>
  <c r="R434" i="10"/>
  <c r="AL434" i="10" s="1"/>
  <c r="AN434" i="10" s="1"/>
  <c r="AV434" i="10"/>
  <c r="AJ434" i="10"/>
  <c r="AX434" i="10" s="1"/>
  <c r="BB434" i="10" s="1"/>
  <c r="BD434" i="10" s="1"/>
  <c r="AR434" i="10"/>
  <c r="BE434" i="10" l="1"/>
  <c r="BM434" i="10"/>
  <c r="BA434" i="10"/>
  <c r="AZ434" i="10"/>
  <c r="D433" i="10"/>
  <c r="E433" i="10"/>
  <c r="H433" i="10"/>
  <c r="BH433" i="10" s="1"/>
  <c r="I433" i="10"/>
  <c r="J433" i="10"/>
  <c r="K433" i="10"/>
  <c r="L433" i="10"/>
  <c r="M433" i="10" s="1"/>
  <c r="P433" i="10"/>
  <c r="U433" i="10" s="1"/>
  <c r="Q433" i="10"/>
  <c r="AK433" i="10" s="1"/>
  <c r="Z433" i="10"/>
  <c r="AA433" i="10"/>
  <c r="AS433" i="10" s="1"/>
  <c r="AB433" i="10"/>
  <c r="AT433" i="10" s="1"/>
  <c r="AH433" i="10"/>
  <c r="AI433" i="10" s="1"/>
  <c r="AW433" i="10" s="1"/>
  <c r="AM433" i="10"/>
  <c r="AQ433" i="10"/>
  <c r="AU433" i="10"/>
  <c r="AY433" i="10"/>
  <c r="BG433" i="10" s="1"/>
  <c r="BF433" i="10"/>
  <c r="BJ433" i="10"/>
  <c r="D428" i="10"/>
  <c r="D430" i="10"/>
  <c r="E430" i="10"/>
  <c r="H430" i="10"/>
  <c r="BH430" i="10" s="1"/>
  <c r="I430" i="10"/>
  <c r="J430" i="10"/>
  <c r="K430" i="10"/>
  <c r="L430" i="10"/>
  <c r="M430" i="10" s="1"/>
  <c r="P430" i="10"/>
  <c r="U430" i="10" s="1"/>
  <c r="V430" i="10" s="1"/>
  <c r="AO430" i="10" s="1"/>
  <c r="Q430" i="10"/>
  <c r="AK430" i="10" s="1"/>
  <c r="Z430" i="10"/>
  <c r="AA430" i="10"/>
  <c r="AS430" i="10" s="1"/>
  <c r="AB430" i="10"/>
  <c r="AT430" i="10" s="1"/>
  <c r="AH430" i="10"/>
  <c r="AI430" i="10" s="1"/>
  <c r="AM430" i="10"/>
  <c r="AQ430" i="10"/>
  <c r="AU430" i="10"/>
  <c r="AY430" i="10"/>
  <c r="BG430" i="10" s="1"/>
  <c r="BF430" i="10"/>
  <c r="BJ430" i="10"/>
  <c r="E428" i="10"/>
  <c r="H428" i="10"/>
  <c r="BH428" i="10" s="1"/>
  <c r="I428" i="10"/>
  <c r="J428" i="10"/>
  <c r="K428" i="10"/>
  <c r="L428" i="10"/>
  <c r="M428" i="10" s="1"/>
  <c r="P428" i="10"/>
  <c r="U428" i="10" s="1"/>
  <c r="V428" i="10" s="1"/>
  <c r="AO428" i="10" s="1"/>
  <c r="Q428" i="10"/>
  <c r="AK428" i="10" s="1"/>
  <c r="Z428" i="10"/>
  <c r="AA428" i="10"/>
  <c r="AS428" i="10" s="1"/>
  <c r="AB428" i="10"/>
  <c r="AT428" i="10" s="1"/>
  <c r="AH428" i="10"/>
  <c r="AI428" i="10" s="1"/>
  <c r="AW428" i="10" s="1"/>
  <c r="AM428" i="10"/>
  <c r="AQ428" i="10"/>
  <c r="AU428" i="10"/>
  <c r="AY428" i="10"/>
  <c r="BG428" i="10" s="1"/>
  <c r="BF428" i="10"/>
  <c r="BJ428" i="10"/>
  <c r="D427" i="10"/>
  <c r="E427" i="10"/>
  <c r="H427" i="10"/>
  <c r="BH427" i="10" s="1"/>
  <c r="I427" i="10"/>
  <c r="J427" i="10"/>
  <c r="K427" i="10"/>
  <c r="L427" i="10"/>
  <c r="M427" i="10" s="1"/>
  <c r="P427" i="10"/>
  <c r="U427" i="10" s="1"/>
  <c r="V427" i="10" s="1"/>
  <c r="AO427" i="10" s="1"/>
  <c r="Q427" i="10"/>
  <c r="AK427" i="10" s="1"/>
  <c r="Z427" i="10"/>
  <c r="AA427" i="10"/>
  <c r="AS427" i="10" s="1"/>
  <c r="AB427" i="10"/>
  <c r="AT427" i="10" s="1"/>
  <c r="AH427" i="10"/>
  <c r="AI427" i="10" s="1"/>
  <c r="AW427" i="10" s="1"/>
  <c r="AM427" i="10"/>
  <c r="AQ427" i="10"/>
  <c r="AU427" i="10"/>
  <c r="AY427" i="10"/>
  <c r="BG427" i="10" s="1"/>
  <c r="BF427" i="10"/>
  <c r="BJ427" i="10"/>
  <c r="D426" i="10"/>
  <c r="E426" i="10"/>
  <c r="H426" i="10"/>
  <c r="BH426" i="10" s="1"/>
  <c r="I426" i="10"/>
  <c r="J426" i="10"/>
  <c r="K426" i="10"/>
  <c r="M426" i="10"/>
  <c r="P426" i="10"/>
  <c r="U426" i="10" s="1"/>
  <c r="V426" i="10" s="1"/>
  <c r="AO426" i="10" s="1"/>
  <c r="Q426" i="10"/>
  <c r="AK426" i="10" s="1"/>
  <c r="Z426" i="10"/>
  <c r="AA426" i="10"/>
  <c r="AS426" i="10" s="1"/>
  <c r="AB426" i="10"/>
  <c r="AT426" i="10" s="1"/>
  <c r="AH426" i="10"/>
  <c r="AI426" i="10" s="1"/>
  <c r="AW426" i="10" s="1"/>
  <c r="AM426" i="10"/>
  <c r="AQ426" i="10"/>
  <c r="AU426" i="10"/>
  <c r="AY426" i="10"/>
  <c r="BG426" i="10" s="1"/>
  <c r="BF426" i="10"/>
  <c r="BJ426" i="10"/>
  <c r="D424" i="10"/>
  <c r="D425" i="10"/>
  <c r="E425" i="10"/>
  <c r="H425" i="10"/>
  <c r="BH425" i="10" s="1"/>
  <c r="I425" i="10"/>
  <c r="J425" i="10"/>
  <c r="K425" i="10"/>
  <c r="L425" i="10"/>
  <c r="M425" i="10" s="1"/>
  <c r="P425" i="10"/>
  <c r="U425" i="10" s="1"/>
  <c r="V425" i="10" s="1"/>
  <c r="AO425" i="10" s="1"/>
  <c r="Q425" i="10"/>
  <c r="AK425" i="10" s="1"/>
  <c r="Z425" i="10"/>
  <c r="AA425" i="10"/>
  <c r="AS425" i="10" s="1"/>
  <c r="AB425" i="10"/>
  <c r="AT425" i="10" s="1"/>
  <c r="AH425" i="10"/>
  <c r="AI425" i="10" s="1"/>
  <c r="AW425" i="10" s="1"/>
  <c r="AM425" i="10"/>
  <c r="AQ425" i="10"/>
  <c r="AU425" i="10"/>
  <c r="AY425" i="10"/>
  <c r="BG425" i="10" s="1"/>
  <c r="BF425" i="10"/>
  <c r="BJ425" i="10"/>
  <c r="E424" i="10"/>
  <c r="H424" i="10"/>
  <c r="BH424" i="10" s="1"/>
  <c r="I424" i="10"/>
  <c r="J424" i="10"/>
  <c r="K424" i="10"/>
  <c r="L424" i="10"/>
  <c r="M424" i="10" s="1"/>
  <c r="P424" i="10"/>
  <c r="U424" i="10" s="1"/>
  <c r="V424" i="10" s="1"/>
  <c r="AO424" i="10" s="1"/>
  <c r="Q424" i="10"/>
  <c r="AK424" i="10" s="1"/>
  <c r="Z424" i="10"/>
  <c r="AA424" i="10"/>
  <c r="AS424" i="10" s="1"/>
  <c r="AB424" i="10"/>
  <c r="AT424" i="10" s="1"/>
  <c r="AH424" i="10"/>
  <c r="AI424" i="10" s="1"/>
  <c r="AW424" i="10" s="1"/>
  <c r="AM424" i="10"/>
  <c r="AQ424" i="10"/>
  <c r="AU424" i="10"/>
  <c r="AY424" i="10"/>
  <c r="BG424" i="10" s="1"/>
  <c r="BF424" i="10"/>
  <c r="BJ424" i="10"/>
  <c r="W428" i="10" l="1"/>
  <c r="AP428" i="10" s="1"/>
  <c r="AR428" i="10" s="1"/>
  <c r="W433" i="10"/>
  <c r="AP433" i="10" s="1"/>
  <c r="AR433" i="10" s="1"/>
  <c r="V433" i="10"/>
  <c r="AO433" i="10" s="1"/>
  <c r="W424" i="10"/>
  <c r="AP424" i="10" s="1"/>
  <c r="AR424" i="10" s="1"/>
  <c r="W430" i="10"/>
  <c r="AP430" i="10" s="1"/>
  <c r="AR430" i="10" s="1"/>
  <c r="AV433" i="10"/>
  <c r="R425" i="10"/>
  <c r="AL425" i="10" s="1"/>
  <c r="AN425" i="10" s="1"/>
  <c r="W426" i="10"/>
  <c r="AP426" i="10" s="1"/>
  <c r="AR426" i="10" s="1"/>
  <c r="R426" i="10"/>
  <c r="AL426" i="10" s="1"/>
  <c r="AN426" i="10" s="1"/>
  <c r="R427" i="10"/>
  <c r="AL427" i="10" s="1"/>
  <c r="AN427" i="10" s="1"/>
  <c r="AJ428" i="10"/>
  <c r="AX428" i="10" s="1"/>
  <c r="AZ428" i="10" s="1"/>
  <c r="R433" i="10"/>
  <c r="AL433" i="10" s="1"/>
  <c r="AN433" i="10" s="1"/>
  <c r="AJ430" i="10"/>
  <c r="AX430" i="10" s="1"/>
  <c r="AZ430" i="10" s="1"/>
  <c r="AW430" i="10"/>
  <c r="AV427" i="10"/>
  <c r="AV428" i="10"/>
  <c r="R428" i="10"/>
  <c r="AL428" i="10" s="1"/>
  <c r="AN428" i="10" s="1"/>
  <c r="R430" i="10"/>
  <c r="AL430" i="10" s="1"/>
  <c r="AN430" i="10" s="1"/>
  <c r="AJ427" i="10"/>
  <c r="AX427" i="10" s="1"/>
  <c r="AZ427" i="10" s="1"/>
  <c r="W425" i="10"/>
  <c r="AP425" i="10" s="1"/>
  <c r="AR425" i="10" s="1"/>
  <c r="AJ426" i="10"/>
  <c r="AX426" i="10" s="1"/>
  <c r="AV430" i="10"/>
  <c r="AJ433" i="10"/>
  <c r="AX433" i="10" s="1"/>
  <c r="AZ433" i="10" s="1"/>
  <c r="AV426" i="10"/>
  <c r="AJ424" i="10"/>
  <c r="AX424" i="10" s="1"/>
  <c r="AZ424" i="10" s="1"/>
  <c r="W427" i="10"/>
  <c r="AP427" i="10" s="1"/>
  <c r="AR427" i="10" s="1"/>
  <c r="R424" i="10"/>
  <c r="AL424" i="10" s="1"/>
  <c r="AN424" i="10" s="1"/>
  <c r="AV425" i="10"/>
  <c r="AV424" i="10"/>
  <c r="AJ425" i="10"/>
  <c r="AX425" i="10" s="1"/>
  <c r="D422" i="10"/>
  <c r="D423" i="10"/>
  <c r="E423" i="10"/>
  <c r="H423" i="10"/>
  <c r="BH423" i="10" s="1"/>
  <c r="I423" i="10"/>
  <c r="J423" i="10"/>
  <c r="K423" i="10"/>
  <c r="L423" i="10"/>
  <c r="M423" i="10" s="1"/>
  <c r="P423" i="10"/>
  <c r="U423" i="10" s="1"/>
  <c r="V423" i="10" s="1"/>
  <c r="AO423" i="10" s="1"/>
  <c r="Q423" i="10"/>
  <c r="AK423" i="10" s="1"/>
  <c r="Z423" i="10"/>
  <c r="AA423" i="10"/>
  <c r="AS423" i="10" s="1"/>
  <c r="AB423" i="10"/>
  <c r="AT423" i="10" s="1"/>
  <c r="AH423" i="10"/>
  <c r="AI423" i="10" s="1"/>
  <c r="AW423" i="10" s="1"/>
  <c r="AM423" i="10"/>
  <c r="AQ423" i="10"/>
  <c r="AU423" i="10"/>
  <c r="AY423" i="10"/>
  <c r="BG423" i="10" s="1"/>
  <c r="BF423" i="10"/>
  <c r="BJ423" i="10"/>
  <c r="E422" i="10"/>
  <c r="H422" i="10"/>
  <c r="BH422" i="10" s="1"/>
  <c r="I422" i="10"/>
  <c r="J422" i="10"/>
  <c r="K422" i="10"/>
  <c r="L422" i="10"/>
  <c r="M422" i="10" s="1"/>
  <c r="P422" i="10"/>
  <c r="U422" i="10" s="1"/>
  <c r="V422" i="10" s="1"/>
  <c r="AO422" i="10" s="1"/>
  <c r="Q422" i="10"/>
  <c r="AK422" i="10" s="1"/>
  <c r="Z422" i="10"/>
  <c r="AA422" i="10"/>
  <c r="AS422" i="10" s="1"/>
  <c r="AB422" i="10"/>
  <c r="AT422" i="10" s="1"/>
  <c r="AH422" i="10"/>
  <c r="AI422" i="10" s="1"/>
  <c r="AW422" i="10" s="1"/>
  <c r="AM422" i="10"/>
  <c r="AQ422" i="10"/>
  <c r="AU422" i="10"/>
  <c r="AY422" i="10"/>
  <c r="BG422" i="10" s="1"/>
  <c r="BF422" i="10"/>
  <c r="BJ422" i="10"/>
  <c r="D419" i="10"/>
  <c r="E419" i="10"/>
  <c r="H419" i="10"/>
  <c r="BH419" i="10" s="1"/>
  <c r="I419" i="10"/>
  <c r="J419" i="10"/>
  <c r="K419" i="10"/>
  <c r="L419" i="10"/>
  <c r="M419" i="10" s="1"/>
  <c r="P419" i="10"/>
  <c r="U419" i="10" s="1"/>
  <c r="Q419" i="10"/>
  <c r="AK419" i="10" s="1"/>
  <c r="Z419" i="10"/>
  <c r="AA419" i="10"/>
  <c r="AB419" i="10"/>
  <c r="AT419" i="10" s="1"/>
  <c r="AH419" i="10"/>
  <c r="AI419" i="10"/>
  <c r="AW419" i="10" s="1"/>
  <c r="AM419" i="10"/>
  <c r="AQ419" i="10"/>
  <c r="AS419" i="10"/>
  <c r="AU419" i="10"/>
  <c r="AY419" i="10"/>
  <c r="BG419" i="10" s="1"/>
  <c r="BF419" i="10"/>
  <c r="BJ419" i="10"/>
  <c r="D418" i="10"/>
  <c r="D420" i="10"/>
  <c r="D421" i="10"/>
  <c r="E421" i="10"/>
  <c r="H421" i="10"/>
  <c r="BH421" i="10" s="1"/>
  <c r="I421" i="10"/>
  <c r="J421" i="10"/>
  <c r="K421" i="10"/>
  <c r="L421" i="10"/>
  <c r="M421" i="10" s="1"/>
  <c r="P421" i="10"/>
  <c r="U421" i="10" s="1"/>
  <c r="V421" i="10" s="1"/>
  <c r="AO421" i="10" s="1"/>
  <c r="Q421" i="10"/>
  <c r="AK421" i="10" s="1"/>
  <c r="Z421" i="10"/>
  <c r="AA421" i="10"/>
  <c r="AS421" i="10" s="1"/>
  <c r="AB421" i="10"/>
  <c r="AT421" i="10" s="1"/>
  <c r="AH421" i="10"/>
  <c r="AI421" i="10" s="1"/>
  <c r="AW421" i="10" s="1"/>
  <c r="AM421" i="10"/>
  <c r="AQ421" i="10"/>
  <c r="AU421" i="10"/>
  <c r="AY421" i="10"/>
  <c r="BG421" i="10" s="1"/>
  <c r="BF421" i="10"/>
  <c r="BJ421" i="10"/>
  <c r="E420" i="10"/>
  <c r="H420" i="10"/>
  <c r="BH420" i="10" s="1"/>
  <c r="J420" i="10"/>
  <c r="K420" i="10"/>
  <c r="L420" i="10"/>
  <c r="M420" i="10" s="1"/>
  <c r="P420" i="10"/>
  <c r="U420" i="10" s="1"/>
  <c r="Q420" i="10"/>
  <c r="AK420" i="10" s="1"/>
  <c r="V420" i="10"/>
  <c r="AO420" i="10" s="1"/>
  <c r="W420" i="10"/>
  <c r="AP420" i="10" s="1"/>
  <c r="Z420" i="10"/>
  <c r="AA420" i="10"/>
  <c r="AB420" i="10"/>
  <c r="AH420" i="10"/>
  <c r="AI420" i="10"/>
  <c r="AW420" i="10" s="1"/>
  <c r="AM420" i="10"/>
  <c r="AQ420" i="10"/>
  <c r="AS420" i="10"/>
  <c r="AT420" i="10"/>
  <c r="AU420" i="10"/>
  <c r="AY420" i="10"/>
  <c r="BG420" i="10" s="1"/>
  <c r="BF420" i="10"/>
  <c r="BJ420" i="10"/>
  <c r="E418" i="10"/>
  <c r="H418" i="10"/>
  <c r="BH418" i="10" s="1"/>
  <c r="I418" i="10"/>
  <c r="J418" i="10"/>
  <c r="K418" i="10"/>
  <c r="L418" i="10"/>
  <c r="M418" i="10" s="1"/>
  <c r="P418" i="10"/>
  <c r="U418" i="10" s="1"/>
  <c r="V418" i="10" s="1"/>
  <c r="AO418" i="10" s="1"/>
  <c r="Q418" i="10"/>
  <c r="AK418" i="10" s="1"/>
  <c r="Z418" i="10"/>
  <c r="AA418" i="10"/>
  <c r="AS418" i="10" s="1"/>
  <c r="AB418" i="10"/>
  <c r="AT418" i="10" s="1"/>
  <c r="AH418" i="10"/>
  <c r="AI418" i="10" s="1"/>
  <c r="AW418" i="10" s="1"/>
  <c r="AM418" i="10"/>
  <c r="AQ418" i="10"/>
  <c r="AU418" i="10"/>
  <c r="AY418" i="10"/>
  <c r="BG418" i="10" s="1"/>
  <c r="BF418" i="10"/>
  <c r="BJ418" i="10"/>
  <c r="F414" i="10"/>
  <c r="D413" i="10"/>
  <c r="D414" i="10"/>
  <c r="D415" i="10"/>
  <c r="D416" i="10"/>
  <c r="D417" i="10"/>
  <c r="E417" i="10"/>
  <c r="H417" i="10"/>
  <c r="BH417" i="10" s="1"/>
  <c r="I417" i="10"/>
  <c r="J417" i="10"/>
  <c r="K417" i="10"/>
  <c r="L417" i="10"/>
  <c r="M417" i="10" s="1"/>
  <c r="P417" i="10"/>
  <c r="U417" i="10" s="1"/>
  <c r="Q417" i="10"/>
  <c r="AK417" i="10" s="1"/>
  <c r="Z417" i="10"/>
  <c r="AA417" i="10"/>
  <c r="AS417" i="10" s="1"/>
  <c r="AB417" i="10"/>
  <c r="AT417" i="10" s="1"/>
  <c r="AH417" i="10"/>
  <c r="AI417" i="10" s="1"/>
  <c r="AM417" i="10"/>
  <c r="AQ417" i="10"/>
  <c r="AU417" i="10"/>
  <c r="AY417" i="10"/>
  <c r="BG417" i="10" s="1"/>
  <c r="BF417" i="10"/>
  <c r="BJ417" i="10"/>
  <c r="E416" i="10"/>
  <c r="H416" i="10"/>
  <c r="BH416" i="10" s="1"/>
  <c r="I416" i="10"/>
  <c r="J416" i="10"/>
  <c r="K416" i="10"/>
  <c r="L416" i="10"/>
  <c r="M416" i="10" s="1"/>
  <c r="P416" i="10"/>
  <c r="U416" i="10" s="1"/>
  <c r="V416" i="10" s="1"/>
  <c r="AO416" i="10" s="1"/>
  <c r="Q416" i="10"/>
  <c r="AK416" i="10" s="1"/>
  <c r="Z416" i="10"/>
  <c r="AA416" i="10"/>
  <c r="AS416" i="10" s="1"/>
  <c r="AB416" i="10"/>
  <c r="AT416" i="10" s="1"/>
  <c r="AH416" i="10"/>
  <c r="AI416" i="10" s="1"/>
  <c r="AM416" i="10"/>
  <c r="AQ416" i="10"/>
  <c r="AU416" i="10"/>
  <c r="AY416" i="10"/>
  <c r="BG416" i="10" s="1"/>
  <c r="BF416" i="10"/>
  <c r="BJ416" i="10"/>
  <c r="E415" i="10"/>
  <c r="H415" i="10"/>
  <c r="BH415" i="10" s="1"/>
  <c r="I415" i="10"/>
  <c r="J415" i="10"/>
  <c r="K415" i="10"/>
  <c r="L415" i="10"/>
  <c r="M415" i="10" s="1"/>
  <c r="P415" i="10"/>
  <c r="U415" i="10" s="1"/>
  <c r="V415" i="10" s="1"/>
  <c r="AO415" i="10" s="1"/>
  <c r="Q415" i="10"/>
  <c r="AK415" i="10" s="1"/>
  <c r="Z415" i="10"/>
  <c r="AA415" i="10"/>
  <c r="AS415" i="10" s="1"/>
  <c r="AB415" i="10"/>
  <c r="AT415" i="10" s="1"/>
  <c r="AH415" i="10"/>
  <c r="AI415" i="10" s="1"/>
  <c r="AW415" i="10" s="1"/>
  <c r="AM415" i="10"/>
  <c r="AQ415" i="10"/>
  <c r="AU415" i="10"/>
  <c r="AY415" i="10"/>
  <c r="BG415" i="10" s="1"/>
  <c r="BF415" i="10"/>
  <c r="BJ415" i="10"/>
  <c r="E414" i="10"/>
  <c r="H414" i="10"/>
  <c r="BH414" i="10" s="1"/>
  <c r="I414" i="10"/>
  <c r="J414" i="10"/>
  <c r="K414" i="10"/>
  <c r="L414" i="10"/>
  <c r="P414" i="10"/>
  <c r="Q414" i="10"/>
  <c r="AK414" i="10" s="1"/>
  <c r="Z414" i="10"/>
  <c r="AA414" i="10"/>
  <c r="AS414" i="10" s="1"/>
  <c r="AB414" i="10"/>
  <c r="AT414" i="10" s="1"/>
  <c r="AH414" i="10"/>
  <c r="AI414" i="10" s="1"/>
  <c r="AM414" i="10"/>
  <c r="AQ414" i="10"/>
  <c r="AU414" i="10"/>
  <c r="AY414" i="10"/>
  <c r="BG414" i="10" s="1"/>
  <c r="BF414" i="10"/>
  <c r="BJ414" i="10"/>
  <c r="E413" i="10"/>
  <c r="H413" i="10"/>
  <c r="BH413" i="10" s="1"/>
  <c r="I413" i="10"/>
  <c r="J413" i="10"/>
  <c r="K413" i="10"/>
  <c r="L413" i="10"/>
  <c r="M413" i="10" s="1"/>
  <c r="P413" i="10"/>
  <c r="U413" i="10" s="1"/>
  <c r="V413" i="10" s="1"/>
  <c r="AO413" i="10" s="1"/>
  <c r="Q413" i="10"/>
  <c r="AK413" i="10" s="1"/>
  <c r="Z413" i="10"/>
  <c r="AA413" i="10"/>
  <c r="AS413" i="10" s="1"/>
  <c r="AB413" i="10"/>
  <c r="AT413" i="10" s="1"/>
  <c r="AH413" i="10"/>
  <c r="AI413" i="10" s="1"/>
  <c r="AW413" i="10" s="1"/>
  <c r="AM413" i="10"/>
  <c r="AQ413" i="10"/>
  <c r="AU413" i="10"/>
  <c r="AY413" i="10"/>
  <c r="BG413" i="10" s="1"/>
  <c r="BF413" i="10"/>
  <c r="BJ413" i="10"/>
  <c r="D412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E412" i="10"/>
  <c r="H412" i="10"/>
  <c r="BH412" i="10" s="1"/>
  <c r="I412" i="10"/>
  <c r="J412" i="10"/>
  <c r="K412" i="10"/>
  <c r="L412" i="10"/>
  <c r="M412" i="10" s="1"/>
  <c r="P412" i="10"/>
  <c r="U412" i="10" s="1"/>
  <c r="Q412" i="10"/>
  <c r="AK412" i="10" s="1"/>
  <c r="V412" i="10"/>
  <c r="AO412" i="10" s="1"/>
  <c r="W412" i="10"/>
  <c r="AP412" i="10" s="1"/>
  <c r="Z412" i="10"/>
  <c r="AA412" i="10"/>
  <c r="AS412" i="10" s="1"/>
  <c r="AB412" i="10"/>
  <c r="AT412" i="10" s="1"/>
  <c r="AH412" i="10"/>
  <c r="AI412" i="10"/>
  <c r="AW412" i="10" s="1"/>
  <c r="AM412" i="10"/>
  <c r="AQ412" i="10"/>
  <c r="AU412" i="10"/>
  <c r="AY412" i="10"/>
  <c r="BG412" i="10" s="1"/>
  <c r="BF412" i="10"/>
  <c r="BJ412" i="10"/>
  <c r="BB426" i="10" l="1"/>
  <c r="BD426" i="10" s="1"/>
  <c r="BE426" i="10" s="1"/>
  <c r="BA428" i="10"/>
  <c r="M414" i="10"/>
  <c r="BB430" i="10"/>
  <c r="BD430" i="10" s="1"/>
  <c r="AJ412" i="10"/>
  <c r="AX412" i="10" s="1"/>
  <c r="BB412" i="10" s="1"/>
  <c r="BD412" i="10" s="1"/>
  <c r="AJ419" i="10"/>
  <c r="AX419" i="10" s="1"/>
  <c r="AZ419" i="10" s="1"/>
  <c r="W421" i="10"/>
  <c r="AP421" i="10" s="1"/>
  <c r="AR421" i="10" s="1"/>
  <c r="R412" i="10"/>
  <c r="AL412" i="10" s="1"/>
  <c r="AN412" i="10" s="1"/>
  <c r="R414" i="10"/>
  <c r="AL414" i="10" s="1"/>
  <c r="AN414" i="10" s="1"/>
  <c r="AJ421" i="10"/>
  <c r="AX421" i="10" s="1"/>
  <c r="W418" i="10"/>
  <c r="AP418" i="10" s="1"/>
  <c r="AR418" i="10" s="1"/>
  <c r="R420" i="10"/>
  <c r="AL420" i="10" s="1"/>
  <c r="AN420" i="10" s="1"/>
  <c r="W423" i="10"/>
  <c r="AP423" i="10" s="1"/>
  <c r="BB425" i="10"/>
  <c r="BD425" i="10" s="1"/>
  <c r="R423" i="10"/>
  <c r="AL423" i="10" s="1"/>
  <c r="AN423" i="10" s="1"/>
  <c r="R422" i="10"/>
  <c r="AL422" i="10" s="1"/>
  <c r="AN422" i="10" s="1"/>
  <c r="BA433" i="10"/>
  <c r="AZ426" i="10"/>
  <c r="BB428" i="10"/>
  <c r="BD428" i="10" s="1"/>
  <c r="BA430" i="10"/>
  <c r="BB424" i="10"/>
  <c r="BD424" i="10" s="1"/>
  <c r="BB427" i="10"/>
  <c r="BD427" i="10" s="1"/>
  <c r="BB433" i="10"/>
  <c r="BD433" i="10" s="1"/>
  <c r="BA426" i="10"/>
  <c r="BA427" i="10"/>
  <c r="BA425" i="10"/>
  <c r="W422" i="10"/>
  <c r="AP422" i="10" s="1"/>
  <c r="AR422" i="10" s="1"/>
  <c r="BA424" i="10"/>
  <c r="AJ422" i="10"/>
  <c r="AX422" i="10" s="1"/>
  <c r="AZ422" i="10" s="1"/>
  <c r="AJ423" i="10"/>
  <c r="AX423" i="10" s="1"/>
  <c r="AR423" i="10"/>
  <c r="AZ425" i="10"/>
  <c r="AV422" i="10"/>
  <c r="AJ416" i="10"/>
  <c r="AX416" i="10" s="1"/>
  <c r="AV423" i="10"/>
  <c r="AV420" i="10"/>
  <c r="AV419" i="10"/>
  <c r="W416" i="10"/>
  <c r="AP416" i="10" s="1"/>
  <c r="AR416" i="10" s="1"/>
  <c r="W417" i="10"/>
  <c r="AP417" i="10" s="1"/>
  <c r="AR417" i="10" s="1"/>
  <c r="R419" i="10"/>
  <c r="AL419" i="10" s="1"/>
  <c r="AN419" i="10" s="1"/>
  <c r="AR420" i="10"/>
  <c r="W419" i="10"/>
  <c r="AP419" i="10" s="1"/>
  <c r="AR419" i="10" s="1"/>
  <c r="AJ414" i="10"/>
  <c r="AX414" i="10" s="1"/>
  <c r="AZ414" i="10" s="1"/>
  <c r="AW414" i="10"/>
  <c r="AJ415" i="10"/>
  <c r="AX415" i="10" s="1"/>
  <c r="V417" i="10"/>
  <c r="AO417" i="10" s="1"/>
  <c r="V419" i="10"/>
  <c r="AO419" i="10" s="1"/>
  <c r="AV413" i="10"/>
  <c r="W415" i="10"/>
  <c r="AP415" i="10" s="1"/>
  <c r="AR415" i="10" s="1"/>
  <c r="AV417" i="10"/>
  <c r="R418" i="10"/>
  <c r="AL418" i="10" s="1"/>
  <c r="AN418" i="10" s="1"/>
  <c r="R413" i="10"/>
  <c r="AL413" i="10" s="1"/>
  <c r="AN413" i="10" s="1"/>
  <c r="AJ420" i="10"/>
  <c r="AX420" i="10" s="1"/>
  <c r="BB420" i="10" s="1"/>
  <c r="BD420" i="10" s="1"/>
  <c r="AV421" i="10"/>
  <c r="R417" i="10"/>
  <c r="AL417" i="10" s="1"/>
  <c r="AN417" i="10" s="1"/>
  <c r="R421" i="10"/>
  <c r="AL421" i="10" s="1"/>
  <c r="AN421" i="10" s="1"/>
  <c r="AV418" i="10"/>
  <c r="W413" i="10"/>
  <c r="AP413" i="10" s="1"/>
  <c r="AR413" i="10" s="1"/>
  <c r="AV416" i="10"/>
  <c r="AJ418" i="10"/>
  <c r="AX418" i="10" s="1"/>
  <c r="AZ418" i="10" s="1"/>
  <c r="AJ417" i="10"/>
  <c r="AX417" i="10" s="1"/>
  <c r="AZ417" i="10" s="1"/>
  <c r="AJ413" i="10"/>
  <c r="AX413" i="10" s="1"/>
  <c r="AZ413" i="10" s="1"/>
  <c r="R416" i="10"/>
  <c r="AL416" i="10" s="1"/>
  <c r="AN416" i="10" s="1"/>
  <c r="U414" i="10"/>
  <c r="R415" i="10"/>
  <c r="AL415" i="10" s="1"/>
  <c r="AN415" i="10" s="1"/>
  <c r="AV414" i="10"/>
  <c r="AV415" i="10"/>
  <c r="AW417" i="10"/>
  <c r="AR412" i="10"/>
  <c r="AW416" i="10"/>
  <c r="AV412" i="10"/>
  <c r="BM426" i="10" l="1"/>
  <c r="BB421" i="10"/>
  <c r="BD421" i="10" s="1"/>
  <c r="BE421" i="10" s="1"/>
  <c r="BE427" i="10"/>
  <c r="BM427" i="10"/>
  <c r="BE424" i="10"/>
  <c r="BM424" i="10"/>
  <c r="BE412" i="10"/>
  <c r="BM412" i="10"/>
  <c r="BE425" i="10"/>
  <c r="BM425" i="10"/>
  <c r="BE420" i="10"/>
  <c r="BM420" i="10"/>
  <c r="BE433" i="10"/>
  <c r="BM433" i="10"/>
  <c r="BE428" i="10"/>
  <c r="BM428" i="10"/>
  <c r="BE430" i="10"/>
  <c r="BM430" i="10"/>
  <c r="AZ412" i="10"/>
  <c r="AZ421" i="10"/>
  <c r="BB423" i="10"/>
  <c r="BD423" i="10" s="1"/>
  <c r="BB416" i="10"/>
  <c r="BD416" i="10" s="1"/>
  <c r="BA423" i="10"/>
  <c r="AZ416" i="10"/>
  <c r="BB422" i="10"/>
  <c r="BD422" i="10" s="1"/>
  <c r="AZ423" i="10"/>
  <c r="BA422" i="10"/>
  <c r="BA419" i="10"/>
  <c r="BB415" i="10"/>
  <c r="BD415" i="10" s="1"/>
  <c r="BA420" i="10"/>
  <c r="BB419" i="10"/>
  <c r="BD419" i="10" s="1"/>
  <c r="AZ420" i="10"/>
  <c r="AZ415" i="10"/>
  <c r="BB417" i="10"/>
  <c r="BD417" i="10" s="1"/>
  <c r="BA421" i="10"/>
  <c r="V414" i="10"/>
  <c r="AO414" i="10" s="1"/>
  <c r="W414" i="10"/>
  <c r="AP414" i="10" s="1"/>
  <c r="BB413" i="10"/>
  <c r="BD413" i="10" s="1"/>
  <c r="BB418" i="10"/>
  <c r="BD418" i="10" s="1"/>
  <c r="BA418" i="10"/>
  <c r="BA417" i="10"/>
  <c r="BA415" i="10"/>
  <c r="BA416" i="10"/>
  <c r="BA413" i="10"/>
  <c r="BA412" i="10"/>
  <c r="S409" i="10"/>
  <c r="L409" i="10" s="1"/>
  <c r="F409" i="10"/>
  <c r="E411" i="10"/>
  <c r="H411" i="10"/>
  <c r="BH411" i="10" s="1"/>
  <c r="I411" i="10"/>
  <c r="J411" i="10"/>
  <c r="K411" i="10"/>
  <c r="L411" i="10"/>
  <c r="M411" i="10" s="1"/>
  <c r="P411" i="10"/>
  <c r="U411" i="10" s="1"/>
  <c r="V411" i="10" s="1"/>
  <c r="AO411" i="10" s="1"/>
  <c r="Q411" i="10"/>
  <c r="AK411" i="10" s="1"/>
  <c r="Z411" i="10"/>
  <c r="AA411" i="10"/>
  <c r="AS411" i="10" s="1"/>
  <c r="AB411" i="10"/>
  <c r="AT411" i="10" s="1"/>
  <c r="AH411" i="10"/>
  <c r="AI411" i="10" s="1"/>
  <c r="AW411" i="10" s="1"/>
  <c r="AM411" i="10"/>
  <c r="AQ411" i="10"/>
  <c r="AU411" i="10"/>
  <c r="AY411" i="10"/>
  <c r="BG411" i="10" s="1"/>
  <c r="BF411" i="10"/>
  <c r="BJ411" i="10"/>
  <c r="E410" i="10"/>
  <c r="H410" i="10"/>
  <c r="BH410" i="10" s="1"/>
  <c r="I410" i="10"/>
  <c r="J410" i="10"/>
  <c r="K410" i="10"/>
  <c r="L410" i="10"/>
  <c r="M410" i="10" s="1"/>
  <c r="P410" i="10"/>
  <c r="U410" i="10" s="1"/>
  <c r="V410" i="10" s="1"/>
  <c r="AO410" i="10" s="1"/>
  <c r="Q410" i="10"/>
  <c r="AK410" i="10" s="1"/>
  <c r="Z410" i="10"/>
  <c r="AA410" i="10"/>
  <c r="AS410" i="10" s="1"/>
  <c r="AB410" i="10"/>
  <c r="AT410" i="10" s="1"/>
  <c r="AH410" i="10"/>
  <c r="AI410" i="10"/>
  <c r="AW410" i="10" s="1"/>
  <c r="AM410" i="10"/>
  <c r="AQ410" i="10"/>
  <c r="AU410" i="10"/>
  <c r="AY410" i="10"/>
  <c r="BG410" i="10" s="1"/>
  <c r="BF410" i="10"/>
  <c r="BJ410" i="10"/>
  <c r="E409" i="10"/>
  <c r="H409" i="10"/>
  <c r="BH409" i="10" s="1"/>
  <c r="I409" i="10"/>
  <c r="J409" i="10"/>
  <c r="K409" i="10"/>
  <c r="P409" i="10"/>
  <c r="Q409" i="10"/>
  <c r="AK409" i="10" s="1"/>
  <c r="Z409" i="10"/>
  <c r="AA409" i="10"/>
  <c r="AS409" i="10" s="1"/>
  <c r="AB409" i="10"/>
  <c r="AT409" i="10" s="1"/>
  <c r="AH409" i="10"/>
  <c r="AI409" i="10" s="1"/>
  <c r="AW409" i="10" s="1"/>
  <c r="AM409" i="10"/>
  <c r="AQ409" i="10"/>
  <c r="AU409" i="10"/>
  <c r="AY409" i="10"/>
  <c r="BG409" i="10" s="1"/>
  <c r="BF409" i="10"/>
  <c r="BJ409" i="10"/>
  <c r="H407" i="10"/>
  <c r="AD404" i="10"/>
  <c r="U409" i="10" l="1"/>
  <c r="V409" i="10" s="1"/>
  <c r="AO409" i="10" s="1"/>
  <c r="BM421" i="10"/>
  <c r="BE416" i="10"/>
  <c r="BM416" i="10"/>
  <c r="BE418" i="10"/>
  <c r="BM418" i="10"/>
  <c r="BE423" i="10"/>
  <c r="BM423" i="10"/>
  <c r="BE413" i="10"/>
  <c r="BM413" i="10"/>
  <c r="BE415" i="10"/>
  <c r="BM415" i="10"/>
  <c r="BE417" i="10"/>
  <c r="BM417" i="10"/>
  <c r="BE419" i="10"/>
  <c r="BM419" i="10"/>
  <c r="BE422" i="10"/>
  <c r="BM422" i="10"/>
  <c r="M409" i="10"/>
  <c r="AR414" i="10"/>
  <c r="BA414" i="10" s="1"/>
  <c r="BB414" i="10"/>
  <c r="BD414" i="10" s="1"/>
  <c r="AJ410" i="10"/>
  <c r="AX410" i="10" s="1"/>
  <c r="AZ410" i="10" s="1"/>
  <c r="AV409" i="10"/>
  <c r="AV410" i="10"/>
  <c r="W409" i="10"/>
  <c r="AP409" i="10" s="1"/>
  <c r="AR409" i="10" s="1"/>
  <c r="W410" i="10"/>
  <c r="AP410" i="10" s="1"/>
  <c r="AR410" i="10" s="1"/>
  <c r="W411" i="10"/>
  <c r="AP411" i="10" s="1"/>
  <c r="AR411" i="10" s="1"/>
  <c r="AJ411" i="10"/>
  <c r="AX411" i="10" s="1"/>
  <c r="R411" i="10"/>
  <c r="AL411" i="10" s="1"/>
  <c r="AN411" i="10" s="1"/>
  <c r="AV411" i="10"/>
  <c r="R410" i="10"/>
  <c r="AL410" i="10" s="1"/>
  <c r="AN410" i="10" s="1"/>
  <c r="R409" i="10"/>
  <c r="AL409" i="10" s="1"/>
  <c r="AN409" i="10" s="1"/>
  <c r="AJ409" i="10"/>
  <c r="AX409" i="10" s="1"/>
  <c r="S401" i="10"/>
  <c r="S403" i="10"/>
  <c r="E408" i="10"/>
  <c r="H408" i="10"/>
  <c r="BH408" i="10" s="1"/>
  <c r="I408" i="10"/>
  <c r="J408" i="10"/>
  <c r="K408" i="10"/>
  <c r="L408" i="10"/>
  <c r="M408" i="10" s="1"/>
  <c r="P408" i="10"/>
  <c r="U408" i="10" s="1"/>
  <c r="Q408" i="10"/>
  <c r="AK408" i="10" s="1"/>
  <c r="V408" i="10"/>
  <c r="AO408" i="10" s="1"/>
  <c r="W408" i="10"/>
  <c r="AP408" i="10" s="1"/>
  <c r="Z408" i="10"/>
  <c r="AA408" i="10"/>
  <c r="AS408" i="10" s="1"/>
  <c r="AB408" i="10"/>
  <c r="AT408" i="10" s="1"/>
  <c r="AH408" i="10"/>
  <c r="AI408" i="10"/>
  <c r="AW408" i="10" s="1"/>
  <c r="AM408" i="10"/>
  <c r="AQ408" i="10"/>
  <c r="AU408" i="10"/>
  <c r="AY408" i="10"/>
  <c r="BG408" i="10" s="1"/>
  <c r="BF408" i="10"/>
  <c r="BJ408" i="10"/>
  <c r="F404" i="10"/>
  <c r="E407" i="10"/>
  <c r="BH407" i="10"/>
  <c r="I407" i="10"/>
  <c r="J407" i="10"/>
  <c r="K407" i="10"/>
  <c r="L407" i="10"/>
  <c r="M407" i="10" s="1"/>
  <c r="P407" i="10"/>
  <c r="U407" i="10" s="1"/>
  <c r="V407" i="10" s="1"/>
  <c r="AO407" i="10" s="1"/>
  <c r="Q407" i="10"/>
  <c r="AK407" i="10" s="1"/>
  <c r="Z407" i="10"/>
  <c r="AA407" i="10"/>
  <c r="AS407" i="10" s="1"/>
  <c r="AB407" i="10"/>
  <c r="AT407" i="10" s="1"/>
  <c r="AH407" i="10"/>
  <c r="AI407" i="10" s="1"/>
  <c r="AM407" i="10"/>
  <c r="AQ407" i="10"/>
  <c r="AU407" i="10"/>
  <c r="AY407" i="10"/>
  <c r="BG407" i="10" s="1"/>
  <c r="BF407" i="10"/>
  <c r="BJ407" i="10"/>
  <c r="E406" i="10"/>
  <c r="H406" i="10"/>
  <c r="BH406" i="10" s="1"/>
  <c r="I406" i="10"/>
  <c r="J406" i="10"/>
  <c r="K406" i="10"/>
  <c r="L406" i="10"/>
  <c r="M406" i="10" s="1"/>
  <c r="P406" i="10"/>
  <c r="U406" i="10" s="1"/>
  <c r="Q406" i="10"/>
  <c r="AK406" i="10" s="1"/>
  <c r="V406" i="10"/>
  <c r="AO406" i="10" s="1"/>
  <c r="W406" i="10"/>
  <c r="AP406" i="10" s="1"/>
  <c r="Z406" i="10"/>
  <c r="AA406" i="10"/>
  <c r="AS406" i="10" s="1"/>
  <c r="AB406" i="10"/>
  <c r="AT406" i="10" s="1"/>
  <c r="AH406" i="10"/>
  <c r="AI406" i="10"/>
  <c r="AW406" i="10" s="1"/>
  <c r="AM406" i="10"/>
  <c r="AQ406" i="10"/>
  <c r="AU406" i="10"/>
  <c r="AY406" i="10"/>
  <c r="BG406" i="10" s="1"/>
  <c r="BF406" i="10"/>
  <c r="BJ406" i="10"/>
  <c r="E405" i="10"/>
  <c r="H405" i="10"/>
  <c r="BH405" i="10" s="1"/>
  <c r="I405" i="10"/>
  <c r="J405" i="10"/>
  <c r="K405" i="10"/>
  <c r="L405" i="10"/>
  <c r="M405" i="10" s="1"/>
  <c r="P405" i="10"/>
  <c r="U405" i="10" s="1"/>
  <c r="Q405" i="10"/>
  <c r="AK405" i="10" s="1"/>
  <c r="Z405" i="10"/>
  <c r="AA405" i="10"/>
  <c r="AS405" i="10" s="1"/>
  <c r="AB405" i="10"/>
  <c r="AT405" i="10" s="1"/>
  <c r="AH405" i="10"/>
  <c r="AI405" i="10" s="1"/>
  <c r="AW405" i="10" s="1"/>
  <c r="AM405" i="10"/>
  <c r="AQ405" i="10"/>
  <c r="AU405" i="10"/>
  <c r="AY405" i="10"/>
  <c r="BG405" i="10" s="1"/>
  <c r="BF405" i="10"/>
  <c r="BJ405" i="10"/>
  <c r="E404" i="10"/>
  <c r="H404" i="10"/>
  <c r="BH404" i="10" s="1"/>
  <c r="I404" i="10"/>
  <c r="J404" i="10"/>
  <c r="K404" i="10"/>
  <c r="L404" i="10"/>
  <c r="P404" i="10"/>
  <c r="Q404" i="10"/>
  <c r="AK404" i="10" s="1"/>
  <c r="Z404" i="10"/>
  <c r="AA404" i="10"/>
  <c r="AS404" i="10" s="1"/>
  <c r="AB404" i="10"/>
  <c r="AT404" i="10" s="1"/>
  <c r="AH404" i="10"/>
  <c r="AI404" i="10" s="1"/>
  <c r="AW404" i="10" s="1"/>
  <c r="AM404" i="10"/>
  <c r="AQ404" i="10"/>
  <c r="AU404" i="10"/>
  <c r="AY404" i="10"/>
  <c r="BG404" i="10" s="1"/>
  <c r="BF404" i="10"/>
  <c r="BJ404" i="10"/>
  <c r="S400" i="10"/>
  <c r="L400" i="10" s="1"/>
  <c r="M400" i="10" s="1"/>
  <c r="E403" i="10"/>
  <c r="H403" i="10"/>
  <c r="BH403" i="10" s="1"/>
  <c r="I403" i="10"/>
  <c r="J403" i="10"/>
  <c r="L403" i="10"/>
  <c r="M403" i="10" s="1"/>
  <c r="P403" i="10"/>
  <c r="U403" i="10" s="1"/>
  <c r="V403" i="10" s="1"/>
  <c r="AO403" i="10" s="1"/>
  <c r="Q403" i="10"/>
  <c r="AK403" i="10" s="1"/>
  <c r="Z403" i="10"/>
  <c r="AA403" i="10"/>
  <c r="AS403" i="10" s="1"/>
  <c r="AB403" i="10"/>
  <c r="AT403" i="10" s="1"/>
  <c r="AH403" i="10"/>
  <c r="AI403" i="10" s="1"/>
  <c r="AW403" i="10" s="1"/>
  <c r="AM403" i="10"/>
  <c r="AQ403" i="10"/>
  <c r="AU403" i="10"/>
  <c r="AY403" i="10"/>
  <c r="BG403" i="10" s="1"/>
  <c r="BF403" i="10"/>
  <c r="BJ403" i="10"/>
  <c r="E402" i="10"/>
  <c r="H402" i="10"/>
  <c r="BH402" i="10" s="1"/>
  <c r="I402" i="10"/>
  <c r="J402" i="10"/>
  <c r="K402" i="10"/>
  <c r="L402" i="10"/>
  <c r="M402" i="10" s="1"/>
  <c r="P402" i="10"/>
  <c r="U402" i="10" s="1"/>
  <c r="V402" i="10" s="1"/>
  <c r="AO402" i="10" s="1"/>
  <c r="Q402" i="10"/>
  <c r="AK402" i="10" s="1"/>
  <c r="Z402" i="10"/>
  <c r="AA402" i="10"/>
  <c r="AS402" i="10" s="1"/>
  <c r="AB402" i="10"/>
  <c r="AT402" i="10" s="1"/>
  <c r="AH402" i="10"/>
  <c r="AI402" i="10" s="1"/>
  <c r="AW402" i="10" s="1"/>
  <c r="AM402" i="10"/>
  <c r="AQ402" i="10"/>
  <c r="AU402" i="10"/>
  <c r="AY402" i="10"/>
  <c r="BG402" i="10" s="1"/>
  <c r="BF402" i="10"/>
  <c r="BJ402" i="10"/>
  <c r="E401" i="10"/>
  <c r="H401" i="10"/>
  <c r="BH401" i="10" s="1"/>
  <c r="I401" i="10"/>
  <c r="J401" i="10"/>
  <c r="K401" i="10"/>
  <c r="L401" i="10"/>
  <c r="M401" i="10" s="1"/>
  <c r="P401" i="10"/>
  <c r="U401" i="10" s="1"/>
  <c r="V401" i="10" s="1"/>
  <c r="AO401" i="10" s="1"/>
  <c r="Q401" i="10"/>
  <c r="AK401" i="10" s="1"/>
  <c r="Z401" i="10"/>
  <c r="AA401" i="10"/>
  <c r="AS401" i="10" s="1"/>
  <c r="AB401" i="10"/>
  <c r="AT401" i="10" s="1"/>
  <c r="AH401" i="10"/>
  <c r="AI401" i="10" s="1"/>
  <c r="AM401" i="10"/>
  <c r="AQ401" i="10"/>
  <c r="AU401" i="10"/>
  <c r="AY401" i="10"/>
  <c r="BG401" i="10" s="1"/>
  <c r="BF401" i="10"/>
  <c r="BJ401" i="10"/>
  <c r="E400" i="10"/>
  <c r="H400" i="10"/>
  <c r="BH400" i="10" s="1"/>
  <c r="I400" i="10"/>
  <c r="J400" i="10"/>
  <c r="K400" i="10"/>
  <c r="P400" i="10"/>
  <c r="U400" i="10" s="1"/>
  <c r="V400" i="10" s="1"/>
  <c r="AO400" i="10" s="1"/>
  <c r="Q400" i="10"/>
  <c r="AK400" i="10" s="1"/>
  <c r="Z400" i="10"/>
  <c r="AA400" i="10"/>
  <c r="AS400" i="10" s="1"/>
  <c r="AB400" i="10"/>
  <c r="AT400" i="10" s="1"/>
  <c r="AH400" i="10"/>
  <c r="AI400" i="10" s="1"/>
  <c r="AW400" i="10" s="1"/>
  <c r="AM400" i="10"/>
  <c r="AQ400" i="10"/>
  <c r="AU400" i="10"/>
  <c r="AY400" i="10"/>
  <c r="BG400" i="10" s="1"/>
  <c r="BF400" i="10"/>
  <c r="BJ400" i="10"/>
  <c r="S395" i="10"/>
  <c r="BE414" i="10" l="1"/>
  <c r="BM414" i="10"/>
  <c r="W400" i="10"/>
  <c r="AP400" i="10" s="1"/>
  <c r="AR400" i="10" s="1"/>
  <c r="AJ408" i="10"/>
  <c r="AX408" i="10" s="1"/>
  <c r="BB408" i="10" s="1"/>
  <c r="BD408" i="10" s="1"/>
  <c r="R406" i="10"/>
  <c r="AL406" i="10" s="1"/>
  <c r="AN406" i="10" s="1"/>
  <c r="BB410" i="10"/>
  <c r="BD410" i="10" s="1"/>
  <c r="R404" i="10"/>
  <c r="AL404" i="10" s="1"/>
  <c r="AN404" i="10" s="1"/>
  <c r="AJ407" i="10"/>
  <c r="AX407" i="10" s="1"/>
  <c r="AZ407" i="10" s="1"/>
  <c r="BA409" i="10"/>
  <c r="BA411" i="10"/>
  <c r="AR408" i="10"/>
  <c r="AV408" i="10"/>
  <c r="BB411" i="10"/>
  <c r="BD411" i="10" s="1"/>
  <c r="AW407" i="10"/>
  <c r="R405" i="10"/>
  <c r="AL405" i="10" s="1"/>
  <c r="AN405" i="10" s="1"/>
  <c r="W405" i="10"/>
  <c r="AP405" i="10" s="1"/>
  <c r="AR405" i="10" s="1"/>
  <c r="BA410" i="10"/>
  <c r="W407" i="10"/>
  <c r="AP407" i="10" s="1"/>
  <c r="AR407" i="10" s="1"/>
  <c r="BB409" i="10"/>
  <c r="BD409" i="10" s="1"/>
  <c r="AZ411" i="10"/>
  <c r="AJ406" i="10"/>
  <c r="AX406" i="10" s="1"/>
  <c r="AZ406" i="10" s="1"/>
  <c r="AZ409" i="10"/>
  <c r="AV406" i="10"/>
  <c r="AR406" i="10"/>
  <c r="AV404" i="10"/>
  <c r="AV407" i="10"/>
  <c r="R407" i="10"/>
  <c r="AL407" i="10" s="1"/>
  <c r="AN407" i="10" s="1"/>
  <c r="W401" i="10"/>
  <c r="AP401" i="10" s="1"/>
  <c r="AR401" i="10" s="1"/>
  <c r="R403" i="10"/>
  <c r="AL403" i="10" s="1"/>
  <c r="AN403" i="10" s="1"/>
  <c r="W403" i="10"/>
  <c r="AP403" i="10" s="1"/>
  <c r="U404" i="10"/>
  <c r="V405" i="10"/>
  <c r="AO405" i="10" s="1"/>
  <c r="R408" i="10"/>
  <c r="AL408" i="10" s="1"/>
  <c r="AN408" i="10" s="1"/>
  <c r="AJ404" i="10"/>
  <c r="AX404" i="10" s="1"/>
  <c r="AZ404" i="10" s="1"/>
  <c r="AV405" i="10"/>
  <c r="AJ405" i="10"/>
  <c r="AX405" i="10" s="1"/>
  <c r="M404" i="10"/>
  <c r="AV403" i="10"/>
  <c r="AV402" i="10"/>
  <c r="R402" i="10"/>
  <c r="AL402" i="10" s="1"/>
  <c r="AN402" i="10" s="1"/>
  <c r="W402" i="10"/>
  <c r="AP402" i="10" s="1"/>
  <c r="AR402" i="10" s="1"/>
  <c r="R401" i="10"/>
  <c r="AL401" i="10" s="1"/>
  <c r="AN401" i="10" s="1"/>
  <c r="AJ400" i="10"/>
  <c r="AX400" i="10" s="1"/>
  <c r="AJ402" i="10"/>
  <c r="AX402" i="10" s="1"/>
  <c r="R400" i="10"/>
  <c r="AL400" i="10" s="1"/>
  <c r="AN400" i="10" s="1"/>
  <c r="AJ401" i="10"/>
  <c r="AX401" i="10" s="1"/>
  <c r="AZ401" i="10" s="1"/>
  <c r="AJ403" i="10"/>
  <c r="AX403" i="10" s="1"/>
  <c r="AZ403" i="10" s="1"/>
  <c r="AV401" i="10"/>
  <c r="AV400" i="10"/>
  <c r="AW401" i="10"/>
  <c r="E399" i="10"/>
  <c r="H399" i="10"/>
  <c r="BH399" i="10" s="1"/>
  <c r="I399" i="10"/>
  <c r="J399" i="10"/>
  <c r="K399" i="10"/>
  <c r="L399" i="10"/>
  <c r="M399" i="10" s="1"/>
  <c r="P399" i="10"/>
  <c r="U399" i="10" s="1"/>
  <c r="V399" i="10" s="1"/>
  <c r="AO399" i="10" s="1"/>
  <c r="Q399" i="10"/>
  <c r="AK399" i="10" s="1"/>
  <c r="Z399" i="10"/>
  <c r="AA399" i="10"/>
  <c r="AS399" i="10" s="1"/>
  <c r="AB399" i="10"/>
  <c r="AT399" i="10" s="1"/>
  <c r="AH399" i="10"/>
  <c r="AI399" i="10" s="1"/>
  <c r="AM399" i="10"/>
  <c r="AQ399" i="10"/>
  <c r="AU399" i="10"/>
  <c r="AY399" i="10"/>
  <c r="BG399" i="10" s="1"/>
  <c r="BF399" i="10"/>
  <c r="BJ399" i="10"/>
  <c r="BE410" i="10" l="1"/>
  <c r="BM410" i="10"/>
  <c r="BE408" i="10"/>
  <c r="BM408" i="10"/>
  <c r="BE409" i="10"/>
  <c r="BM409" i="10"/>
  <c r="BE411" i="10"/>
  <c r="BM411" i="10"/>
  <c r="BB400" i="10"/>
  <c r="BD400" i="10" s="1"/>
  <c r="AZ408" i="10"/>
  <c r="R399" i="10"/>
  <c r="AL399" i="10" s="1"/>
  <c r="AN399" i="10" s="1"/>
  <c r="BA408" i="10"/>
  <c r="BB407" i="10"/>
  <c r="BD407" i="10" s="1"/>
  <c r="BA407" i="10"/>
  <c r="BB405" i="10"/>
  <c r="BD405" i="10" s="1"/>
  <c r="BA405" i="10"/>
  <c r="BB406" i="10"/>
  <c r="BD406" i="10" s="1"/>
  <c r="BA406" i="10"/>
  <c r="BB401" i="10"/>
  <c r="BD401" i="10" s="1"/>
  <c r="BB403" i="10"/>
  <c r="BD403" i="10" s="1"/>
  <c r="AR403" i="10"/>
  <c r="BA403" i="10" s="1"/>
  <c r="W404" i="10"/>
  <c r="AP404" i="10" s="1"/>
  <c r="V404" i="10"/>
  <c r="AO404" i="10" s="1"/>
  <c r="AZ405" i="10"/>
  <c r="BA402" i="10"/>
  <c r="BA400" i="10"/>
  <c r="AV399" i="10"/>
  <c r="W399" i="10"/>
  <c r="AP399" i="10" s="1"/>
  <c r="AR399" i="10" s="1"/>
  <c r="BB402" i="10"/>
  <c r="BD402" i="10" s="1"/>
  <c r="BA401" i="10"/>
  <c r="AZ400" i="10"/>
  <c r="AZ402" i="10"/>
  <c r="AJ399" i="10"/>
  <c r="AX399" i="10" s="1"/>
  <c r="AW399" i="10"/>
  <c r="E397" i="10"/>
  <c r="H397" i="10"/>
  <c r="BH397" i="10" s="1"/>
  <c r="I397" i="10"/>
  <c r="J397" i="10"/>
  <c r="K397" i="10"/>
  <c r="L397" i="10"/>
  <c r="M397" i="10" s="1"/>
  <c r="P397" i="10"/>
  <c r="U397" i="10" s="1"/>
  <c r="V397" i="10" s="1"/>
  <c r="AO397" i="10" s="1"/>
  <c r="Q397" i="10"/>
  <c r="AK397" i="10" s="1"/>
  <c r="Z397" i="10"/>
  <c r="AA397" i="10"/>
  <c r="AS397" i="10" s="1"/>
  <c r="AB397" i="10"/>
  <c r="AT397" i="10" s="1"/>
  <c r="AH397" i="10"/>
  <c r="AI397" i="10" s="1"/>
  <c r="AW397" i="10" s="1"/>
  <c r="AM397" i="10"/>
  <c r="AQ397" i="10"/>
  <c r="AU397" i="10"/>
  <c r="AY397" i="10"/>
  <c r="BG397" i="10" s="1"/>
  <c r="BF397" i="10"/>
  <c r="BJ397" i="10"/>
  <c r="E398" i="10"/>
  <c r="H398" i="10"/>
  <c r="BH398" i="10" s="1"/>
  <c r="I398" i="10"/>
  <c r="J398" i="10"/>
  <c r="K398" i="10"/>
  <c r="L398" i="10"/>
  <c r="M398" i="10" s="1"/>
  <c r="P398" i="10"/>
  <c r="U398" i="10" s="1"/>
  <c r="V398" i="10" s="1"/>
  <c r="AO398" i="10" s="1"/>
  <c r="Q398" i="10"/>
  <c r="AK398" i="10" s="1"/>
  <c r="Z398" i="10"/>
  <c r="AA398" i="10"/>
  <c r="AS398" i="10" s="1"/>
  <c r="AB398" i="10"/>
  <c r="AT398" i="10" s="1"/>
  <c r="AH398" i="10"/>
  <c r="AI398" i="10" s="1"/>
  <c r="AM398" i="10"/>
  <c r="AQ398" i="10"/>
  <c r="AU398" i="10"/>
  <c r="AY398" i="10"/>
  <c r="BG398" i="10" s="1"/>
  <c r="BF398" i="10"/>
  <c r="BJ398" i="10"/>
  <c r="E396" i="10"/>
  <c r="H396" i="10"/>
  <c r="BH396" i="10" s="1"/>
  <c r="I396" i="10"/>
  <c r="J396" i="10"/>
  <c r="K396" i="10"/>
  <c r="L396" i="10"/>
  <c r="M396" i="10" s="1"/>
  <c r="P396" i="10"/>
  <c r="U396" i="10" s="1"/>
  <c r="V396" i="10" s="1"/>
  <c r="AO396" i="10" s="1"/>
  <c r="Q396" i="10"/>
  <c r="AK396" i="10" s="1"/>
  <c r="Z396" i="10"/>
  <c r="AA396" i="10"/>
  <c r="AS396" i="10" s="1"/>
  <c r="AB396" i="10"/>
  <c r="AT396" i="10" s="1"/>
  <c r="AH396" i="10"/>
  <c r="AI396" i="10" s="1"/>
  <c r="AW396" i="10" s="1"/>
  <c r="AM396" i="10"/>
  <c r="AQ396" i="10"/>
  <c r="AU396" i="10"/>
  <c r="AY396" i="10"/>
  <c r="BG396" i="10" s="1"/>
  <c r="BF396" i="10"/>
  <c r="BJ396" i="10"/>
  <c r="E395" i="10"/>
  <c r="H395" i="10"/>
  <c r="BH395" i="10" s="1"/>
  <c r="I395" i="10"/>
  <c r="J395" i="10"/>
  <c r="K395" i="10"/>
  <c r="L395" i="10"/>
  <c r="M395" i="10" s="1"/>
  <c r="P395" i="10"/>
  <c r="U395" i="10" s="1"/>
  <c r="V395" i="10" s="1"/>
  <c r="AO395" i="10" s="1"/>
  <c r="Q395" i="10"/>
  <c r="AK395" i="10" s="1"/>
  <c r="Z395" i="10"/>
  <c r="AA395" i="10"/>
  <c r="AS395" i="10" s="1"/>
  <c r="AB395" i="10"/>
  <c r="AT395" i="10" s="1"/>
  <c r="AH395" i="10"/>
  <c r="AI395" i="10" s="1"/>
  <c r="AW395" i="10" s="1"/>
  <c r="AM395" i="10"/>
  <c r="AQ395" i="10"/>
  <c r="AU395" i="10"/>
  <c r="AY395" i="10"/>
  <c r="BG395" i="10" s="1"/>
  <c r="BF395" i="10"/>
  <c r="BJ395" i="10"/>
  <c r="E394" i="10"/>
  <c r="H394" i="10"/>
  <c r="BH394" i="10" s="1"/>
  <c r="I394" i="10"/>
  <c r="J394" i="10"/>
  <c r="K394" i="10"/>
  <c r="L394" i="10"/>
  <c r="M394" i="10" s="1"/>
  <c r="P394" i="10"/>
  <c r="U394" i="10" s="1"/>
  <c r="V394" i="10" s="1"/>
  <c r="AO394" i="10" s="1"/>
  <c r="Q394" i="10"/>
  <c r="AK394" i="10" s="1"/>
  <c r="Z394" i="10"/>
  <c r="AA394" i="10"/>
  <c r="AS394" i="10" s="1"/>
  <c r="AB394" i="10"/>
  <c r="AT394" i="10" s="1"/>
  <c r="AH394" i="10"/>
  <c r="AI394" i="10" s="1"/>
  <c r="AM394" i="10"/>
  <c r="AQ394" i="10"/>
  <c r="AU394" i="10"/>
  <c r="AY394" i="10"/>
  <c r="BG394" i="10" s="1"/>
  <c r="BF394" i="10"/>
  <c r="BJ394" i="10"/>
  <c r="AD388" i="10"/>
  <c r="AH388" i="10" s="1"/>
  <c r="AI388" i="10" s="1"/>
  <c r="AW388" i="10" s="1"/>
  <c r="AD392" i="10"/>
  <c r="AH392" i="10" s="1"/>
  <c r="AI392" i="10" s="1"/>
  <c r="S386" i="10"/>
  <c r="E393" i="10"/>
  <c r="H393" i="10"/>
  <c r="BH393" i="10" s="1"/>
  <c r="I393" i="10"/>
  <c r="J393" i="10"/>
  <c r="K393" i="10"/>
  <c r="L393" i="10"/>
  <c r="M393" i="10" s="1"/>
  <c r="P393" i="10"/>
  <c r="U393" i="10" s="1"/>
  <c r="V393" i="10" s="1"/>
  <c r="AO393" i="10" s="1"/>
  <c r="Q393" i="10"/>
  <c r="AK393" i="10" s="1"/>
  <c r="Z393" i="10"/>
  <c r="AA393" i="10"/>
  <c r="AS393" i="10" s="1"/>
  <c r="AB393" i="10"/>
  <c r="AT393" i="10" s="1"/>
  <c r="AH393" i="10"/>
  <c r="AI393" i="10" s="1"/>
  <c r="AW393" i="10" s="1"/>
  <c r="AM393" i="10"/>
  <c r="AQ393" i="10"/>
  <c r="AU393" i="10"/>
  <c r="AY393" i="10"/>
  <c r="BG393" i="10" s="1"/>
  <c r="BF393" i="10"/>
  <c r="BJ393" i="10"/>
  <c r="E392" i="10"/>
  <c r="H392" i="10"/>
  <c r="BH392" i="10" s="1"/>
  <c r="I392" i="10"/>
  <c r="J392" i="10"/>
  <c r="K392" i="10"/>
  <c r="L392" i="10"/>
  <c r="M392" i="10" s="1"/>
  <c r="P392" i="10"/>
  <c r="U392" i="10" s="1"/>
  <c r="Q392" i="10"/>
  <c r="AK392" i="10" s="1"/>
  <c r="Z392" i="10"/>
  <c r="AA392" i="10"/>
  <c r="AS392" i="10" s="1"/>
  <c r="AB392" i="10"/>
  <c r="AT392" i="10" s="1"/>
  <c r="AM392" i="10"/>
  <c r="AQ392" i="10"/>
  <c r="AU392" i="10"/>
  <c r="AY392" i="10"/>
  <c r="BG392" i="10" s="1"/>
  <c r="BF392" i="10"/>
  <c r="BJ392" i="10"/>
  <c r="F389" i="10"/>
  <c r="E389" i="10"/>
  <c r="H389" i="10"/>
  <c r="BH389" i="10" s="1"/>
  <c r="I389" i="10"/>
  <c r="J389" i="10"/>
  <c r="K389" i="10"/>
  <c r="L389" i="10"/>
  <c r="P389" i="10"/>
  <c r="Q389" i="10"/>
  <c r="AK389" i="10" s="1"/>
  <c r="Z389" i="10"/>
  <c r="AA389" i="10"/>
  <c r="AS389" i="10" s="1"/>
  <c r="AB389" i="10"/>
  <c r="AT389" i="10" s="1"/>
  <c r="AH389" i="10"/>
  <c r="AI389" i="10" s="1"/>
  <c r="AW389" i="10" s="1"/>
  <c r="AM389" i="10"/>
  <c r="AQ389" i="10"/>
  <c r="AU389" i="10"/>
  <c r="AY389" i="10"/>
  <c r="BG389" i="10" s="1"/>
  <c r="BF389" i="10"/>
  <c r="BJ389" i="10"/>
  <c r="E391" i="10"/>
  <c r="H391" i="10"/>
  <c r="BH391" i="10" s="1"/>
  <c r="I391" i="10"/>
  <c r="J391" i="10"/>
  <c r="K391" i="10"/>
  <c r="L391" i="10"/>
  <c r="M391" i="10" s="1"/>
  <c r="P391" i="10"/>
  <c r="U391" i="10" s="1"/>
  <c r="V391" i="10" s="1"/>
  <c r="AO391" i="10" s="1"/>
  <c r="Q391" i="10"/>
  <c r="AK391" i="10" s="1"/>
  <c r="Z391" i="10"/>
  <c r="AA391" i="10"/>
  <c r="AS391" i="10" s="1"/>
  <c r="AB391" i="10"/>
  <c r="AT391" i="10" s="1"/>
  <c r="AH391" i="10"/>
  <c r="AI391" i="10" s="1"/>
  <c r="AW391" i="10" s="1"/>
  <c r="AM391" i="10"/>
  <c r="AQ391" i="10"/>
  <c r="AU391" i="10"/>
  <c r="AY391" i="10"/>
  <c r="BG391" i="10" s="1"/>
  <c r="BF391" i="10"/>
  <c r="BJ391" i="10"/>
  <c r="E390" i="10"/>
  <c r="H390" i="10"/>
  <c r="BH390" i="10" s="1"/>
  <c r="I390" i="10"/>
  <c r="J390" i="10"/>
  <c r="K390" i="10"/>
  <c r="L390" i="10"/>
  <c r="M390" i="10" s="1"/>
  <c r="P390" i="10"/>
  <c r="U390" i="10" s="1"/>
  <c r="V390" i="10" s="1"/>
  <c r="AO390" i="10" s="1"/>
  <c r="Q390" i="10"/>
  <c r="AK390" i="10" s="1"/>
  <c r="Z390" i="10"/>
  <c r="AA390" i="10"/>
  <c r="AS390" i="10" s="1"/>
  <c r="AB390" i="10"/>
  <c r="AT390" i="10" s="1"/>
  <c r="AH390" i="10"/>
  <c r="AI390" i="10" s="1"/>
  <c r="AW390" i="10" s="1"/>
  <c r="AM390" i="10"/>
  <c r="AQ390" i="10"/>
  <c r="AU390" i="10"/>
  <c r="AY390" i="10"/>
  <c r="BG390" i="10" s="1"/>
  <c r="BF390" i="10"/>
  <c r="BJ390" i="10"/>
  <c r="E388" i="10"/>
  <c r="H388" i="10"/>
  <c r="BH388" i="10" s="1"/>
  <c r="I388" i="10"/>
  <c r="J388" i="10"/>
  <c r="K388" i="10"/>
  <c r="L388" i="10"/>
  <c r="M388" i="10" s="1"/>
  <c r="P388" i="10"/>
  <c r="U388" i="10" s="1"/>
  <c r="V388" i="10" s="1"/>
  <c r="AO388" i="10" s="1"/>
  <c r="Q388" i="10"/>
  <c r="AK388" i="10" s="1"/>
  <c r="Z388" i="10"/>
  <c r="AA388" i="10"/>
  <c r="AS388" i="10" s="1"/>
  <c r="AB388" i="10"/>
  <c r="AT388" i="10" s="1"/>
  <c r="AM388" i="10"/>
  <c r="AQ388" i="10"/>
  <c r="AU388" i="10"/>
  <c r="AY388" i="10"/>
  <c r="BG388" i="10" s="1"/>
  <c r="BF388" i="10"/>
  <c r="BJ388" i="10"/>
  <c r="AD387" i="10"/>
  <c r="AH387" i="10" s="1"/>
  <c r="AI387" i="10" s="1"/>
  <c r="AW387" i="10" s="1"/>
  <c r="AD384" i="10"/>
  <c r="AH384" i="10" s="1"/>
  <c r="AI384" i="10" s="1"/>
  <c r="AW384" i="10" s="1"/>
  <c r="S387" i="10"/>
  <c r="L387" i="10" s="1"/>
  <c r="M387" i="10" s="1"/>
  <c r="E383" i="10"/>
  <c r="H383" i="10"/>
  <c r="BH383" i="10" s="1"/>
  <c r="I383" i="10"/>
  <c r="J383" i="10"/>
  <c r="K383" i="10"/>
  <c r="L383" i="10"/>
  <c r="M383" i="10" s="1"/>
  <c r="P383" i="10"/>
  <c r="U383" i="10" s="1"/>
  <c r="Q383" i="10"/>
  <c r="AK383" i="10" s="1"/>
  <c r="Z383" i="10"/>
  <c r="AA383" i="10"/>
  <c r="AB383" i="10"/>
  <c r="AT383" i="10" s="1"/>
  <c r="AH383" i="10"/>
  <c r="AI383" i="10"/>
  <c r="AW383" i="10" s="1"/>
  <c r="AM383" i="10"/>
  <c r="AQ383" i="10"/>
  <c r="AS383" i="10"/>
  <c r="AU383" i="10"/>
  <c r="AY383" i="10"/>
  <c r="BG383" i="10" s="1"/>
  <c r="BF383" i="10"/>
  <c r="BJ383" i="10"/>
  <c r="F384" i="10"/>
  <c r="E387" i="10"/>
  <c r="H387" i="10"/>
  <c r="BH387" i="10" s="1"/>
  <c r="I387" i="10"/>
  <c r="J387" i="10"/>
  <c r="K387" i="10"/>
  <c r="P387" i="10"/>
  <c r="U387" i="10" s="1"/>
  <c r="V387" i="10" s="1"/>
  <c r="AO387" i="10" s="1"/>
  <c r="Q387" i="10"/>
  <c r="AK387" i="10" s="1"/>
  <c r="Z387" i="10"/>
  <c r="AA387" i="10"/>
  <c r="AS387" i="10" s="1"/>
  <c r="AB387" i="10"/>
  <c r="AT387" i="10" s="1"/>
  <c r="AM387" i="10"/>
  <c r="AQ387" i="10"/>
  <c r="AU387" i="10"/>
  <c r="AY387" i="10"/>
  <c r="BG387" i="10" s="1"/>
  <c r="BF387" i="10"/>
  <c r="BJ387" i="10"/>
  <c r="E386" i="10"/>
  <c r="H386" i="10"/>
  <c r="BH386" i="10" s="1"/>
  <c r="I386" i="10"/>
  <c r="J386" i="10"/>
  <c r="K386" i="10"/>
  <c r="L386" i="10"/>
  <c r="M386" i="10" s="1"/>
  <c r="P386" i="10"/>
  <c r="U386" i="10" s="1"/>
  <c r="Q386" i="10"/>
  <c r="AK386" i="10" s="1"/>
  <c r="Z386" i="10"/>
  <c r="AA386" i="10"/>
  <c r="AS386" i="10" s="1"/>
  <c r="AB386" i="10"/>
  <c r="AT386" i="10" s="1"/>
  <c r="AH386" i="10"/>
  <c r="AI386" i="10" s="1"/>
  <c r="AW386" i="10" s="1"/>
  <c r="AM386" i="10"/>
  <c r="AQ386" i="10"/>
  <c r="AU386" i="10"/>
  <c r="AY386" i="10"/>
  <c r="BG386" i="10" s="1"/>
  <c r="BF386" i="10"/>
  <c r="BJ386" i="10"/>
  <c r="E385" i="10"/>
  <c r="H385" i="10"/>
  <c r="BH385" i="10" s="1"/>
  <c r="I385" i="10"/>
  <c r="J385" i="10"/>
  <c r="K385" i="10"/>
  <c r="L385" i="10"/>
  <c r="M385" i="10" s="1"/>
  <c r="P385" i="10"/>
  <c r="U385" i="10" s="1"/>
  <c r="Q385" i="10"/>
  <c r="AK385" i="10" s="1"/>
  <c r="Z385" i="10"/>
  <c r="AA385" i="10"/>
  <c r="AS385" i="10" s="1"/>
  <c r="AB385" i="10"/>
  <c r="AT385" i="10" s="1"/>
  <c r="AH385" i="10"/>
  <c r="AI385" i="10" s="1"/>
  <c r="AM385" i="10"/>
  <c r="AQ385" i="10"/>
  <c r="AU385" i="10"/>
  <c r="AY385" i="10"/>
  <c r="BG385" i="10" s="1"/>
  <c r="BF385" i="10"/>
  <c r="BJ385" i="10"/>
  <c r="E384" i="10"/>
  <c r="H384" i="10"/>
  <c r="BH384" i="10" s="1"/>
  <c r="I384" i="10"/>
  <c r="J384" i="10"/>
  <c r="K384" i="10"/>
  <c r="L384" i="10"/>
  <c r="P384" i="10"/>
  <c r="Q384" i="10"/>
  <c r="AK384" i="10" s="1"/>
  <c r="Z384" i="10"/>
  <c r="AA384" i="10"/>
  <c r="AS384" i="10" s="1"/>
  <c r="AB384" i="10"/>
  <c r="AT384" i="10" s="1"/>
  <c r="AM384" i="10"/>
  <c r="AQ384" i="10"/>
  <c r="AU384" i="10"/>
  <c r="AY384" i="10"/>
  <c r="BG384" i="10" s="1"/>
  <c r="BF384" i="10"/>
  <c r="BJ384" i="10"/>
  <c r="AD381" i="10"/>
  <c r="AH381" i="10" s="1"/>
  <c r="AI381" i="10" s="1"/>
  <c r="AW381" i="10" s="1"/>
  <c r="S378" i="10"/>
  <c r="L378" i="10" s="1"/>
  <c r="M378" i="10" s="1"/>
  <c r="AD378" i="10"/>
  <c r="AH378" i="10" s="1"/>
  <c r="AI378" i="10" s="1"/>
  <c r="AW378" i="10" s="1"/>
  <c r="E382" i="10"/>
  <c r="H382" i="10"/>
  <c r="BH382" i="10" s="1"/>
  <c r="I382" i="10"/>
  <c r="J382" i="10"/>
  <c r="K382" i="10"/>
  <c r="L382" i="10"/>
  <c r="M382" i="10" s="1"/>
  <c r="P382" i="10"/>
  <c r="U382" i="10" s="1"/>
  <c r="V382" i="10" s="1"/>
  <c r="AO382" i="10" s="1"/>
  <c r="Q382" i="10"/>
  <c r="AK382" i="10" s="1"/>
  <c r="Z382" i="10"/>
  <c r="AA382" i="10"/>
  <c r="AS382" i="10" s="1"/>
  <c r="AB382" i="10"/>
  <c r="AT382" i="10" s="1"/>
  <c r="AH382" i="10"/>
  <c r="AI382" i="10" s="1"/>
  <c r="AW382" i="10" s="1"/>
  <c r="AM382" i="10"/>
  <c r="AQ382" i="10"/>
  <c r="AU382" i="10"/>
  <c r="AY382" i="10"/>
  <c r="BG382" i="10" s="1"/>
  <c r="BF382" i="10"/>
  <c r="BJ382" i="10"/>
  <c r="E381" i="10"/>
  <c r="H381" i="10"/>
  <c r="BH381" i="10" s="1"/>
  <c r="I381" i="10"/>
  <c r="J381" i="10"/>
  <c r="K381" i="10"/>
  <c r="L381" i="10"/>
  <c r="M381" i="10" s="1"/>
  <c r="P381" i="10"/>
  <c r="U381" i="10" s="1"/>
  <c r="V381" i="10" s="1"/>
  <c r="AO381" i="10" s="1"/>
  <c r="Q381" i="10"/>
  <c r="AK381" i="10" s="1"/>
  <c r="Z381" i="10"/>
  <c r="AA381" i="10"/>
  <c r="AS381" i="10" s="1"/>
  <c r="AB381" i="10"/>
  <c r="AT381" i="10" s="1"/>
  <c r="AM381" i="10"/>
  <c r="AQ381" i="10"/>
  <c r="AU381" i="10"/>
  <c r="AY381" i="10"/>
  <c r="BG381" i="10" s="1"/>
  <c r="BF381" i="10"/>
  <c r="BJ381" i="10"/>
  <c r="E380" i="10"/>
  <c r="H380" i="10"/>
  <c r="BH380" i="10" s="1"/>
  <c r="I380" i="10"/>
  <c r="J380" i="10"/>
  <c r="K380" i="10"/>
  <c r="L380" i="10"/>
  <c r="M380" i="10" s="1"/>
  <c r="P380" i="10"/>
  <c r="U380" i="10" s="1"/>
  <c r="V380" i="10" s="1"/>
  <c r="AO380" i="10" s="1"/>
  <c r="Q380" i="10"/>
  <c r="AK380" i="10" s="1"/>
  <c r="Z380" i="10"/>
  <c r="AA380" i="10"/>
  <c r="AS380" i="10" s="1"/>
  <c r="AB380" i="10"/>
  <c r="AT380" i="10" s="1"/>
  <c r="AH380" i="10"/>
  <c r="AI380" i="10" s="1"/>
  <c r="AW380" i="10" s="1"/>
  <c r="AM380" i="10"/>
  <c r="AQ380" i="10"/>
  <c r="AU380" i="10"/>
  <c r="AY380" i="10"/>
  <c r="BG380" i="10" s="1"/>
  <c r="BF380" i="10"/>
  <c r="BJ380" i="10"/>
  <c r="E379" i="10"/>
  <c r="H379" i="10"/>
  <c r="BH379" i="10" s="1"/>
  <c r="I379" i="10"/>
  <c r="J379" i="10"/>
  <c r="K379" i="10"/>
  <c r="L379" i="10"/>
  <c r="M379" i="10" s="1"/>
  <c r="P379" i="10"/>
  <c r="U379" i="10" s="1"/>
  <c r="Q379" i="10"/>
  <c r="AK379" i="10" s="1"/>
  <c r="Z379" i="10"/>
  <c r="AA379" i="10"/>
  <c r="AS379" i="10" s="1"/>
  <c r="AB379" i="10"/>
  <c r="AT379" i="10" s="1"/>
  <c r="AH379" i="10"/>
  <c r="AI379" i="10" s="1"/>
  <c r="AW379" i="10" s="1"/>
  <c r="AM379" i="10"/>
  <c r="AQ379" i="10"/>
  <c r="AU379" i="10"/>
  <c r="AY379" i="10"/>
  <c r="BG379" i="10" s="1"/>
  <c r="BF379" i="10"/>
  <c r="BJ379" i="10"/>
  <c r="E378" i="10"/>
  <c r="H378" i="10"/>
  <c r="BH378" i="10" s="1"/>
  <c r="I378" i="10"/>
  <c r="J378" i="10"/>
  <c r="K378" i="10"/>
  <c r="P378" i="10"/>
  <c r="U378" i="10" s="1"/>
  <c r="V378" i="10" s="1"/>
  <c r="AO378" i="10" s="1"/>
  <c r="Q378" i="10"/>
  <c r="AK378" i="10" s="1"/>
  <c r="Z378" i="10"/>
  <c r="AA378" i="10"/>
  <c r="AS378" i="10" s="1"/>
  <c r="AB378" i="10"/>
  <c r="AT378" i="10" s="1"/>
  <c r="AM378" i="10"/>
  <c r="AQ378" i="10"/>
  <c r="AU378" i="10"/>
  <c r="AY378" i="10"/>
  <c r="BG378" i="10" s="1"/>
  <c r="BF378" i="10"/>
  <c r="BJ378" i="10"/>
  <c r="E377" i="10"/>
  <c r="H377" i="10"/>
  <c r="BH377" i="10" s="1"/>
  <c r="I377" i="10"/>
  <c r="J377" i="10"/>
  <c r="K377" i="10"/>
  <c r="L377" i="10"/>
  <c r="M377" i="10" s="1"/>
  <c r="P377" i="10"/>
  <c r="U377" i="10" s="1"/>
  <c r="V377" i="10" s="1"/>
  <c r="AO377" i="10" s="1"/>
  <c r="Q377" i="10"/>
  <c r="Z377" i="10"/>
  <c r="AA377" i="10"/>
  <c r="AS377" i="10" s="1"/>
  <c r="AB377" i="10"/>
  <c r="AT377" i="10" s="1"/>
  <c r="AH377" i="10"/>
  <c r="AI377" i="10" s="1"/>
  <c r="AW377" i="10" s="1"/>
  <c r="AM377" i="10"/>
  <c r="AQ377" i="10"/>
  <c r="AU377" i="10"/>
  <c r="AY377" i="10"/>
  <c r="BG377" i="10" s="1"/>
  <c r="BF377" i="10"/>
  <c r="BJ377" i="10"/>
  <c r="AH374" i="10"/>
  <c r="AI374" i="10" s="1"/>
  <c r="AW374" i="10" s="1"/>
  <c r="AD375" i="10"/>
  <c r="AH375" i="10" s="1"/>
  <c r="AI375" i="10" s="1"/>
  <c r="E376" i="10"/>
  <c r="H376" i="10"/>
  <c r="BH376" i="10" s="1"/>
  <c r="I376" i="10"/>
  <c r="J376" i="10"/>
  <c r="K376" i="10"/>
  <c r="L376" i="10"/>
  <c r="M376" i="10" s="1"/>
  <c r="P376" i="10"/>
  <c r="U376" i="10" s="1"/>
  <c r="V376" i="10" s="1"/>
  <c r="AO376" i="10" s="1"/>
  <c r="Q376" i="10"/>
  <c r="AK376" i="10" s="1"/>
  <c r="Z376" i="10"/>
  <c r="AA376" i="10"/>
  <c r="AS376" i="10" s="1"/>
  <c r="AB376" i="10"/>
  <c r="AT376" i="10" s="1"/>
  <c r="AH376" i="10"/>
  <c r="AI376" i="10" s="1"/>
  <c r="AW376" i="10" s="1"/>
  <c r="AM376" i="10"/>
  <c r="AQ376" i="10"/>
  <c r="AU376" i="10"/>
  <c r="AY376" i="10"/>
  <c r="BG376" i="10" s="1"/>
  <c r="BF376" i="10"/>
  <c r="BJ376" i="10"/>
  <c r="E375" i="10"/>
  <c r="H375" i="10"/>
  <c r="BH375" i="10" s="1"/>
  <c r="I375" i="10"/>
  <c r="J375" i="10"/>
  <c r="K375" i="10"/>
  <c r="L375" i="10"/>
  <c r="M375" i="10" s="1"/>
  <c r="P375" i="10"/>
  <c r="U375" i="10" s="1"/>
  <c r="V375" i="10" s="1"/>
  <c r="AO375" i="10" s="1"/>
  <c r="Q375" i="10"/>
  <c r="AK375" i="10" s="1"/>
  <c r="Z375" i="10"/>
  <c r="AA375" i="10"/>
  <c r="AS375" i="10" s="1"/>
  <c r="AB375" i="10"/>
  <c r="AT375" i="10" s="1"/>
  <c r="AM375" i="10"/>
  <c r="AQ375" i="10"/>
  <c r="AU375" i="10"/>
  <c r="AY375" i="10"/>
  <c r="BG375" i="10" s="1"/>
  <c r="BF375" i="10"/>
  <c r="BJ375" i="10"/>
  <c r="E374" i="10"/>
  <c r="H374" i="10"/>
  <c r="BH374" i="10" s="1"/>
  <c r="I374" i="10"/>
  <c r="J374" i="10"/>
  <c r="K374" i="10"/>
  <c r="L374" i="10"/>
  <c r="M374" i="10" s="1"/>
  <c r="P374" i="10"/>
  <c r="U374" i="10" s="1"/>
  <c r="Q374" i="10"/>
  <c r="AK374" i="10" s="1"/>
  <c r="Z374" i="10"/>
  <c r="AA374" i="10"/>
  <c r="AS374" i="10" s="1"/>
  <c r="AB374" i="10"/>
  <c r="AT374" i="10" s="1"/>
  <c r="AM374" i="10"/>
  <c r="AQ374" i="10"/>
  <c r="AU374" i="10"/>
  <c r="AY374" i="10"/>
  <c r="BG374" i="10" s="1"/>
  <c r="BF374" i="10"/>
  <c r="BJ374" i="10"/>
  <c r="S370" i="10"/>
  <c r="L370" i="10" s="1"/>
  <c r="F370" i="10"/>
  <c r="E373" i="10"/>
  <c r="H373" i="10"/>
  <c r="BH373" i="10" s="1"/>
  <c r="I373" i="10"/>
  <c r="J373" i="10"/>
  <c r="K373" i="10"/>
  <c r="L373" i="10"/>
  <c r="M373" i="10" s="1"/>
  <c r="P373" i="10"/>
  <c r="U373" i="10" s="1"/>
  <c r="Q373" i="10"/>
  <c r="AK373" i="10" s="1"/>
  <c r="Z373" i="10"/>
  <c r="AA373" i="10"/>
  <c r="AS373" i="10" s="1"/>
  <c r="AB373" i="10"/>
  <c r="AT373" i="10" s="1"/>
  <c r="AH373" i="10"/>
  <c r="AI373" i="10" s="1"/>
  <c r="AW373" i="10" s="1"/>
  <c r="AM373" i="10"/>
  <c r="AQ373" i="10"/>
  <c r="AU373" i="10"/>
  <c r="AY373" i="10"/>
  <c r="BG373" i="10" s="1"/>
  <c r="BF373" i="10"/>
  <c r="BJ373" i="10"/>
  <c r="E372" i="10"/>
  <c r="H372" i="10"/>
  <c r="BH372" i="10" s="1"/>
  <c r="I372" i="10"/>
  <c r="J372" i="10"/>
  <c r="K372" i="10"/>
  <c r="L372" i="10"/>
  <c r="M372" i="10" s="1"/>
  <c r="P372" i="10"/>
  <c r="U372" i="10" s="1"/>
  <c r="V372" i="10" s="1"/>
  <c r="AO372" i="10" s="1"/>
  <c r="Q372" i="10"/>
  <c r="AK372" i="10" s="1"/>
  <c r="Z372" i="10"/>
  <c r="AA372" i="10"/>
  <c r="AS372" i="10" s="1"/>
  <c r="AB372" i="10"/>
  <c r="AT372" i="10" s="1"/>
  <c r="AH372" i="10"/>
  <c r="AI372" i="10" s="1"/>
  <c r="AW372" i="10" s="1"/>
  <c r="AM372" i="10"/>
  <c r="AQ372" i="10"/>
  <c r="AU372" i="10"/>
  <c r="AY372" i="10"/>
  <c r="BG372" i="10" s="1"/>
  <c r="BF372" i="10"/>
  <c r="BJ372" i="10"/>
  <c r="E371" i="10"/>
  <c r="H371" i="10"/>
  <c r="BH371" i="10" s="1"/>
  <c r="I371" i="10"/>
  <c r="J371" i="10"/>
  <c r="K371" i="10"/>
  <c r="L371" i="10"/>
  <c r="M371" i="10" s="1"/>
  <c r="P371" i="10"/>
  <c r="U371" i="10" s="1"/>
  <c r="Q371" i="10"/>
  <c r="AK371" i="10" s="1"/>
  <c r="Z371" i="10"/>
  <c r="AA371" i="10"/>
  <c r="AS371" i="10" s="1"/>
  <c r="AB371" i="10"/>
  <c r="AT371" i="10" s="1"/>
  <c r="AH371" i="10"/>
  <c r="AI371" i="10" s="1"/>
  <c r="AW371" i="10" s="1"/>
  <c r="AM371" i="10"/>
  <c r="AQ371" i="10"/>
  <c r="AU371" i="10"/>
  <c r="AY371" i="10"/>
  <c r="BG371" i="10" s="1"/>
  <c r="BF371" i="10"/>
  <c r="BJ371" i="10"/>
  <c r="E370" i="10"/>
  <c r="H370" i="10"/>
  <c r="BH370" i="10" s="1"/>
  <c r="I370" i="10"/>
  <c r="J370" i="10"/>
  <c r="K370" i="10"/>
  <c r="P370" i="10"/>
  <c r="Q370" i="10"/>
  <c r="AK370" i="10" s="1"/>
  <c r="Z370" i="10"/>
  <c r="AA370" i="10"/>
  <c r="AS370" i="10" s="1"/>
  <c r="AB370" i="10"/>
  <c r="AT370" i="10" s="1"/>
  <c r="AH370" i="10"/>
  <c r="AI370" i="10" s="1"/>
  <c r="AW370" i="10" s="1"/>
  <c r="AM370" i="10"/>
  <c r="AQ370" i="10"/>
  <c r="AU370" i="10"/>
  <c r="AY370" i="10"/>
  <c r="BG370" i="10" s="1"/>
  <c r="BF370" i="10"/>
  <c r="BJ370" i="10"/>
  <c r="AD369" i="10"/>
  <c r="S364" i="10"/>
  <c r="E365" i="10"/>
  <c r="H365" i="10"/>
  <c r="BH365" i="10" s="1"/>
  <c r="I365" i="10"/>
  <c r="J365" i="10"/>
  <c r="K365" i="10"/>
  <c r="L365" i="10"/>
  <c r="M365" i="10" s="1"/>
  <c r="P365" i="10"/>
  <c r="U365" i="10" s="1"/>
  <c r="Q365" i="10"/>
  <c r="AK365" i="10" s="1"/>
  <c r="Z365" i="10"/>
  <c r="AA365" i="10"/>
  <c r="AS365" i="10" s="1"/>
  <c r="AB365" i="10"/>
  <c r="AT365" i="10" s="1"/>
  <c r="AH365" i="10"/>
  <c r="AI365" i="10" s="1"/>
  <c r="AM365" i="10"/>
  <c r="AQ365" i="10"/>
  <c r="AU365" i="10"/>
  <c r="AY365" i="10"/>
  <c r="BG365" i="10" s="1"/>
  <c r="BF365" i="10"/>
  <c r="BJ365" i="10"/>
  <c r="AD364" i="10"/>
  <c r="BE402" i="10" l="1"/>
  <c r="BM402" i="10"/>
  <c r="BE406" i="10"/>
  <c r="BM406" i="10"/>
  <c r="BE405" i="10"/>
  <c r="BM405" i="10"/>
  <c r="BE400" i="10"/>
  <c r="BM400" i="10"/>
  <c r="BE403" i="10"/>
  <c r="BM403" i="10"/>
  <c r="BE401" i="10"/>
  <c r="BM401" i="10"/>
  <c r="BE407" i="10"/>
  <c r="BM407" i="10"/>
  <c r="W396" i="10"/>
  <c r="AP396" i="10" s="1"/>
  <c r="AR396" i="10" s="1"/>
  <c r="W393" i="10"/>
  <c r="AP393" i="10" s="1"/>
  <c r="AR393" i="10" s="1"/>
  <c r="W394" i="10"/>
  <c r="AP394" i="10" s="1"/>
  <c r="AR394" i="10" s="1"/>
  <c r="W398" i="10"/>
  <c r="AP398" i="10" s="1"/>
  <c r="AR398" i="10" s="1"/>
  <c r="W391" i="10"/>
  <c r="AP391" i="10" s="1"/>
  <c r="AR391" i="10" s="1"/>
  <c r="W397" i="10"/>
  <c r="AP397" i="10" s="1"/>
  <c r="AR397" i="10" s="1"/>
  <c r="W395" i="10"/>
  <c r="AP395" i="10" s="1"/>
  <c r="AR395" i="10" s="1"/>
  <c r="AJ394" i="10"/>
  <c r="AX394" i="10" s="1"/>
  <c r="AZ394" i="10" s="1"/>
  <c r="AR404" i="10"/>
  <c r="BA404" i="10" s="1"/>
  <c r="BB404" i="10"/>
  <c r="BD404" i="10" s="1"/>
  <c r="BB399" i="10"/>
  <c r="BD399" i="10" s="1"/>
  <c r="BA399" i="10"/>
  <c r="AV390" i="10"/>
  <c r="AJ398" i="10"/>
  <c r="AX398" i="10" s="1"/>
  <c r="AZ398" i="10" s="1"/>
  <c r="AJ397" i="10"/>
  <c r="AX397" i="10" s="1"/>
  <c r="AW398" i="10"/>
  <c r="AZ399" i="10"/>
  <c r="AV392" i="10"/>
  <c r="AV395" i="10"/>
  <c r="AV397" i="10"/>
  <c r="AV398" i="10"/>
  <c r="R397" i="10"/>
  <c r="AL397" i="10" s="1"/>
  <c r="AN397" i="10" s="1"/>
  <c r="M389" i="10"/>
  <c r="AW394" i="10"/>
  <c r="AV394" i="10"/>
  <c r="AV396" i="10"/>
  <c r="R398" i="10"/>
  <c r="AL398" i="10" s="1"/>
  <c r="AN398" i="10" s="1"/>
  <c r="R396" i="10"/>
  <c r="AL396" i="10" s="1"/>
  <c r="AN396" i="10" s="1"/>
  <c r="R395" i="10"/>
  <c r="AL395" i="10" s="1"/>
  <c r="AN395" i="10" s="1"/>
  <c r="R394" i="10"/>
  <c r="AL394" i="10" s="1"/>
  <c r="AN394" i="10" s="1"/>
  <c r="AJ396" i="10"/>
  <c r="AX396" i="10" s="1"/>
  <c r="AJ392" i="10"/>
  <c r="AX392" i="10" s="1"/>
  <c r="AZ392" i="10" s="1"/>
  <c r="AJ395" i="10"/>
  <c r="AX395" i="10" s="1"/>
  <c r="AV393" i="10"/>
  <c r="V392" i="10"/>
  <c r="AO392" i="10" s="1"/>
  <c r="W392" i="10"/>
  <c r="AP392" i="10" s="1"/>
  <c r="R390" i="10"/>
  <c r="AL390" i="10" s="1"/>
  <c r="AN390" i="10" s="1"/>
  <c r="AW392" i="10"/>
  <c r="W390" i="10"/>
  <c r="AP390" i="10" s="1"/>
  <c r="AR390" i="10" s="1"/>
  <c r="AV389" i="10"/>
  <c r="R392" i="10"/>
  <c r="AL392" i="10" s="1"/>
  <c r="AN392" i="10" s="1"/>
  <c r="W388" i="10"/>
  <c r="AP388" i="10" s="1"/>
  <c r="AR388" i="10" s="1"/>
  <c r="AJ393" i="10"/>
  <c r="AX393" i="10" s="1"/>
  <c r="R393" i="10"/>
  <c r="AL393" i="10" s="1"/>
  <c r="AN393" i="10" s="1"/>
  <c r="AV391" i="10"/>
  <c r="U389" i="10"/>
  <c r="W389" i="10" s="1"/>
  <c r="AP389" i="10" s="1"/>
  <c r="AR389" i="10" s="1"/>
  <c r="R389" i="10"/>
  <c r="AL389" i="10" s="1"/>
  <c r="AN389" i="10" s="1"/>
  <c r="AJ388" i="10"/>
  <c r="AX388" i="10" s="1"/>
  <c r="AZ388" i="10" s="1"/>
  <c r="AJ389" i="10"/>
  <c r="AX389" i="10" s="1"/>
  <c r="AZ389" i="10" s="1"/>
  <c r="AV388" i="10"/>
  <c r="R388" i="10"/>
  <c r="AL388" i="10" s="1"/>
  <c r="AN388" i="10" s="1"/>
  <c r="U370" i="10"/>
  <c r="V370" i="10" s="1"/>
  <c r="AO370" i="10" s="1"/>
  <c r="R391" i="10"/>
  <c r="AL391" i="10" s="1"/>
  <c r="AN391" i="10" s="1"/>
  <c r="AJ391" i="10"/>
  <c r="AX391" i="10" s="1"/>
  <c r="AJ390" i="10"/>
  <c r="AX390" i="10" s="1"/>
  <c r="AV380" i="10"/>
  <c r="R375" i="10"/>
  <c r="AL375" i="10" s="1"/>
  <c r="AN375" i="10" s="1"/>
  <c r="W375" i="10"/>
  <c r="AP375" i="10" s="1"/>
  <c r="AR375" i="10" s="1"/>
  <c r="W377" i="10"/>
  <c r="AP377" i="10" s="1"/>
  <c r="AR377" i="10" s="1"/>
  <c r="R377" i="10"/>
  <c r="AL377" i="10" s="1"/>
  <c r="AN377" i="10" s="1"/>
  <c r="AV383" i="10"/>
  <c r="W387" i="10"/>
  <c r="AP387" i="10" s="1"/>
  <c r="AR387" i="10" s="1"/>
  <c r="W376" i="10"/>
  <c r="AP376" i="10" s="1"/>
  <c r="AR376" i="10" s="1"/>
  <c r="AK377" i="10"/>
  <c r="R387" i="10"/>
  <c r="AL387" i="10" s="1"/>
  <c r="AN387" i="10" s="1"/>
  <c r="W374" i="10"/>
  <c r="AP374" i="10" s="1"/>
  <c r="AR374" i="10" s="1"/>
  <c r="V374" i="10"/>
  <c r="AO374" i="10" s="1"/>
  <c r="AV387" i="10"/>
  <c r="R376" i="10"/>
  <c r="AL376" i="10" s="1"/>
  <c r="AN376" i="10" s="1"/>
  <c r="M370" i="10"/>
  <c r="AJ375" i="10"/>
  <c r="AX375" i="10" s="1"/>
  <c r="AV386" i="10"/>
  <c r="W373" i="10"/>
  <c r="AP373" i="10" s="1"/>
  <c r="AR373" i="10" s="1"/>
  <c r="W378" i="10"/>
  <c r="AP378" i="10" s="1"/>
  <c r="AR378" i="10" s="1"/>
  <c r="R380" i="10"/>
  <c r="AL380" i="10" s="1"/>
  <c r="AN380" i="10" s="1"/>
  <c r="AJ384" i="10"/>
  <c r="AX384" i="10" s="1"/>
  <c r="AZ384" i="10" s="1"/>
  <c r="AJ385" i="10"/>
  <c r="AX385" i="10" s="1"/>
  <c r="W385" i="10"/>
  <c r="AP385" i="10" s="1"/>
  <c r="AR385" i="10" s="1"/>
  <c r="AJ387" i="10"/>
  <c r="AX387" i="10" s="1"/>
  <c r="AZ387" i="10" s="1"/>
  <c r="W383" i="10"/>
  <c r="AP383" i="10" s="1"/>
  <c r="AR383" i="10" s="1"/>
  <c r="V383" i="10"/>
  <c r="AO383" i="10" s="1"/>
  <c r="R383" i="10"/>
  <c r="AL383" i="10" s="1"/>
  <c r="AN383" i="10" s="1"/>
  <c r="AJ383" i="10"/>
  <c r="AX383" i="10" s="1"/>
  <c r="AZ383" i="10" s="1"/>
  <c r="AJ365" i="10"/>
  <c r="AX365" i="10" s="1"/>
  <c r="AZ365" i="10" s="1"/>
  <c r="AW365" i="10"/>
  <c r="V386" i="10"/>
  <c r="AO386" i="10" s="1"/>
  <c r="W386" i="10"/>
  <c r="AP386" i="10" s="1"/>
  <c r="AR386" i="10" s="1"/>
  <c r="AJ374" i="10"/>
  <c r="AX374" i="10" s="1"/>
  <c r="AZ374" i="10" s="1"/>
  <c r="AJ370" i="10"/>
  <c r="AX370" i="10" s="1"/>
  <c r="V373" i="10"/>
  <c r="AO373" i="10" s="1"/>
  <c r="U384" i="10"/>
  <c r="V384" i="10" s="1"/>
  <c r="AO384" i="10" s="1"/>
  <c r="AW385" i="10"/>
  <c r="AV385" i="10"/>
  <c r="W382" i="10"/>
  <c r="AP382" i="10" s="1"/>
  <c r="AR382" i="10" s="1"/>
  <c r="AJ386" i="10"/>
  <c r="AX386" i="10" s="1"/>
  <c r="W380" i="10"/>
  <c r="AP380" i="10" s="1"/>
  <c r="AR380" i="10" s="1"/>
  <c r="W381" i="10"/>
  <c r="AP381" i="10" s="1"/>
  <c r="AR381" i="10" s="1"/>
  <c r="AV384" i="10"/>
  <c r="V385" i="10"/>
  <c r="AO385" i="10" s="1"/>
  <c r="R386" i="10"/>
  <c r="AL386" i="10" s="1"/>
  <c r="AN386" i="10" s="1"/>
  <c r="R385" i="10"/>
  <c r="AL385" i="10" s="1"/>
  <c r="AN385" i="10" s="1"/>
  <c r="R384" i="10"/>
  <c r="AL384" i="10" s="1"/>
  <c r="AN384" i="10" s="1"/>
  <c r="M384" i="10"/>
  <c r="AV378" i="10"/>
  <c r="AV381" i="10"/>
  <c r="AV382" i="10"/>
  <c r="R381" i="10"/>
  <c r="AL381" i="10" s="1"/>
  <c r="AN381" i="10" s="1"/>
  <c r="R382" i="10"/>
  <c r="AL382" i="10" s="1"/>
  <c r="AN382" i="10" s="1"/>
  <c r="R378" i="10"/>
  <c r="AL378" i="10" s="1"/>
  <c r="AN378" i="10" s="1"/>
  <c r="W379" i="10"/>
  <c r="AP379" i="10" s="1"/>
  <c r="AR379" i="10" s="1"/>
  <c r="V379" i="10"/>
  <c r="AO379" i="10" s="1"/>
  <c r="R379" i="10"/>
  <c r="AL379" i="10" s="1"/>
  <c r="AN379" i="10" s="1"/>
  <c r="AJ379" i="10"/>
  <c r="AX379" i="10" s="1"/>
  <c r="AZ379" i="10" s="1"/>
  <c r="AJ380" i="10"/>
  <c r="AX380" i="10" s="1"/>
  <c r="AZ380" i="10" s="1"/>
  <c r="AJ377" i="10"/>
  <c r="AX377" i="10" s="1"/>
  <c r="AJ378" i="10"/>
  <c r="AX378" i="10" s="1"/>
  <c r="AZ378" i="10" s="1"/>
  <c r="AJ382" i="10"/>
  <c r="AX382" i="10" s="1"/>
  <c r="AJ381" i="10"/>
  <c r="AX381" i="10" s="1"/>
  <c r="AZ381" i="10" s="1"/>
  <c r="AV379" i="10"/>
  <c r="AV372" i="10"/>
  <c r="AV377" i="10"/>
  <c r="AV373" i="10"/>
  <c r="AV376" i="10"/>
  <c r="AV374" i="10"/>
  <c r="AV375" i="10"/>
  <c r="AJ376" i="10"/>
  <c r="AX376" i="10" s="1"/>
  <c r="R374" i="10"/>
  <c r="AL374" i="10" s="1"/>
  <c r="AN374" i="10" s="1"/>
  <c r="AW375" i="10"/>
  <c r="AV371" i="10"/>
  <c r="V371" i="10"/>
  <c r="AO371" i="10" s="1"/>
  <c r="W371" i="10"/>
  <c r="AP371" i="10" s="1"/>
  <c r="AR371" i="10" s="1"/>
  <c r="W372" i="10"/>
  <c r="AP372" i="10" s="1"/>
  <c r="AR372" i="10" s="1"/>
  <c r="AJ373" i="10"/>
  <c r="AX373" i="10" s="1"/>
  <c r="R373" i="10"/>
  <c r="AL373" i="10" s="1"/>
  <c r="AN373" i="10" s="1"/>
  <c r="R372" i="10"/>
  <c r="AL372" i="10" s="1"/>
  <c r="AN372" i="10" s="1"/>
  <c r="R371" i="10"/>
  <c r="AL371" i="10" s="1"/>
  <c r="AN371" i="10" s="1"/>
  <c r="R370" i="10"/>
  <c r="AL370" i="10" s="1"/>
  <c r="AN370" i="10" s="1"/>
  <c r="AJ372" i="10"/>
  <c r="AX372" i="10" s="1"/>
  <c r="AZ372" i="10" s="1"/>
  <c r="AJ371" i="10"/>
  <c r="AX371" i="10" s="1"/>
  <c r="AV370" i="10"/>
  <c r="AV365" i="10"/>
  <c r="W365" i="10"/>
  <c r="AP365" i="10" s="1"/>
  <c r="V365" i="10"/>
  <c r="AO365" i="10" s="1"/>
  <c r="R365" i="10"/>
  <c r="AL365" i="10" s="1"/>
  <c r="AN365" i="10" s="1"/>
  <c r="E369" i="10"/>
  <c r="H369" i="10"/>
  <c r="BH369" i="10" s="1"/>
  <c r="I369" i="10"/>
  <c r="J369" i="10"/>
  <c r="K369" i="10"/>
  <c r="L369" i="10"/>
  <c r="M369" i="10" s="1"/>
  <c r="P369" i="10"/>
  <c r="U369" i="10" s="1"/>
  <c r="Q369" i="10"/>
  <c r="AK369" i="10" s="1"/>
  <c r="Z369" i="10"/>
  <c r="AA369" i="10"/>
  <c r="AS369" i="10" s="1"/>
  <c r="AB369" i="10"/>
  <c r="AT369" i="10" s="1"/>
  <c r="AH369" i="10"/>
  <c r="AI369" i="10" s="1"/>
  <c r="AW369" i="10" s="1"/>
  <c r="AM369" i="10"/>
  <c r="AQ369" i="10"/>
  <c r="AU369" i="10"/>
  <c r="AY369" i="10"/>
  <c r="BG369" i="10" s="1"/>
  <c r="BF369" i="10"/>
  <c r="BJ369" i="10"/>
  <c r="E368" i="10"/>
  <c r="H368" i="10"/>
  <c r="BH368" i="10" s="1"/>
  <c r="I368" i="10"/>
  <c r="J368" i="10"/>
  <c r="K368" i="10"/>
  <c r="L368" i="10"/>
  <c r="M368" i="10" s="1"/>
  <c r="P368" i="10"/>
  <c r="U368" i="10" s="1"/>
  <c r="V368" i="10" s="1"/>
  <c r="AO368" i="10" s="1"/>
  <c r="Q368" i="10"/>
  <c r="AK368" i="10" s="1"/>
  <c r="Z368" i="10"/>
  <c r="AA368" i="10"/>
  <c r="AS368" i="10" s="1"/>
  <c r="AB368" i="10"/>
  <c r="AT368" i="10" s="1"/>
  <c r="AH368" i="10"/>
  <c r="AI368" i="10" s="1"/>
  <c r="AW368" i="10" s="1"/>
  <c r="AM368" i="10"/>
  <c r="AQ368" i="10"/>
  <c r="AU368" i="10"/>
  <c r="AY368" i="10"/>
  <c r="BG368" i="10" s="1"/>
  <c r="BF368" i="10"/>
  <c r="BJ368" i="10"/>
  <c r="E367" i="10"/>
  <c r="H367" i="10"/>
  <c r="BH367" i="10" s="1"/>
  <c r="I367" i="10"/>
  <c r="J367" i="10"/>
  <c r="K367" i="10"/>
  <c r="L367" i="10"/>
  <c r="M367" i="10" s="1"/>
  <c r="P367" i="10"/>
  <c r="U367" i="10" s="1"/>
  <c r="V367" i="10" s="1"/>
  <c r="AO367" i="10" s="1"/>
  <c r="Q367" i="10"/>
  <c r="AK367" i="10" s="1"/>
  <c r="Z367" i="10"/>
  <c r="AA367" i="10"/>
  <c r="AS367" i="10" s="1"/>
  <c r="AB367" i="10"/>
  <c r="AT367" i="10" s="1"/>
  <c r="AH367" i="10"/>
  <c r="AI367" i="10" s="1"/>
  <c r="AW367" i="10" s="1"/>
  <c r="AM367" i="10"/>
  <c r="AQ367" i="10"/>
  <c r="AU367" i="10"/>
  <c r="AY367" i="10"/>
  <c r="BG367" i="10" s="1"/>
  <c r="BF367" i="10"/>
  <c r="BJ367" i="10"/>
  <c r="E366" i="10"/>
  <c r="H366" i="10"/>
  <c r="BH366" i="10" s="1"/>
  <c r="I366" i="10"/>
  <c r="J366" i="10"/>
  <c r="K366" i="10"/>
  <c r="L366" i="10"/>
  <c r="M366" i="10" s="1"/>
  <c r="P366" i="10"/>
  <c r="U366" i="10" s="1"/>
  <c r="V366" i="10" s="1"/>
  <c r="AO366" i="10" s="1"/>
  <c r="Q366" i="10"/>
  <c r="AK366" i="10" s="1"/>
  <c r="Z366" i="10"/>
  <c r="AA366" i="10"/>
  <c r="AS366" i="10" s="1"/>
  <c r="AB366" i="10"/>
  <c r="AT366" i="10" s="1"/>
  <c r="AH366" i="10"/>
  <c r="AI366" i="10" s="1"/>
  <c r="AW366" i="10" s="1"/>
  <c r="AM366" i="10"/>
  <c r="AQ366" i="10"/>
  <c r="AU366" i="10"/>
  <c r="AY366" i="10"/>
  <c r="BG366" i="10" s="1"/>
  <c r="BF366" i="10"/>
  <c r="BJ366" i="10"/>
  <c r="E364" i="10"/>
  <c r="H364" i="10"/>
  <c r="BH364" i="10" s="1"/>
  <c r="I364" i="10"/>
  <c r="J364" i="10"/>
  <c r="K364" i="10"/>
  <c r="L364" i="10"/>
  <c r="M364" i="10" s="1"/>
  <c r="P364" i="10"/>
  <c r="U364" i="10" s="1"/>
  <c r="V364" i="10" s="1"/>
  <c r="AO364" i="10" s="1"/>
  <c r="Q364" i="10"/>
  <c r="AK364" i="10" s="1"/>
  <c r="Z364" i="10"/>
  <c r="AA364" i="10"/>
  <c r="AS364" i="10" s="1"/>
  <c r="AB364" i="10"/>
  <c r="AT364" i="10" s="1"/>
  <c r="AH364" i="10"/>
  <c r="AI364" i="10" s="1"/>
  <c r="AW364" i="10" s="1"/>
  <c r="AM364" i="10"/>
  <c r="AQ364" i="10"/>
  <c r="AU364" i="10"/>
  <c r="AY364" i="10"/>
  <c r="BG364" i="10" s="1"/>
  <c r="BF364" i="10"/>
  <c r="BJ364" i="10"/>
  <c r="AD359" i="10"/>
  <c r="AD352" i="10"/>
  <c r="BE404" i="10" l="1"/>
  <c r="BM404" i="10"/>
  <c r="BE399" i="10"/>
  <c r="BM399" i="10"/>
  <c r="BB393" i="10"/>
  <c r="BD393" i="10" s="1"/>
  <c r="BB395" i="10"/>
  <c r="BD395" i="10" s="1"/>
  <c r="BB396" i="10"/>
  <c r="BD396" i="10" s="1"/>
  <c r="BB391" i="10"/>
  <c r="BD391" i="10" s="1"/>
  <c r="BB398" i="10"/>
  <c r="BD398" i="10" s="1"/>
  <c r="BB394" i="10"/>
  <c r="BD394" i="10" s="1"/>
  <c r="BB397" i="10"/>
  <c r="BD397" i="10" s="1"/>
  <c r="BB376" i="10"/>
  <c r="BD376" i="10" s="1"/>
  <c r="BA397" i="10"/>
  <c r="BA393" i="10"/>
  <c r="BA395" i="10"/>
  <c r="AZ397" i="10"/>
  <c r="BA398" i="10"/>
  <c r="BA396" i="10"/>
  <c r="BA394" i="10"/>
  <c r="BB392" i="10"/>
  <c r="BD392" i="10" s="1"/>
  <c r="V389" i="10"/>
  <c r="AO389" i="10" s="1"/>
  <c r="AZ396" i="10"/>
  <c r="AZ393" i="10"/>
  <c r="BA390" i="10"/>
  <c r="AR392" i="10"/>
  <c r="BA392" i="10" s="1"/>
  <c r="AZ395" i="10"/>
  <c r="BB390" i="10"/>
  <c r="BD390" i="10" s="1"/>
  <c r="BB388" i="10"/>
  <c r="BD388" i="10" s="1"/>
  <c r="W370" i="10"/>
  <c r="AP370" i="10" s="1"/>
  <c r="AR370" i="10" s="1"/>
  <c r="BA370" i="10" s="1"/>
  <c r="AZ391" i="10"/>
  <c r="BA389" i="10"/>
  <c r="BA391" i="10"/>
  <c r="AZ390" i="10"/>
  <c r="BB389" i="10"/>
  <c r="BD389" i="10" s="1"/>
  <c r="BA388" i="10"/>
  <c r="BB365" i="10"/>
  <c r="BD365" i="10" s="1"/>
  <c r="BB374" i="10"/>
  <c r="BD374" i="10" s="1"/>
  <c r="BB377" i="10"/>
  <c r="BD377" i="10" s="1"/>
  <c r="BB385" i="10"/>
  <c r="BD385" i="10" s="1"/>
  <c r="BB375" i="10"/>
  <c r="BD375" i="10" s="1"/>
  <c r="BB373" i="10"/>
  <c r="BD373" i="10" s="1"/>
  <c r="BA378" i="10"/>
  <c r="AZ370" i="10"/>
  <c r="BB382" i="10"/>
  <c r="BD382" i="10" s="1"/>
  <c r="AZ375" i="10"/>
  <c r="BA386" i="10"/>
  <c r="BB386" i="10"/>
  <c r="BD386" i="10" s="1"/>
  <c r="BB387" i="10"/>
  <c r="BD387" i="10" s="1"/>
  <c r="BB383" i="10"/>
  <c r="BD383" i="10" s="1"/>
  <c r="AZ385" i="10"/>
  <c r="BA387" i="10"/>
  <c r="BA383" i="10"/>
  <c r="W368" i="10"/>
  <c r="AP368" i="10" s="1"/>
  <c r="AR368" i="10" s="1"/>
  <c r="AZ386" i="10"/>
  <c r="W384" i="10"/>
  <c r="AP384" i="10" s="1"/>
  <c r="BA385" i="10"/>
  <c r="BA379" i="10"/>
  <c r="BA382" i="10"/>
  <c r="BA376" i="10"/>
  <c r="BB380" i="10"/>
  <c r="BD380" i="10" s="1"/>
  <c r="BA381" i="10"/>
  <c r="BB381" i="10"/>
  <c r="BD381" i="10" s="1"/>
  <c r="AZ382" i="10"/>
  <c r="BB379" i="10"/>
  <c r="BD379" i="10" s="1"/>
  <c r="AZ377" i="10"/>
  <c r="BB378" i="10"/>
  <c r="BD378" i="10" s="1"/>
  <c r="BA380" i="10"/>
  <c r="BA377" i="10"/>
  <c r="BA375" i="10"/>
  <c r="BA373" i="10"/>
  <c r="AZ373" i="10"/>
  <c r="AZ376" i="10"/>
  <c r="BA374" i="10"/>
  <c r="BB371" i="10"/>
  <c r="BD371" i="10" s="1"/>
  <c r="BA371" i="10"/>
  <c r="BA372" i="10"/>
  <c r="BB372" i="10"/>
  <c r="BD372" i="10" s="1"/>
  <c r="AZ371" i="10"/>
  <c r="AV366" i="10"/>
  <c r="AV369" i="10"/>
  <c r="AV368" i="10"/>
  <c r="W369" i="10"/>
  <c r="AP369" i="10" s="1"/>
  <c r="AR369" i="10" s="1"/>
  <c r="AR365" i="10"/>
  <c r="BA365" i="10" s="1"/>
  <c r="AJ368" i="10"/>
  <c r="AX368" i="10" s="1"/>
  <c r="AZ368" i="10" s="1"/>
  <c r="V369" i="10"/>
  <c r="AO369" i="10" s="1"/>
  <c r="R364" i="10"/>
  <c r="AL364" i="10" s="1"/>
  <c r="AN364" i="10" s="1"/>
  <c r="R368" i="10"/>
  <c r="AL368" i="10" s="1"/>
  <c r="AN368" i="10" s="1"/>
  <c r="AJ369" i="10"/>
  <c r="AX369" i="10" s="1"/>
  <c r="AZ369" i="10" s="1"/>
  <c r="AJ367" i="10"/>
  <c r="AX367" i="10" s="1"/>
  <c r="W366" i="10"/>
  <c r="AP366" i="10" s="1"/>
  <c r="AR366" i="10" s="1"/>
  <c r="R369" i="10"/>
  <c r="AL369" i="10" s="1"/>
  <c r="AN369" i="10" s="1"/>
  <c r="AV364" i="10"/>
  <c r="W364" i="10"/>
  <c r="AP364" i="10" s="1"/>
  <c r="AR364" i="10" s="1"/>
  <c r="W367" i="10"/>
  <c r="AP367" i="10" s="1"/>
  <c r="AR367" i="10" s="1"/>
  <c r="R367" i="10"/>
  <c r="AL367" i="10" s="1"/>
  <c r="AN367" i="10" s="1"/>
  <c r="AJ366" i="10"/>
  <c r="AX366" i="10" s="1"/>
  <c r="AJ364" i="10"/>
  <c r="AX364" i="10" s="1"/>
  <c r="AZ364" i="10" s="1"/>
  <c r="AV367" i="10"/>
  <c r="R366" i="10"/>
  <c r="AL366" i="10" s="1"/>
  <c r="AN366" i="10" s="1"/>
  <c r="S363" i="10"/>
  <c r="L363" i="10" s="1"/>
  <c r="M363" i="10" s="1"/>
  <c r="G172" i="14"/>
  <c r="H172" i="14"/>
  <c r="E363" i="10"/>
  <c r="H363" i="10"/>
  <c r="BH363" i="10" s="1"/>
  <c r="I363" i="10"/>
  <c r="J363" i="10"/>
  <c r="K363" i="10"/>
  <c r="P363" i="10"/>
  <c r="U363" i="10" s="1"/>
  <c r="V363" i="10" s="1"/>
  <c r="AO363" i="10" s="1"/>
  <c r="Q363" i="10"/>
  <c r="AK363" i="10" s="1"/>
  <c r="Z363" i="10"/>
  <c r="AA363" i="10"/>
  <c r="AS363" i="10" s="1"/>
  <c r="AB363" i="10"/>
  <c r="AT363" i="10" s="1"/>
  <c r="AH363" i="10"/>
  <c r="AI363" i="10" s="1"/>
  <c r="AM363" i="10"/>
  <c r="AQ363" i="10"/>
  <c r="AU363" i="10"/>
  <c r="AY363" i="10"/>
  <c r="BG363" i="10" s="1"/>
  <c r="BF363" i="10"/>
  <c r="BJ363" i="10"/>
  <c r="E362" i="10"/>
  <c r="H362" i="10"/>
  <c r="BH362" i="10" s="1"/>
  <c r="I362" i="10"/>
  <c r="J362" i="10"/>
  <c r="K362" i="10"/>
  <c r="L362" i="10"/>
  <c r="M362" i="10" s="1"/>
  <c r="P362" i="10"/>
  <c r="U362" i="10" s="1"/>
  <c r="V362" i="10" s="1"/>
  <c r="AO362" i="10" s="1"/>
  <c r="Q362" i="10"/>
  <c r="AK362" i="10" s="1"/>
  <c r="Z362" i="10"/>
  <c r="AA362" i="10"/>
  <c r="AS362" i="10" s="1"/>
  <c r="AB362" i="10"/>
  <c r="AT362" i="10" s="1"/>
  <c r="AH362" i="10"/>
  <c r="AI362" i="10" s="1"/>
  <c r="AM362" i="10"/>
  <c r="AQ362" i="10"/>
  <c r="AU362" i="10"/>
  <c r="AY362" i="10"/>
  <c r="BG362" i="10" s="1"/>
  <c r="BF362" i="10"/>
  <c r="BJ362" i="10"/>
  <c r="E361" i="10"/>
  <c r="H361" i="10"/>
  <c r="BH361" i="10" s="1"/>
  <c r="I361" i="10"/>
  <c r="J361" i="10"/>
  <c r="K361" i="10"/>
  <c r="L361" i="10"/>
  <c r="M361" i="10" s="1"/>
  <c r="P361" i="10"/>
  <c r="U361" i="10" s="1"/>
  <c r="Q361" i="10"/>
  <c r="AK361" i="10" s="1"/>
  <c r="Z361" i="10"/>
  <c r="AA361" i="10"/>
  <c r="AS361" i="10" s="1"/>
  <c r="AB361" i="10"/>
  <c r="AT361" i="10" s="1"/>
  <c r="AH361" i="10"/>
  <c r="AI361" i="10" s="1"/>
  <c r="AM361" i="10"/>
  <c r="AQ361" i="10"/>
  <c r="AU361" i="10"/>
  <c r="AY361" i="10"/>
  <c r="BG361" i="10" s="1"/>
  <c r="BF361" i="10"/>
  <c r="BJ361" i="10"/>
  <c r="E360" i="10"/>
  <c r="H360" i="10"/>
  <c r="BH360" i="10" s="1"/>
  <c r="I360" i="10"/>
  <c r="J360" i="10"/>
  <c r="K360" i="10"/>
  <c r="L360" i="10"/>
  <c r="M360" i="10" s="1"/>
  <c r="P360" i="10"/>
  <c r="U360" i="10" s="1"/>
  <c r="V360" i="10" s="1"/>
  <c r="AO360" i="10" s="1"/>
  <c r="Q360" i="10"/>
  <c r="AK360" i="10" s="1"/>
  <c r="Z360" i="10"/>
  <c r="AA360" i="10"/>
  <c r="AS360" i="10" s="1"/>
  <c r="AB360" i="10"/>
  <c r="AT360" i="10" s="1"/>
  <c r="AH360" i="10"/>
  <c r="AI360" i="10" s="1"/>
  <c r="AW360" i="10" s="1"/>
  <c r="AM360" i="10"/>
  <c r="AQ360" i="10"/>
  <c r="AU360" i="10"/>
  <c r="AY360" i="10"/>
  <c r="BG360" i="10" s="1"/>
  <c r="BF360" i="10"/>
  <c r="BJ360" i="10"/>
  <c r="E359" i="10"/>
  <c r="H359" i="10"/>
  <c r="BH359" i="10" s="1"/>
  <c r="I359" i="10"/>
  <c r="J359" i="10"/>
  <c r="K359" i="10"/>
  <c r="L359" i="10"/>
  <c r="M359" i="10" s="1"/>
  <c r="P359" i="10"/>
  <c r="U359" i="10" s="1"/>
  <c r="V359" i="10" s="1"/>
  <c r="AO359" i="10" s="1"/>
  <c r="Q359" i="10"/>
  <c r="AK359" i="10" s="1"/>
  <c r="Z359" i="10"/>
  <c r="AA359" i="10"/>
  <c r="AS359" i="10" s="1"/>
  <c r="AB359" i="10"/>
  <c r="AT359" i="10" s="1"/>
  <c r="AH359" i="10"/>
  <c r="AI359" i="10" s="1"/>
  <c r="AM359" i="10"/>
  <c r="AQ359" i="10"/>
  <c r="AU359" i="10"/>
  <c r="AY359" i="10"/>
  <c r="BG359" i="10" s="1"/>
  <c r="BF359" i="10"/>
  <c r="BJ359" i="10"/>
  <c r="E358" i="10"/>
  <c r="H358" i="10"/>
  <c r="BH358" i="10" s="1"/>
  <c r="I358" i="10"/>
  <c r="J358" i="10"/>
  <c r="K358" i="10"/>
  <c r="L358" i="10"/>
  <c r="M358" i="10" s="1"/>
  <c r="P358" i="10"/>
  <c r="U358" i="10" s="1"/>
  <c r="V358" i="10" s="1"/>
  <c r="AO358" i="10" s="1"/>
  <c r="Q358" i="10"/>
  <c r="Z358" i="10"/>
  <c r="AA358" i="10"/>
  <c r="AS358" i="10" s="1"/>
  <c r="AB358" i="10"/>
  <c r="AT358" i="10" s="1"/>
  <c r="AH358" i="10"/>
  <c r="AI358" i="10"/>
  <c r="AW358" i="10" s="1"/>
  <c r="AK358" i="10"/>
  <c r="AM358" i="10"/>
  <c r="AQ358" i="10"/>
  <c r="AU358" i="10"/>
  <c r="AY358" i="10"/>
  <c r="BG358" i="10" s="1"/>
  <c r="BF358" i="10"/>
  <c r="BJ358" i="10"/>
  <c r="E357" i="10"/>
  <c r="H357" i="10"/>
  <c r="BH357" i="10" s="1"/>
  <c r="I357" i="10"/>
  <c r="J357" i="10"/>
  <c r="K357" i="10"/>
  <c r="L357" i="10"/>
  <c r="M357" i="10"/>
  <c r="P357" i="10"/>
  <c r="U357" i="10" s="1"/>
  <c r="V357" i="10" s="1"/>
  <c r="AO357" i="10" s="1"/>
  <c r="Q357" i="10"/>
  <c r="AK357" i="10" s="1"/>
  <c r="Z357" i="10"/>
  <c r="AA357" i="10"/>
  <c r="AS357" i="10" s="1"/>
  <c r="AB357" i="10"/>
  <c r="AT357" i="10" s="1"/>
  <c r="AH357" i="10"/>
  <c r="AI357" i="10"/>
  <c r="AW357" i="10" s="1"/>
  <c r="AM357" i="10"/>
  <c r="AQ357" i="10"/>
  <c r="AU357" i="10"/>
  <c r="AY357" i="10"/>
  <c r="BG357" i="10" s="1"/>
  <c r="BF357" i="10"/>
  <c r="BJ357" i="10"/>
  <c r="D161" i="14"/>
  <c r="E356" i="10"/>
  <c r="H356" i="10"/>
  <c r="BH356" i="10" s="1"/>
  <c r="I356" i="10"/>
  <c r="J356" i="10"/>
  <c r="K356" i="10"/>
  <c r="L356" i="10"/>
  <c r="M356" i="10" s="1"/>
  <c r="P356" i="10"/>
  <c r="U356" i="10" s="1"/>
  <c r="V356" i="10" s="1"/>
  <c r="AO356" i="10" s="1"/>
  <c r="Q356" i="10"/>
  <c r="AK356" i="10" s="1"/>
  <c r="Z356" i="10"/>
  <c r="AA356" i="10"/>
  <c r="AS356" i="10" s="1"/>
  <c r="AB356" i="10"/>
  <c r="AT356" i="10" s="1"/>
  <c r="AH356" i="10"/>
  <c r="AI356" i="10" s="1"/>
  <c r="AW356" i="10" s="1"/>
  <c r="AM356" i="10"/>
  <c r="AQ356" i="10"/>
  <c r="AU356" i="10"/>
  <c r="AY356" i="10"/>
  <c r="BG356" i="10" s="1"/>
  <c r="BF356" i="10"/>
  <c r="BJ356" i="10"/>
  <c r="E355" i="10"/>
  <c r="H355" i="10"/>
  <c r="BH355" i="10" s="1"/>
  <c r="I355" i="10"/>
  <c r="J355" i="10"/>
  <c r="K355" i="10"/>
  <c r="L355" i="10"/>
  <c r="M355" i="10" s="1"/>
  <c r="P355" i="10"/>
  <c r="U355" i="10" s="1"/>
  <c r="V355" i="10" s="1"/>
  <c r="AO355" i="10" s="1"/>
  <c r="Q355" i="10"/>
  <c r="AK355" i="10" s="1"/>
  <c r="Z355" i="10"/>
  <c r="AA355" i="10"/>
  <c r="AS355" i="10" s="1"/>
  <c r="AB355" i="10"/>
  <c r="AT355" i="10" s="1"/>
  <c r="AH355" i="10"/>
  <c r="AI355" i="10" s="1"/>
  <c r="AW355" i="10" s="1"/>
  <c r="AM355" i="10"/>
  <c r="AQ355" i="10"/>
  <c r="AU355" i="10"/>
  <c r="AY355" i="10"/>
  <c r="BG355" i="10" s="1"/>
  <c r="BF355" i="10"/>
  <c r="BJ355" i="10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K63" i="5"/>
  <c r="K67" i="5"/>
  <c r="K70" i="5"/>
  <c r="K74" i="5"/>
  <c r="K78" i="5"/>
  <c r="K83" i="5"/>
  <c r="K87" i="5"/>
  <c r="K93" i="5"/>
  <c r="K99" i="5"/>
  <c r="K107" i="5"/>
  <c r="K108" i="5"/>
  <c r="K113" i="5"/>
  <c r="K118" i="5"/>
  <c r="K130" i="5"/>
  <c r="K149" i="5"/>
  <c r="K155" i="5"/>
  <c r="K157" i="5"/>
  <c r="K162" i="5"/>
  <c r="K170" i="5"/>
  <c r="K177" i="5"/>
  <c r="K181" i="5"/>
  <c r="K187" i="5"/>
  <c r="K192" i="5"/>
  <c r="K197" i="5"/>
  <c r="K209" i="5"/>
  <c r="K215" i="5"/>
  <c r="K230" i="5"/>
  <c r="K231" i="5"/>
  <c r="M63" i="5"/>
  <c r="M67" i="5"/>
  <c r="M70" i="5"/>
  <c r="M74" i="5"/>
  <c r="M78" i="5"/>
  <c r="M83" i="5"/>
  <c r="M87" i="5"/>
  <c r="M93" i="5"/>
  <c r="M99" i="5"/>
  <c r="M107" i="5"/>
  <c r="M108" i="5"/>
  <c r="M113" i="5"/>
  <c r="M118" i="5"/>
  <c r="M130" i="5"/>
  <c r="M149" i="5"/>
  <c r="M155" i="5"/>
  <c r="M157" i="5"/>
  <c r="M162" i="5"/>
  <c r="M170" i="5"/>
  <c r="M177" i="5"/>
  <c r="M181" i="5"/>
  <c r="M187" i="5"/>
  <c r="M192" i="5"/>
  <c r="M197" i="5"/>
  <c r="M209" i="5"/>
  <c r="M215" i="5"/>
  <c r="M230" i="5"/>
  <c r="M231" i="5"/>
  <c r="B49" i="5"/>
  <c r="B50" i="5"/>
  <c r="B51" i="5"/>
  <c r="B52" i="5"/>
  <c r="B53" i="5"/>
  <c r="B54" i="5"/>
  <c r="B55" i="5"/>
  <c r="B56" i="5"/>
  <c r="B57" i="5"/>
  <c r="B58" i="5"/>
  <c r="C49" i="5"/>
  <c r="C50" i="5"/>
  <c r="C51" i="5"/>
  <c r="C52" i="5"/>
  <c r="C53" i="5"/>
  <c r="C54" i="5"/>
  <c r="C55" i="5"/>
  <c r="C56" i="5"/>
  <c r="C57" i="5"/>
  <c r="C58" i="5"/>
  <c r="D49" i="5"/>
  <c r="D50" i="5"/>
  <c r="D51" i="5"/>
  <c r="D52" i="5"/>
  <c r="D53" i="5"/>
  <c r="D54" i="5"/>
  <c r="D55" i="5"/>
  <c r="D56" i="5"/>
  <c r="D57" i="5"/>
  <c r="D58" i="5"/>
  <c r="E49" i="5"/>
  <c r="E50" i="5"/>
  <c r="E51" i="5"/>
  <c r="E52" i="5"/>
  <c r="E53" i="5"/>
  <c r="E54" i="5"/>
  <c r="E55" i="5"/>
  <c r="E56" i="5"/>
  <c r="E57" i="5"/>
  <c r="E58" i="5"/>
  <c r="F49" i="5"/>
  <c r="F50" i="5"/>
  <c r="F51" i="5"/>
  <c r="F52" i="5"/>
  <c r="F53" i="5"/>
  <c r="F54" i="5"/>
  <c r="F55" i="5"/>
  <c r="F56" i="5"/>
  <c r="F57" i="5"/>
  <c r="F58" i="5"/>
  <c r="G49" i="5"/>
  <c r="G50" i="5"/>
  <c r="G51" i="5"/>
  <c r="G52" i="5"/>
  <c r="G53" i="5"/>
  <c r="G54" i="5"/>
  <c r="G55" i="5"/>
  <c r="G56" i="5"/>
  <c r="G57" i="5"/>
  <c r="G58" i="5"/>
  <c r="H49" i="5"/>
  <c r="H50" i="5"/>
  <c r="H51" i="5"/>
  <c r="H52" i="5"/>
  <c r="H53" i="5"/>
  <c r="H54" i="5"/>
  <c r="H55" i="5"/>
  <c r="H56" i="5"/>
  <c r="H57" i="5"/>
  <c r="H58" i="5"/>
  <c r="I49" i="5"/>
  <c r="I50" i="5"/>
  <c r="I51" i="5"/>
  <c r="I52" i="5"/>
  <c r="I53" i="5"/>
  <c r="I54" i="5"/>
  <c r="I55" i="5"/>
  <c r="I56" i="5"/>
  <c r="I57" i="5"/>
  <c r="I58" i="5"/>
  <c r="J49" i="5"/>
  <c r="J50" i="5"/>
  <c r="J51" i="5"/>
  <c r="J52" i="5"/>
  <c r="J53" i="5"/>
  <c r="J54" i="5"/>
  <c r="J55" i="5"/>
  <c r="J56" i="5"/>
  <c r="J57" i="5"/>
  <c r="J58" i="5"/>
  <c r="K49" i="5"/>
  <c r="K52" i="5"/>
  <c r="K58" i="5"/>
  <c r="M49" i="5"/>
  <c r="M52" i="5"/>
  <c r="M58" i="5"/>
  <c r="H164" i="14"/>
  <c r="S352" i="10"/>
  <c r="L352" i="10" s="1"/>
  <c r="E354" i="10"/>
  <c r="H354" i="10"/>
  <c r="BH354" i="10" s="1"/>
  <c r="I354" i="10"/>
  <c r="J354" i="10"/>
  <c r="K354" i="10"/>
  <c r="L354" i="10"/>
  <c r="M354" i="10" s="1"/>
  <c r="P354" i="10"/>
  <c r="U354" i="10" s="1"/>
  <c r="V354" i="10" s="1"/>
  <c r="AO354" i="10" s="1"/>
  <c r="Q354" i="10"/>
  <c r="AK354" i="10" s="1"/>
  <c r="Z354" i="10"/>
  <c r="AA354" i="10"/>
  <c r="AS354" i="10" s="1"/>
  <c r="AB354" i="10"/>
  <c r="AT354" i="10" s="1"/>
  <c r="AH354" i="10"/>
  <c r="AI354" i="10" s="1"/>
  <c r="AM354" i="10"/>
  <c r="AQ354" i="10"/>
  <c r="AU354" i="10"/>
  <c r="AY354" i="10"/>
  <c r="BG354" i="10" s="1"/>
  <c r="BF354" i="10"/>
  <c r="BJ354" i="10"/>
  <c r="F352" i="10"/>
  <c r="E353" i="10"/>
  <c r="H353" i="10"/>
  <c r="BH353" i="10" s="1"/>
  <c r="I353" i="10"/>
  <c r="J353" i="10"/>
  <c r="K353" i="10"/>
  <c r="L353" i="10"/>
  <c r="M353" i="10" s="1"/>
  <c r="P353" i="10"/>
  <c r="U353" i="10" s="1"/>
  <c r="V353" i="10" s="1"/>
  <c r="AO353" i="10" s="1"/>
  <c r="Q353" i="10"/>
  <c r="AK353" i="10" s="1"/>
  <c r="Z353" i="10"/>
  <c r="AA353" i="10"/>
  <c r="AS353" i="10" s="1"/>
  <c r="AB353" i="10"/>
  <c r="AT353" i="10" s="1"/>
  <c r="AH353" i="10"/>
  <c r="AI353" i="10" s="1"/>
  <c r="AW353" i="10" s="1"/>
  <c r="AM353" i="10"/>
  <c r="AQ353" i="10"/>
  <c r="AU353" i="10"/>
  <c r="AY353" i="10"/>
  <c r="BG353" i="10" s="1"/>
  <c r="BF353" i="10"/>
  <c r="BJ353" i="10"/>
  <c r="E352" i="10"/>
  <c r="H352" i="10"/>
  <c r="BH352" i="10" s="1"/>
  <c r="I352" i="10"/>
  <c r="J352" i="10"/>
  <c r="K352" i="10"/>
  <c r="P352" i="10"/>
  <c r="Q352" i="10"/>
  <c r="AK352" i="10" s="1"/>
  <c r="Z352" i="10"/>
  <c r="AA352" i="10"/>
  <c r="AS352" i="10" s="1"/>
  <c r="AB352" i="10"/>
  <c r="AT352" i="10" s="1"/>
  <c r="AH352" i="10"/>
  <c r="AI352" i="10" s="1"/>
  <c r="AW352" i="10" s="1"/>
  <c r="AM352" i="10"/>
  <c r="AQ352" i="10"/>
  <c r="AU352" i="10"/>
  <c r="AY352" i="10"/>
  <c r="BG352" i="10" s="1"/>
  <c r="BF352" i="10"/>
  <c r="BJ352" i="10"/>
  <c r="S347" i="10"/>
  <c r="D151" i="14"/>
  <c r="BE378" i="10" l="1"/>
  <c r="BM378" i="10"/>
  <c r="BE380" i="10"/>
  <c r="BM380" i="10"/>
  <c r="BE387" i="10"/>
  <c r="BM387" i="10"/>
  <c r="BE365" i="10"/>
  <c r="BM365" i="10"/>
  <c r="BE376" i="10"/>
  <c r="BM376" i="10"/>
  <c r="BE395" i="10"/>
  <c r="BM395" i="10"/>
  <c r="BE385" i="10"/>
  <c r="BM385" i="10"/>
  <c r="BE383" i="10"/>
  <c r="BM383" i="10"/>
  <c r="BE372" i="10"/>
  <c r="BM372" i="10"/>
  <c r="BE386" i="10"/>
  <c r="BM386" i="10"/>
  <c r="BE373" i="10"/>
  <c r="BM373" i="10"/>
  <c r="BE397" i="10"/>
  <c r="BM397" i="10"/>
  <c r="BE393" i="10"/>
  <c r="BM393" i="10"/>
  <c r="BE390" i="10"/>
  <c r="BM390" i="10"/>
  <c r="BE398" i="10"/>
  <c r="BM398" i="10"/>
  <c r="BE374" i="10"/>
  <c r="BM374" i="10"/>
  <c r="BE396" i="10"/>
  <c r="BM396" i="10"/>
  <c r="BE379" i="10"/>
  <c r="BM379" i="10"/>
  <c r="BE375" i="10"/>
  <c r="BM375" i="10"/>
  <c r="BE389" i="10"/>
  <c r="BM389" i="10"/>
  <c r="BE388" i="10"/>
  <c r="BM388" i="10"/>
  <c r="BE394" i="10"/>
  <c r="BM394" i="10"/>
  <c r="BE371" i="10"/>
  <c r="BM371" i="10"/>
  <c r="BE381" i="10"/>
  <c r="BM381" i="10"/>
  <c r="BE382" i="10"/>
  <c r="BM382" i="10"/>
  <c r="BE377" i="10"/>
  <c r="BM377" i="10"/>
  <c r="BE392" i="10"/>
  <c r="BM392" i="10"/>
  <c r="BE391" i="10"/>
  <c r="BM391" i="10"/>
  <c r="BB370" i="10"/>
  <c r="BD370" i="10" s="1"/>
  <c r="W360" i="10"/>
  <c r="AP360" i="10" s="1"/>
  <c r="AJ357" i="10"/>
  <c r="AX357" i="10" s="1"/>
  <c r="AZ357" i="10" s="1"/>
  <c r="W361" i="10"/>
  <c r="AP361" i="10" s="1"/>
  <c r="AR361" i="10" s="1"/>
  <c r="V361" i="10"/>
  <c r="AO361" i="10" s="1"/>
  <c r="U352" i="10"/>
  <c r="V352" i="10" s="1"/>
  <c r="AO352" i="10" s="1"/>
  <c r="W362" i="10"/>
  <c r="AP362" i="10" s="1"/>
  <c r="AR362" i="10" s="1"/>
  <c r="AR384" i="10"/>
  <c r="BA384" i="10" s="1"/>
  <c r="BB384" i="10"/>
  <c r="BD384" i="10" s="1"/>
  <c r="W358" i="10"/>
  <c r="AP358" i="10" s="1"/>
  <c r="AR358" i="10" s="1"/>
  <c r="AJ354" i="10"/>
  <c r="AX354" i="10" s="1"/>
  <c r="AZ354" i="10" s="1"/>
  <c r="AJ362" i="10"/>
  <c r="AX362" i="10" s="1"/>
  <c r="AZ362" i="10" s="1"/>
  <c r="BB366" i="10"/>
  <c r="BD366" i="10" s="1"/>
  <c r="BA369" i="10"/>
  <c r="BB367" i="10"/>
  <c r="BD367" i="10" s="1"/>
  <c r="AJ359" i="10"/>
  <c r="AX359" i="10" s="1"/>
  <c r="AZ359" i="10" s="1"/>
  <c r="BB368" i="10"/>
  <c r="BD368" i="10" s="1"/>
  <c r="BA368" i="10"/>
  <c r="BB369" i="10"/>
  <c r="BD369" i="10" s="1"/>
  <c r="AZ367" i="10"/>
  <c r="AJ363" i="10"/>
  <c r="AX363" i="10" s="1"/>
  <c r="AW363" i="10"/>
  <c r="AJ358" i="10"/>
  <c r="AX358" i="10" s="1"/>
  <c r="BA366" i="10"/>
  <c r="R357" i="10"/>
  <c r="AL357" i="10" s="1"/>
  <c r="AN357" i="10" s="1"/>
  <c r="AW362" i="10"/>
  <c r="R358" i="10"/>
  <c r="AL358" i="10" s="1"/>
  <c r="AN358" i="10" s="1"/>
  <c r="W363" i="10"/>
  <c r="AP363" i="10" s="1"/>
  <c r="AR363" i="10" s="1"/>
  <c r="W356" i="10"/>
  <c r="AP356" i="10" s="1"/>
  <c r="AR356" i="10" s="1"/>
  <c r="AZ366" i="10"/>
  <c r="M352" i="10"/>
  <c r="W359" i="10"/>
  <c r="AP359" i="10" s="1"/>
  <c r="AR359" i="10" s="1"/>
  <c r="BB364" i="10"/>
  <c r="BD364" i="10" s="1"/>
  <c r="BA364" i="10"/>
  <c r="BA367" i="10"/>
  <c r="AJ356" i="10"/>
  <c r="AX356" i="10" s="1"/>
  <c r="W357" i="10"/>
  <c r="AP357" i="10" s="1"/>
  <c r="AR357" i="10" s="1"/>
  <c r="AJ361" i="10"/>
  <c r="AX361" i="10" s="1"/>
  <c r="AZ361" i="10" s="1"/>
  <c r="AV361" i="10"/>
  <c r="AV362" i="10"/>
  <c r="AV363" i="10"/>
  <c r="AV357" i="10"/>
  <c r="AV359" i="10"/>
  <c r="AR360" i="10"/>
  <c r="AW361" i="10"/>
  <c r="AJ360" i="10"/>
  <c r="AX360" i="10" s="1"/>
  <c r="AZ360" i="10" s="1"/>
  <c r="AW359" i="10"/>
  <c r="AJ355" i="10"/>
  <c r="AX355" i="10" s="1"/>
  <c r="AZ355" i="10" s="1"/>
  <c r="R361" i="10"/>
  <c r="AL361" i="10" s="1"/>
  <c r="AN361" i="10" s="1"/>
  <c r="R363" i="10"/>
  <c r="AL363" i="10" s="1"/>
  <c r="AN363" i="10" s="1"/>
  <c r="R362" i="10"/>
  <c r="AL362" i="10" s="1"/>
  <c r="AN362" i="10" s="1"/>
  <c r="R359" i="10"/>
  <c r="AL359" i="10" s="1"/>
  <c r="AN359" i="10" s="1"/>
  <c r="R360" i="10"/>
  <c r="AL360" i="10" s="1"/>
  <c r="AN360" i="10" s="1"/>
  <c r="AV352" i="10"/>
  <c r="AV358" i="10"/>
  <c r="AV360" i="10"/>
  <c r="AJ353" i="10"/>
  <c r="AX353" i="10" s="1"/>
  <c r="AZ353" i="10" s="1"/>
  <c r="AV356" i="10"/>
  <c r="W354" i="10"/>
  <c r="AP354" i="10" s="1"/>
  <c r="W353" i="10"/>
  <c r="AP353" i="10" s="1"/>
  <c r="AR353" i="10" s="1"/>
  <c r="AV355" i="10"/>
  <c r="W355" i="10"/>
  <c r="AP355" i="10" s="1"/>
  <c r="R356" i="10"/>
  <c r="AL356" i="10" s="1"/>
  <c r="AN356" i="10" s="1"/>
  <c r="R355" i="10"/>
  <c r="AL355" i="10" s="1"/>
  <c r="AN355" i="10" s="1"/>
  <c r="AV354" i="10"/>
  <c r="R352" i="10"/>
  <c r="AL352" i="10" s="1"/>
  <c r="AN352" i="10" s="1"/>
  <c r="R353" i="10"/>
  <c r="AL353" i="10" s="1"/>
  <c r="AN353" i="10" s="1"/>
  <c r="AJ352" i="10"/>
  <c r="AX352" i="10" s="1"/>
  <c r="AW354" i="10"/>
  <c r="R354" i="10"/>
  <c r="AL354" i="10" s="1"/>
  <c r="AN354" i="10" s="1"/>
  <c r="AV353" i="10"/>
  <c r="H157" i="14"/>
  <c r="H151" i="14"/>
  <c r="H144" i="14"/>
  <c r="D139" i="14"/>
  <c r="H138" i="14"/>
  <c r="AD347" i="10"/>
  <c r="AH347" i="10" s="1"/>
  <c r="AI347" i="10" s="1"/>
  <c r="E351" i="10"/>
  <c r="H351" i="10"/>
  <c r="BH351" i="10" s="1"/>
  <c r="I351" i="10"/>
  <c r="J351" i="10"/>
  <c r="K351" i="10"/>
  <c r="L351" i="10"/>
  <c r="M351" i="10" s="1"/>
  <c r="P351" i="10"/>
  <c r="U351" i="10" s="1"/>
  <c r="V351" i="10" s="1"/>
  <c r="AO351" i="10" s="1"/>
  <c r="Q351" i="10"/>
  <c r="Z351" i="10"/>
  <c r="AA351" i="10"/>
  <c r="AS351" i="10" s="1"/>
  <c r="AB351" i="10"/>
  <c r="AT351" i="10" s="1"/>
  <c r="AH351" i="10"/>
  <c r="AI351" i="10" s="1"/>
  <c r="AW351" i="10" s="1"/>
  <c r="AM351" i="10"/>
  <c r="AQ351" i="10"/>
  <c r="AU351" i="10"/>
  <c r="AY351" i="10"/>
  <c r="BG351" i="10" s="1"/>
  <c r="BF351" i="10"/>
  <c r="BJ351" i="10"/>
  <c r="E350" i="10"/>
  <c r="H350" i="10"/>
  <c r="BH350" i="10" s="1"/>
  <c r="I350" i="10"/>
  <c r="J350" i="10"/>
  <c r="K350" i="10"/>
  <c r="L350" i="10"/>
  <c r="M350" i="10" s="1"/>
  <c r="P350" i="10"/>
  <c r="U350" i="10" s="1"/>
  <c r="V350" i="10" s="1"/>
  <c r="AO350" i="10" s="1"/>
  <c r="Q350" i="10"/>
  <c r="AK350" i="10" s="1"/>
  <c r="Z350" i="10"/>
  <c r="AA350" i="10"/>
  <c r="AS350" i="10" s="1"/>
  <c r="AB350" i="10"/>
  <c r="AT350" i="10" s="1"/>
  <c r="AH350" i="10"/>
  <c r="AI350" i="10" s="1"/>
  <c r="AW350" i="10" s="1"/>
  <c r="AM350" i="10"/>
  <c r="AQ350" i="10"/>
  <c r="AU350" i="10"/>
  <c r="AY350" i="10"/>
  <c r="BG350" i="10" s="1"/>
  <c r="BF350" i="10"/>
  <c r="BJ350" i="10"/>
  <c r="E349" i="10"/>
  <c r="H349" i="10"/>
  <c r="BH349" i="10" s="1"/>
  <c r="I349" i="10"/>
  <c r="J349" i="10"/>
  <c r="K349" i="10"/>
  <c r="L349" i="10"/>
  <c r="M349" i="10" s="1"/>
  <c r="P349" i="10"/>
  <c r="U349" i="10" s="1"/>
  <c r="Q349" i="10"/>
  <c r="AK349" i="10" s="1"/>
  <c r="Z349" i="10"/>
  <c r="AA349" i="10"/>
  <c r="AS349" i="10" s="1"/>
  <c r="AB349" i="10"/>
  <c r="AT349" i="10" s="1"/>
  <c r="AH349" i="10"/>
  <c r="AI349" i="10" s="1"/>
  <c r="AW349" i="10" s="1"/>
  <c r="AM349" i="10"/>
  <c r="AQ349" i="10"/>
  <c r="AU349" i="10"/>
  <c r="AY349" i="10"/>
  <c r="BG349" i="10" s="1"/>
  <c r="BF349" i="10"/>
  <c r="BJ349" i="10"/>
  <c r="E348" i="10"/>
  <c r="H348" i="10"/>
  <c r="BH348" i="10" s="1"/>
  <c r="I348" i="10"/>
  <c r="J348" i="10"/>
  <c r="K348" i="10"/>
  <c r="L348" i="10"/>
  <c r="M348" i="10" s="1"/>
  <c r="P348" i="10"/>
  <c r="U348" i="10" s="1"/>
  <c r="Q348" i="10"/>
  <c r="AK348" i="10" s="1"/>
  <c r="Z348" i="10"/>
  <c r="AA348" i="10"/>
  <c r="AS348" i="10" s="1"/>
  <c r="AB348" i="10"/>
  <c r="AT348" i="10" s="1"/>
  <c r="AH348" i="10"/>
  <c r="AI348" i="10" s="1"/>
  <c r="AM348" i="10"/>
  <c r="AQ348" i="10"/>
  <c r="AU348" i="10"/>
  <c r="AY348" i="10"/>
  <c r="BG348" i="10" s="1"/>
  <c r="BF348" i="10"/>
  <c r="BJ348" i="10"/>
  <c r="E347" i="10"/>
  <c r="H347" i="10"/>
  <c r="BH347" i="10" s="1"/>
  <c r="I347" i="10"/>
  <c r="J347" i="10"/>
  <c r="K347" i="10"/>
  <c r="L347" i="10"/>
  <c r="M347" i="10" s="1"/>
  <c r="P347" i="10"/>
  <c r="U347" i="10" s="1"/>
  <c r="Q347" i="10"/>
  <c r="AK347" i="10" s="1"/>
  <c r="Z347" i="10"/>
  <c r="AA347" i="10"/>
  <c r="AS347" i="10" s="1"/>
  <c r="AB347" i="10"/>
  <c r="AT347" i="10" s="1"/>
  <c r="AM347" i="10"/>
  <c r="AQ347" i="10"/>
  <c r="AU347" i="10"/>
  <c r="AY347" i="10"/>
  <c r="BG347" i="10" s="1"/>
  <c r="BF347" i="10"/>
  <c r="BJ347" i="10"/>
  <c r="BE370" i="10" l="1"/>
  <c r="BM370" i="10"/>
  <c r="BE364" i="10"/>
  <c r="BM364" i="10"/>
  <c r="BE367" i="10"/>
  <c r="BM367" i="10"/>
  <c r="BE384" i="10"/>
  <c r="BM384" i="10"/>
  <c r="BE369" i="10"/>
  <c r="BM369" i="10"/>
  <c r="BE366" i="10"/>
  <c r="BM366" i="10"/>
  <c r="BE368" i="10"/>
  <c r="BM368" i="10"/>
  <c r="BB362" i="10"/>
  <c r="BD362" i="10" s="1"/>
  <c r="W352" i="10"/>
  <c r="AP352" i="10" s="1"/>
  <c r="AR352" i="10" s="1"/>
  <c r="BA352" i="10" s="1"/>
  <c r="BB358" i="10"/>
  <c r="BD358" i="10" s="1"/>
  <c r="BB354" i="10"/>
  <c r="BD354" i="10" s="1"/>
  <c r="AZ358" i="10"/>
  <c r="BB356" i="10"/>
  <c r="BD356" i="10" s="1"/>
  <c r="BB361" i="10"/>
  <c r="BD361" i="10" s="1"/>
  <c r="AZ356" i="10"/>
  <c r="BB357" i="10"/>
  <c r="BD357" i="10" s="1"/>
  <c r="BB363" i="10"/>
  <c r="BD363" i="10" s="1"/>
  <c r="AZ363" i="10"/>
  <c r="BB359" i="10"/>
  <c r="BD359" i="10" s="1"/>
  <c r="W350" i="10"/>
  <c r="AP350" i="10" s="1"/>
  <c r="AR350" i="10" s="1"/>
  <c r="W351" i="10"/>
  <c r="AP351" i="10" s="1"/>
  <c r="AR351" i="10" s="1"/>
  <c r="BB355" i="10"/>
  <c r="BD355" i="10" s="1"/>
  <c r="BA362" i="10"/>
  <c r="BA361" i="10"/>
  <c r="BB360" i="10"/>
  <c r="BD360" i="10" s="1"/>
  <c r="BA363" i="10"/>
  <c r="BA357" i="10"/>
  <c r="BA359" i="10"/>
  <c r="BA360" i="10"/>
  <c r="BA358" i="10"/>
  <c r="AR354" i="10"/>
  <c r="BA354" i="10" s="1"/>
  <c r="BA356" i="10"/>
  <c r="BB353" i="10"/>
  <c r="BD353" i="10" s="1"/>
  <c r="AZ352" i="10"/>
  <c r="AR355" i="10"/>
  <c r="BA355" i="10" s="1"/>
  <c r="BA353" i="10"/>
  <c r="W349" i="10"/>
  <c r="AP349" i="10" s="1"/>
  <c r="AR349" i="10" s="1"/>
  <c r="R351" i="10"/>
  <c r="AL351" i="10" s="1"/>
  <c r="AN351" i="10" s="1"/>
  <c r="AV351" i="10"/>
  <c r="AK351" i="10"/>
  <c r="V349" i="10"/>
  <c r="AO349" i="10" s="1"/>
  <c r="AV349" i="10"/>
  <c r="AJ351" i="10"/>
  <c r="AX351" i="10" s="1"/>
  <c r="AZ351" i="10" s="1"/>
  <c r="R348" i="10"/>
  <c r="AL348" i="10" s="1"/>
  <c r="AN348" i="10" s="1"/>
  <c r="AV350" i="10"/>
  <c r="AV348" i="10"/>
  <c r="R350" i="10"/>
  <c r="AL350" i="10" s="1"/>
  <c r="AN350" i="10" s="1"/>
  <c r="AW347" i="10"/>
  <c r="AJ347" i="10"/>
  <c r="AX347" i="10" s="1"/>
  <c r="AZ347" i="10" s="1"/>
  <c r="AJ348" i="10"/>
  <c r="AX348" i="10" s="1"/>
  <c r="AZ348" i="10" s="1"/>
  <c r="AW348" i="10"/>
  <c r="AJ349" i="10"/>
  <c r="AX349" i="10" s="1"/>
  <c r="AZ349" i="10" s="1"/>
  <c r="R349" i="10"/>
  <c r="AL349" i="10" s="1"/>
  <c r="AN349" i="10" s="1"/>
  <c r="V348" i="10"/>
  <c r="AO348" i="10" s="1"/>
  <c r="W348" i="10"/>
  <c r="AP348" i="10" s="1"/>
  <c r="AR348" i="10" s="1"/>
  <c r="W347" i="10"/>
  <c r="AP347" i="10" s="1"/>
  <c r="V347" i="10"/>
  <c r="AO347" i="10" s="1"/>
  <c r="R347" i="10"/>
  <c r="AL347" i="10" s="1"/>
  <c r="AN347" i="10" s="1"/>
  <c r="AJ350" i="10"/>
  <c r="AX350" i="10" s="1"/>
  <c r="AV347" i="10"/>
  <c r="E346" i="10"/>
  <c r="H346" i="10"/>
  <c r="BH346" i="10" s="1"/>
  <c r="I346" i="10"/>
  <c r="J346" i="10"/>
  <c r="K346" i="10"/>
  <c r="L346" i="10"/>
  <c r="M346" i="10" s="1"/>
  <c r="P346" i="10"/>
  <c r="U346" i="10" s="1"/>
  <c r="V346" i="10" s="1"/>
  <c r="AO346" i="10" s="1"/>
  <c r="Q346" i="10"/>
  <c r="AK346" i="10" s="1"/>
  <c r="Z346" i="10"/>
  <c r="AA346" i="10"/>
  <c r="AS346" i="10" s="1"/>
  <c r="AB346" i="10"/>
  <c r="AT346" i="10" s="1"/>
  <c r="AH346" i="10"/>
  <c r="AI346" i="10" s="1"/>
  <c r="AW346" i="10" s="1"/>
  <c r="AM346" i="10"/>
  <c r="AQ346" i="10"/>
  <c r="AU346" i="10"/>
  <c r="AY346" i="10"/>
  <c r="BG346" i="10" s="1"/>
  <c r="BF346" i="10"/>
  <c r="BJ346" i="10"/>
  <c r="F342" i="10"/>
  <c r="E345" i="10"/>
  <c r="H345" i="10"/>
  <c r="BH345" i="10" s="1"/>
  <c r="I345" i="10"/>
  <c r="J345" i="10"/>
  <c r="K345" i="10"/>
  <c r="L345" i="10"/>
  <c r="M345" i="10" s="1"/>
  <c r="P345" i="10"/>
  <c r="U345" i="10" s="1"/>
  <c r="V345" i="10" s="1"/>
  <c r="AO345" i="10" s="1"/>
  <c r="Q345" i="10"/>
  <c r="AK345" i="10" s="1"/>
  <c r="Z345" i="10"/>
  <c r="AA345" i="10"/>
  <c r="AS345" i="10" s="1"/>
  <c r="AB345" i="10"/>
  <c r="AT345" i="10" s="1"/>
  <c r="AH345" i="10"/>
  <c r="AI345" i="10" s="1"/>
  <c r="AW345" i="10" s="1"/>
  <c r="AM345" i="10"/>
  <c r="AQ345" i="10"/>
  <c r="AU345" i="10"/>
  <c r="AY345" i="10"/>
  <c r="BG345" i="10" s="1"/>
  <c r="BF345" i="10"/>
  <c r="BJ345" i="10"/>
  <c r="E344" i="10"/>
  <c r="H344" i="10"/>
  <c r="BH344" i="10" s="1"/>
  <c r="I344" i="10"/>
  <c r="J344" i="10"/>
  <c r="K344" i="10"/>
  <c r="L344" i="10"/>
  <c r="M344" i="10" s="1"/>
  <c r="P344" i="10"/>
  <c r="U344" i="10" s="1"/>
  <c r="V344" i="10" s="1"/>
  <c r="AO344" i="10" s="1"/>
  <c r="Q344" i="10"/>
  <c r="AK344" i="10" s="1"/>
  <c r="Z344" i="10"/>
  <c r="AA344" i="10"/>
  <c r="AS344" i="10" s="1"/>
  <c r="AB344" i="10"/>
  <c r="AT344" i="10" s="1"/>
  <c r="AH344" i="10"/>
  <c r="AI344" i="10" s="1"/>
  <c r="AM344" i="10"/>
  <c r="AQ344" i="10"/>
  <c r="AU344" i="10"/>
  <c r="AY344" i="10"/>
  <c r="BG344" i="10" s="1"/>
  <c r="BF344" i="10"/>
  <c r="BJ344" i="10"/>
  <c r="E343" i="10"/>
  <c r="H343" i="10"/>
  <c r="BH343" i="10" s="1"/>
  <c r="I343" i="10"/>
  <c r="J343" i="10"/>
  <c r="K343" i="10"/>
  <c r="L343" i="10"/>
  <c r="M343" i="10" s="1"/>
  <c r="P343" i="10"/>
  <c r="U343" i="10" s="1"/>
  <c r="V343" i="10" s="1"/>
  <c r="AO343" i="10" s="1"/>
  <c r="Q343" i="10"/>
  <c r="AK343" i="10" s="1"/>
  <c r="Z343" i="10"/>
  <c r="AA343" i="10"/>
  <c r="AS343" i="10" s="1"/>
  <c r="AB343" i="10"/>
  <c r="AT343" i="10" s="1"/>
  <c r="AH343" i="10"/>
  <c r="AI343" i="10" s="1"/>
  <c r="AM343" i="10"/>
  <c r="AQ343" i="10"/>
  <c r="AU343" i="10"/>
  <c r="AY343" i="10"/>
  <c r="BG343" i="10" s="1"/>
  <c r="BF343" i="10"/>
  <c r="BJ343" i="10"/>
  <c r="E342" i="10"/>
  <c r="H342" i="10"/>
  <c r="BH342" i="10" s="1"/>
  <c r="I342" i="10"/>
  <c r="J342" i="10"/>
  <c r="K342" i="10"/>
  <c r="L342" i="10"/>
  <c r="P342" i="10"/>
  <c r="Q342" i="10"/>
  <c r="AK342" i="10" s="1"/>
  <c r="Z342" i="10"/>
  <c r="AA342" i="10"/>
  <c r="AS342" i="10" s="1"/>
  <c r="AB342" i="10"/>
  <c r="AT342" i="10" s="1"/>
  <c r="AH342" i="10"/>
  <c r="AI342" i="10" s="1"/>
  <c r="AM342" i="10"/>
  <c r="AQ342" i="10"/>
  <c r="AU342" i="10"/>
  <c r="AY342" i="10"/>
  <c r="BG342" i="10" s="1"/>
  <c r="BF342" i="10"/>
  <c r="BJ342" i="10"/>
  <c r="BE354" i="10" l="1"/>
  <c r="BM354" i="10"/>
  <c r="BE355" i="10"/>
  <c r="BM355" i="10"/>
  <c r="BE357" i="10"/>
  <c r="BM357" i="10"/>
  <c r="BE358" i="10"/>
  <c r="BM358" i="10"/>
  <c r="BE363" i="10"/>
  <c r="BM363" i="10"/>
  <c r="BE353" i="10"/>
  <c r="BM353" i="10"/>
  <c r="BE361" i="10"/>
  <c r="BM361" i="10"/>
  <c r="BE362" i="10"/>
  <c r="BM362" i="10"/>
  <c r="BE360" i="10"/>
  <c r="BM360" i="10"/>
  <c r="BE359" i="10"/>
  <c r="BM359" i="10"/>
  <c r="BE356" i="10"/>
  <c r="BM356" i="10"/>
  <c r="BB352" i="10"/>
  <c r="BD352" i="10" s="1"/>
  <c r="BB350" i="10"/>
  <c r="BD350" i="10" s="1"/>
  <c r="R344" i="10"/>
  <c r="AL344" i="10" s="1"/>
  <c r="AN344" i="10" s="1"/>
  <c r="BB351" i="10"/>
  <c r="BD351" i="10" s="1"/>
  <c r="R342" i="10"/>
  <c r="AL342" i="10" s="1"/>
  <c r="AN342" i="10" s="1"/>
  <c r="BA349" i="10"/>
  <c r="R343" i="10"/>
  <c r="AL343" i="10" s="1"/>
  <c r="AN343" i="10" s="1"/>
  <c r="BB349" i="10"/>
  <c r="BD349" i="10" s="1"/>
  <c r="BA351" i="10"/>
  <c r="BA348" i="10"/>
  <c r="BA350" i="10"/>
  <c r="W345" i="10"/>
  <c r="AP345" i="10" s="1"/>
  <c r="AR345" i="10" s="1"/>
  <c r="AV344" i="10"/>
  <c r="BB347" i="10"/>
  <c r="BD347" i="10" s="1"/>
  <c r="AZ350" i="10"/>
  <c r="AR347" i="10"/>
  <c r="BA347" i="10" s="1"/>
  <c r="BB348" i="10"/>
  <c r="BD348" i="10" s="1"/>
  <c r="W344" i="10"/>
  <c r="AP344" i="10" s="1"/>
  <c r="AR344" i="10" s="1"/>
  <c r="W343" i="10"/>
  <c r="AP343" i="10" s="1"/>
  <c r="AR343" i="10" s="1"/>
  <c r="AV345" i="10"/>
  <c r="AV346" i="10"/>
  <c r="M342" i="10"/>
  <c r="W346" i="10"/>
  <c r="AP346" i="10" s="1"/>
  <c r="AR346" i="10" s="1"/>
  <c r="R346" i="10"/>
  <c r="AL346" i="10" s="1"/>
  <c r="AN346" i="10" s="1"/>
  <c r="R345" i="10"/>
  <c r="AL345" i="10" s="1"/>
  <c r="AN345" i="10" s="1"/>
  <c r="AJ346" i="10"/>
  <c r="AX346" i="10" s="1"/>
  <c r="U342" i="10"/>
  <c r="AJ344" i="10"/>
  <c r="AX344" i="10" s="1"/>
  <c r="AZ344" i="10" s="1"/>
  <c r="AV343" i="10"/>
  <c r="AJ345" i="10"/>
  <c r="AX345" i="10" s="1"/>
  <c r="AW344" i="10"/>
  <c r="AJ343" i="10"/>
  <c r="AX343" i="10" s="1"/>
  <c r="AW343" i="10"/>
  <c r="AJ342" i="10"/>
  <c r="AX342" i="10" s="1"/>
  <c r="AV342" i="10"/>
  <c r="AW342" i="10"/>
  <c r="S337" i="10"/>
  <c r="BE349" i="10" l="1"/>
  <c r="BM349" i="10"/>
  <c r="BE351" i="10"/>
  <c r="BM351" i="10"/>
  <c r="BE347" i="10"/>
  <c r="BM347" i="10"/>
  <c r="BE350" i="10"/>
  <c r="BM350" i="10"/>
  <c r="BE352" i="10"/>
  <c r="BM352" i="10"/>
  <c r="BE348" i="10"/>
  <c r="BM348" i="10"/>
  <c r="BA344" i="10"/>
  <c r="BB343" i="10"/>
  <c r="BD343" i="10" s="1"/>
  <c r="BA346" i="10"/>
  <c r="BA345" i="10"/>
  <c r="V342" i="10"/>
  <c r="AO342" i="10" s="1"/>
  <c r="W342" i="10"/>
  <c r="AP342" i="10" s="1"/>
  <c r="AR342" i="10" s="1"/>
  <c r="BA342" i="10" s="1"/>
  <c r="BA343" i="10"/>
  <c r="AZ346" i="10"/>
  <c r="BB346" i="10"/>
  <c r="BD346" i="10" s="1"/>
  <c r="AZ342" i="10"/>
  <c r="AZ343" i="10"/>
  <c r="BB344" i="10"/>
  <c r="BD344" i="10" s="1"/>
  <c r="AZ345" i="10"/>
  <c r="BB345" i="10"/>
  <c r="BD345" i="10" s="1"/>
  <c r="AD340" i="10"/>
  <c r="BE344" i="10" l="1"/>
  <c r="BM344" i="10"/>
  <c r="BE345" i="10"/>
  <c r="BM345" i="10"/>
  <c r="BE343" i="10"/>
  <c r="BM343" i="10"/>
  <c r="BE346" i="10"/>
  <c r="BM346" i="10"/>
  <c r="BB342" i="10"/>
  <c r="BD342" i="10" s="1"/>
  <c r="F337" i="10"/>
  <c r="AD332" i="10"/>
  <c r="AH334" i="10"/>
  <c r="AH335" i="10"/>
  <c r="AH336" i="10"/>
  <c r="AH337" i="10"/>
  <c r="AI337" i="10" s="1"/>
  <c r="AH338" i="10"/>
  <c r="AI338" i="10" s="1"/>
  <c r="AH339" i="10"/>
  <c r="AI339" i="10" s="1"/>
  <c r="AH340" i="10"/>
  <c r="AI340" i="10" s="1"/>
  <c r="AH341" i="10"/>
  <c r="AI341" i="10" s="1"/>
  <c r="E341" i="10"/>
  <c r="H341" i="10"/>
  <c r="BH341" i="10" s="1"/>
  <c r="I341" i="10"/>
  <c r="J341" i="10"/>
  <c r="K341" i="10"/>
  <c r="L341" i="10"/>
  <c r="M341" i="10" s="1"/>
  <c r="P341" i="10"/>
  <c r="U341" i="10" s="1"/>
  <c r="V341" i="10" s="1"/>
  <c r="AO341" i="10" s="1"/>
  <c r="Q341" i="10"/>
  <c r="AK341" i="10" s="1"/>
  <c r="Z341" i="10"/>
  <c r="AA341" i="10"/>
  <c r="AS341" i="10" s="1"/>
  <c r="AB341" i="10"/>
  <c r="AT341" i="10" s="1"/>
  <c r="AM341" i="10"/>
  <c r="AQ341" i="10"/>
  <c r="AU341" i="10"/>
  <c r="AY341" i="10"/>
  <c r="BG341" i="10" s="1"/>
  <c r="BF341" i="10"/>
  <c r="BJ341" i="10"/>
  <c r="E340" i="10"/>
  <c r="H340" i="10"/>
  <c r="BH340" i="10" s="1"/>
  <c r="I340" i="10"/>
  <c r="J340" i="10"/>
  <c r="K340" i="10"/>
  <c r="L340" i="10"/>
  <c r="M340" i="10" s="1"/>
  <c r="P340" i="10"/>
  <c r="U340" i="10" s="1"/>
  <c r="V340" i="10" s="1"/>
  <c r="AO340" i="10" s="1"/>
  <c r="Q340" i="10"/>
  <c r="AK340" i="10" s="1"/>
  <c r="Z340" i="10"/>
  <c r="AA340" i="10"/>
  <c r="AS340" i="10" s="1"/>
  <c r="AB340" i="10"/>
  <c r="AT340" i="10" s="1"/>
  <c r="AM340" i="10"/>
  <c r="AQ340" i="10"/>
  <c r="AU340" i="10"/>
  <c r="AY340" i="10"/>
  <c r="BG340" i="10" s="1"/>
  <c r="BF340" i="10"/>
  <c r="BJ340" i="10"/>
  <c r="E339" i="10"/>
  <c r="H339" i="10"/>
  <c r="BH339" i="10" s="1"/>
  <c r="I339" i="10"/>
  <c r="J339" i="10"/>
  <c r="K339" i="10"/>
  <c r="L339" i="10"/>
  <c r="M339" i="10" s="1"/>
  <c r="P339" i="10"/>
  <c r="U339" i="10" s="1"/>
  <c r="V339" i="10" s="1"/>
  <c r="AO339" i="10" s="1"/>
  <c r="Q339" i="10"/>
  <c r="AK339" i="10" s="1"/>
  <c r="Z339" i="10"/>
  <c r="AA339" i="10"/>
  <c r="AS339" i="10" s="1"/>
  <c r="AB339" i="10"/>
  <c r="AT339" i="10" s="1"/>
  <c r="AM339" i="10"/>
  <c r="AQ339" i="10"/>
  <c r="AU339" i="10"/>
  <c r="AY339" i="10"/>
  <c r="BG339" i="10" s="1"/>
  <c r="BF339" i="10"/>
  <c r="BJ339" i="10"/>
  <c r="E338" i="10"/>
  <c r="H338" i="10"/>
  <c r="BH338" i="10" s="1"/>
  <c r="I338" i="10"/>
  <c r="J338" i="10"/>
  <c r="K338" i="10"/>
  <c r="L338" i="10"/>
  <c r="M338" i="10" s="1"/>
  <c r="P338" i="10"/>
  <c r="U338" i="10" s="1"/>
  <c r="Q338" i="10"/>
  <c r="AK338" i="10" s="1"/>
  <c r="Z338" i="10"/>
  <c r="AA338" i="10"/>
  <c r="AS338" i="10" s="1"/>
  <c r="AB338" i="10"/>
  <c r="AT338" i="10" s="1"/>
  <c r="AM338" i="10"/>
  <c r="AQ338" i="10"/>
  <c r="AU338" i="10"/>
  <c r="AY338" i="10"/>
  <c r="BG338" i="10" s="1"/>
  <c r="BF338" i="10"/>
  <c r="BJ338" i="10"/>
  <c r="E337" i="10"/>
  <c r="H337" i="10"/>
  <c r="BH337" i="10" s="1"/>
  <c r="I337" i="10"/>
  <c r="J337" i="10"/>
  <c r="K337" i="10"/>
  <c r="L337" i="10"/>
  <c r="P337" i="10"/>
  <c r="Q337" i="10"/>
  <c r="AK337" i="10" s="1"/>
  <c r="Z337" i="10"/>
  <c r="AA337" i="10"/>
  <c r="AS337" i="10" s="1"/>
  <c r="AB337" i="10"/>
  <c r="AT337" i="10" s="1"/>
  <c r="AM337" i="10"/>
  <c r="AQ337" i="10"/>
  <c r="AU337" i="10"/>
  <c r="AY337" i="10"/>
  <c r="BG337" i="10" s="1"/>
  <c r="BF337" i="10"/>
  <c r="BJ337" i="10"/>
  <c r="BE342" i="10" l="1"/>
  <c r="BM342" i="10"/>
  <c r="W340" i="10"/>
  <c r="AP340" i="10" s="1"/>
  <c r="AR340" i="10" s="1"/>
  <c r="W339" i="10"/>
  <c r="AP339" i="10" s="1"/>
  <c r="AR339" i="10" s="1"/>
  <c r="M337" i="10"/>
  <c r="AV340" i="10"/>
  <c r="AV341" i="10"/>
  <c r="AJ340" i="10"/>
  <c r="AX340" i="10" s="1"/>
  <c r="AZ340" i="10" s="1"/>
  <c r="W338" i="10"/>
  <c r="AP338" i="10" s="1"/>
  <c r="AR338" i="10" s="1"/>
  <c r="R340" i="10"/>
  <c r="AL340" i="10" s="1"/>
  <c r="AN340" i="10" s="1"/>
  <c r="AV337" i="10"/>
  <c r="AV339" i="10"/>
  <c r="AV338" i="10"/>
  <c r="W341" i="10"/>
  <c r="AP341" i="10" s="1"/>
  <c r="AR341" i="10" s="1"/>
  <c r="R339" i="10"/>
  <c r="AL339" i="10" s="1"/>
  <c r="AN339" i="10" s="1"/>
  <c r="R341" i="10"/>
  <c r="AL341" i="10" s="1"/>
  <c r="AN341" i="10" s="1"/>
  <c r="R337" i="10"/>
  <c r="AL337" i="10" s="1"/>
  <c r="AN337" i="10" s="1"/>
  <c r="V338" i="10"/>
  <c r="AO338" i="10" s="1"/>
  <c r="R338" i="10"/>
  <c r="AL338" i="10" s="1"/>
  <c r="AN338" i="10" s="1"/>
  <c r="AJ341" i="10"/>
  <c r="AX341" i="10" s="1"/>
  <c r="AZ341" i="10" s="1"/>
  <c r="AW340" i="10"/>
  <c r="AJ338" i="10"/>
  <c r="AX338" i="10" s="1"/>
  <c r="AW338" i="10"/>
  <c r="AJ337" i="10"/>
  <c r="AX337" i="10" s="1"/>
  <c r="AZ337" i="10" s="1"/>
  <c r="AJ339" i="10"/>
  <c r="AX339" i="10" s="1"/>
  <c r="AZ339" i="10" s="1"/>
  <c r="U337" i="10"/>
  <c r="AW337" i="10"/>
  <c r="AW339" i="10"/>
  <c r="AW341" i="10"/>
  <c r="BB340" i="10" l="1"/>
  <c r="BD340" i="10" s="1"/>
  <c r="BB338" i="10"/>
  <c r="BD338" i="10" s="1"/>
  <c r="BA338" i="10"/>
  <c r="BA340" i="10"/>
  <c r="BA339" i="10"/>
  <c r="AZ338" i="10"/>
  <c r="BA341" i="10"/>
  <c r="BB341" i="10"/>
  <c r="BD341" i="10" s="1"/>
  <c r="W337" i="10"/>
  <c r="AP337" i="10" s="1"/>
  <c r="AR337" i="10" s="1"/>
  <c r="BA337" i="10" s="1"/>
  <c r="V337" i="10"/>
  <c r="AO337" i="10" s="1"/>
  <c r="BB339" i="10"/>
  <c r="BD339" i="10" s="1"/>
  <c r="D131" i="14"/>
  <c r="H130" i="14"/>
  <c r="L332" i="10"/>
  <c r="M332" i="10" s="1"/>
  <c r="E336" i="10"/>
  <c r="H336" i="10"/>
  <c r="BH336" i="10" s="1"/>
  <c r="I336" i="10"/>
  <c r="J336" i="10"/>
  <c r="K336" i="10"/>
  <c r="L336" i="10"/>
  <c r="M336" i="10" s="1"/>
  <c r="P336" i="10"/>
  <c r="U336" i="10" s="1"/>
  <c r="V336" i="10" s="1"/>
  <c r="AO336" i="10" s="1"/>
  <c r="Q336" i="10"/>
  <c r="AK336" i="10" s="1"/>
  <c r="Z336" i="10"/>
  <c r="AA336" i="10"/>
  <c r="AS336" i="10" s="1"/>
  <c r="AB336" i="10"/>
  <c r="AT336" i="10" s="1"/>
  <c r="AI336" i="10"/>
  <c r="AW336" i="10" s="1"/>
  <c r="AM336" i="10"/>
  <c r="AQ336" i="10"/>
  <c r="AU336" i="10"/>
  <c r="AY336" i="10"/>
  <c r="BG336" i="10" s="1"/>
  <c r="BF336" i="10"/>
  <c r="BJ336" i="10"/>
  <c r="E335" i="10"/>
  <c r="H335" i="10"/>
  <c r="BH335" i="10" s="1"/>
  <c r="I335" i="10"/>
  <c r="J335" i="10"/>
  <c r="K335" i="10"/>
  <c r="L335" i="10"/>
  <c r="M335" i="10" s="1"/>
  <c r="P335" i="10"/>
  <c r="U335" i="10" s="1"/>
  <c r="V335" i="10" s="1"/>
  <c r="AO335" i="10" s="1"/>
  <c r="Q335" i="10"/>
  <c r="AK335" i="10" s="1"/>
  <c r="Z335" i="10"/>
  <c r="AA335" i="10"/>
  <c r="AS335" i="10" s="1"/>
  <c r="AB335" i="10"/>
  <c r="AT335" i="10" s="1"/>
  <c r="AI335" i="10"/>
  <c r="AW335" i="10" s="1"/>
  <c r="AM335" i="10"/>
  <c r="AQ335" i="10"/>
  <c r="AU335" i="10"/>
  <c r="AY335" i="10"/>
  <c r="BG335" i="10" s="1"/>
  <c r="BF335" i="10"/>
  <c r="BJ335" i="10"/>
  <c r="E334" i="10"/>
  <c r="H334" i="10"/>
  <c r="BH334" i="10" s="1"/>
  <c r="I334" i="10"/>
  <c r="J334" i="10"/>
  <c r="K334" i="10"/>
  <c r="L334" i="10"/>
  <c r="M334" i="10" s="1"/>
  <c r="P334" i="10"/>
  <c r="U334" i="10" s="1"/>
  <c r="V334" i="10" s="1"/>
  <c r="AO334" i="10" s="1"/>
  <c r="Q334" i="10"/>
  <c r="AK334" i="10" s="1"/>
  <c r="Z334" i="10"/>
  <c r="AA334" i="10"/>
  <c r="AS334" i="10" s="1"/>
  <c r="AB334" i="10"/>
  <c r="AT334" i="10" s="1"/>
  <c r="AI334" i="10"/>
  <c r="AM334" i="10"/>
  <c r="AQ334" i="10"/>
  <c r="AU334" i="10"/>
  <c r="AY334" i="10"/>
  <c r="BG334" i="10" s="1"/>
  <c r="BF334" i="10"/>
  <c r="BJ334" i="10"/>
  <c r="E333" i="10"/>
  <c r="H333" i="10"/>
  <c r="BH333" i="10" s="1"/>
  <c r="I333" i="10"/>
  <c r="J333" i="10"/>
  <c r="K333" i="10"/>
  <c r="L333" i="10"/>
  <c r="M333" i="10" s="1"/>
  <c r="P333" i="10"/>
  <c r="U333" i="10" s="1"/>
  <c r="V333" i="10" s="1"/>
  <c r="AO333" i="10" s="1"/>
  <c r="Q333" i="10"/>
  <c r="AK333" i="10" s="1"/>
  <c r="Z333" i="10"/>
  <c r="AA333" i="10"/>
  <c r="AS333" i="10" s="1"/>
  <c r="AB333" i="10"/>
  <c r="AT333" i="10" s="1"/>
  <c r="AH333" i="10"/>
  <c r="AI333" i="10" s="1"/>
  <c r="AW333" i="10" s="1"/>
  <c r="AM333" i="10"/>
  <c r="AQ333" i="10"/>
  <c r="AU333" i="10"/>
  <c r="AY333" i="10"/>
  <c r="BG333" i="10" s="1"/>
  <c r="BF333" i="10"/>
  <c r="BJ333" i="10"/>
  <c r="E332" i="10"/>
  <c r="H332" i="10"/>
  <c r="BH332" i="10" s="1"/>
  <c r="I332" i="10"/>
  <c r="J332" i="10"/>
  <c r="K332" i="10"/>
  <c r="P332" i="10"/>
  <c r="U332" i="10" s="1"/>
  <c r="V332" i="10" s="1"/>
  <c r="AO332" i="10" s="1"/>
  <c r="Q332" i="10"/>
  <c r="AK332" i="10" s="1"/>
  <c r="Z332" i="10"/>
  <c r="AA332" i="10"/>
  <c r="AS332" i="10" s="1"/>
  <c r="AB332" i="10"/>
  <c r="AT332" i="10" s="1"/>
  <c r="AH332" i="10"/>
  <c r="AI332" i="10" s="1"/>
  <c r="AW332" i="10" s="1"/>
  <c r="AM332" i="10"/>
  <c r="AQ332" i="10"/>
  <c r="AU332" i="10"/>
  <c r="AY332" i="10"/>
  <c r="BG332" i="10" s="1"/>
  <c r="BF332" i="10"/>
  <c r="BJ332" i="10"/>
  <c r="H128" i="14"/>
  <c r="E329" i="10"/>
  <c r="H329" i="10"/>
  <c r="BH329" i="10" s="1"/>
  <c r="I329" i="10"/>
  <c r="J329" i="10"/>
  <c r="K329" i="10"/>
  <c r="L329" i="10"/>
  <c r="M329" i="10" s="1"/>
  <c r="P329" i="10"/>
  <c r="U329" i="10" s="1"/>
  <c r="V329" i="10" s="1"/>
  <c r="AO329" i="10" s="1"/>
  <c r="Q329" i="10"/>
  <c r="AK329" i="10" s="1"/>
  <c r="Z329" i="10"/>
  <c r="AA329" i="10"/>
  <c r="AS329" i="10" s="1"/>
  <c r="AB329" i="10"/>
  <c r="AT329" i="10" s="1"/>
  <c r="AH329" i="10"/>
  <c r="AI329" i="10" s="1"/>
  <c r="AW329" i="10" s="1"/>
  <c r="AM329" i="10"/>
  <c r="AQ329" i="10"/>
  <c r="AU329" i="10"/>
  <c r="AY329" i="10"/>
  <c r="BG329" i="10" s="1"/>
  <c r="BF329" i="10"/>
  <c r="BJ329" i="10"/>
  <c r="E331" i="10"/>
  <c r="H331" i="10"/>
  <c r="BH331" i="10" s="1"/>
  <c r="I331" i="10"/>
  <c r="J331" i="10"/>
  <c r="K331" i="10"/>
  <c r="L331" i="10"/>
  <c r="M331" i="10" s="1"/>
  <c r="P331" i="10"/>
  <c r="U331" i="10" s="1"/>
  <c r="V331" i="10" s="1"/>
  <c r="AO331" i="10" s="1"/>
  <c r="Q331" i="10"/>
  <c r="AK331" i="10" s="1"/>
  <c r="Z331" i="10"/>
  <c r="AA331" i="10"/>
  <c r="AS331" i="10" s="1"/>
  <c r="AB331" i="10"/>
  <c r="AT331" i="10" s="1"/>
  <c r="AH331" i="10"/>
  <c r="AI331" i="10" s="1"/>
  <c r="AW331" i="10" s="1"/>
  <c r="AM331" i="10"/>
  <c r="AQ331" i="10"/>
  <c r="AU331" i="10"/>
  <c r="AY331" i="10"/>
  <c r="BG331" i="10" s="1"/>
  <c r="BF331" i="10"/>
  <c r="BJ331" i="10"/>
  <c r="E330" i="10"/>
  <c r="H330" i="10"/>
  <c r="BH330" i="10" s="1"/>
  <c r="I330" i="10"/>
  <c r="J330" i="10"/>
  <c r="K330" i="10"/>
  <c r="L330" i="10"/>
  <c r="M330" i="10" s="1"/>
  <c r="P330" i="10"/>
  <c r="U330" i="10" s="1"/>
  <c r="V330" i="10" s="1"/>
  <c r="AO330" i="10" s="1"/>
  <c r="Q330" i="10"/>
  <c r="AK330" i="10" s="1"/>
  <c r="Z330" i="10"/>
  <c r="AA330" i="10"/>
  <c r="AS330" i="10" s="1"/>
  <c r="AB330" i="10"/>
  <c r="AT330" i="10" s="1"/>
  <c r="AH330" i="10"/>
  <c r="AI330" i="10" s="1"/>
  <c r="AW330" i="10" s="1"/>
  <c r="AM330" i="10"/>
  <c r="AQ330" i="10"/>
  <c r="AU330" i="10"/>
  <c r="AY330" i="10"/>
  <c r="BG330" i="10" s="1"/>
  <c r="BF330" i="10"/>
  <c r="BJ330" i="10"/>
  <c r="E328" i="10"/>
  <c r="H328" i="10"/>
  <c r="BH328" i="10" s="1"/>
  <c r="I328" i="10"/>
  <c r="J328" i="10"/>
  <c r="K328" i="10"/>
  <c r="L328" i="10"/>
  <c r="M328" i="10" s="1"/>
  <c r="P328" i="10"/>
  <c r="U328" i="10" s="1"/>
  <c r="V328" i="10" s="1"/>
  <c r="AO328" i="10" s="1"/>
  <c r="Q328" i="10"/>
  <c r="AK328" i="10" s="1"/>
  <c r="Z328" i="10"/>
  <c r="AA328" i="10"/>
  <c r="AS328" i="10" s="1"/>
  <c r="AB328" i="10"/>
  <c r="AT328" i="10" s="1"/>
  <c r="AH328" i="10"/>
  <c r="AI328" i="10" s="1"/>
  <c r="AW328" i="10" s="1"/>
  <c r="AM328" i="10"/>
  <c r="AQ328" i="10"/>
  <c r="AU328" i="10"/>
  <c r="AY328" i="10"/>
  <c r="BG328" i="10" s="1"/>
  <c r="BF328" i="10"/>
  <c r="BJ328" i="10"/>
  <c r="S323" i="10"/>
  <c r="L323" i="10" s="1"/>
  <c r="M323" i="10" s="1"/>
  <c r="E327" i="10"/>
  <c r="H327" i="10"/>
  <c r="BH327" i="10" s="1"/>
  <c r="I327" i="10"/>
  <c r="J327" i="10"/>
  <c r="K327" i="10"/>
  <c r="L327" i="10"/>
  <c r="M327" i="10" s="1"/>
  <c r="P327" i="10"/>
  <c r="U327" i="10" s="1"/>
  <c r="V327" i="10" s="1"/>
  <c r="AO327" i="10" s="1"/>
  <c r="Q327" i="10"/>
  <c r="AK327" i="10" s="1"/>
  <c r="Z327" i="10"/>
  <c r="AA327" i="10"/>
  <c r="AS327" i="10" s="1"/>
  <c r="AB327" i="10"/>
  <c r="AT327" i="10" s="1"/>
  <c r="AH327" i="10"/>
  <c r="AI327" i="10" s="1"/>
  <c r="AW327" i="10" s="1"/>
  <c r="AM327" i="10"/>
  <c r="AQ327" i="10"/>
  <c r="AU327" i="10"/>
  <c r="AY327" i="10"/>
  <c r="BG327" i="10" s="1"/>
  <c r="BF327" i="10"/>
  <c r="BJ327" i="10"/>
  <c r="E326" i="10"/>
  <c r="H326" i="10"/>
  <c r="BH326" i="10" s="1"/>
  <c r="I326" i="10"/>
  <c r="J326" i="10"/>
  <c r="K326" i="10"/>
  <c r="L326" i="10"/>
  <c r="M326" i="10" s="1"/>
  <c r="P326" i="10"/>
  <c r="U326" i="10" s="1"/>
  <c r="V326" i="10" s="1"/>
  <c r="AO326" i="10" s="1"/>
  <c r="Q326" i="10"/>
  <c r="AK326" i="10" s="1"/>
  <c r="Z326" i="10"/>
  <c r="AA326" i="10"/>
  <c r="AS326" i="10" s="1"/>
  <c r="AB326" i="10"/>
  <c r="AT326" i="10" s="1"/>
  <c r="AH326" i="10"/>
  <c r="AI326" i="10" s="1"/>
  <c r="AW326" i="10" s="1"/>
  <c r="AM326" i="10"/>
  <c r="AQ326" i="10"/>
  <c r="AU326" i="10"/>
  <c r="AY326" i="10"/>
  <c r="BG326" i="10" s="1"/>
  <c r="BF326" i="10"/>
  <c r="BJ326" i="10"/>
  <c r="E325" i="10"/>
  <c r="H325" i="10"/>
  <c r="BH325" i="10" s="1"/>
  <c r="I325" i="10"/>
  <c r="J325" i="10"/>
  <c r="K325" i="10"/>
  <c r="L325" i="10"/>
  <c r="M325" i="10" s="1"/>
  <c r="P325" i="10"/>
  <c r="U325" i="10" s="1"/>
  <c r="Q325" i="10"/>
  <c r="AK325" i="10" s="1"/>
  <c r="Z325" i="10"/>
  <c r="AA325" i="10"/>
  <c r="AS325" i="10" s="1"/>
  <c r="AB325" i="10"/>
  <c r="AT325" i="10" s="1"/>
  <c r="AH325" i="10"/>
  <c r="AI325" i="10" s="1"/>
  <c r="AW325" i="10" s="1"/>
  <c r="AM325" i="10"/>
  <c r="AQ325" i="10"/>
  <c r="AU325" i="10"/>
  <c r="AY325" i="10"/>
  <c r="BG325" i="10" s="1"/>
  <c r="BF325" i="10"/>
  <c r="BJ325" i="10"/>
  <c r="E324" i="10"/>
  <c r="H324" i="10"/>
  <c r="BH324" i="10" s="1"/>
  <c r="I324" i="10"/>
  <c r="J324" i="10"/>
  <c r="K324" i="10"/>
  <c r="L324" i="10"/>
  <c r="M324" i="10" s="1"/>
  <c r="P324" i="10"/>
  <c r="U324" i="10" s="1"/>
  <c r="V324" i="10" s="1"/>
  <c r="AO324" i="10" s="1"/>
  <c r="Q324" i="10"/>
  <c r="AK324" i="10" s="1"/>
  <c r="Z324" i="10"/>
  <c r="AA324" i="10"/>
  <c r="AS324" i="10" s="1"/>
  <c r="AB324" i="10"/>
  <c r="AT324" i="10" s="1"/>
  <c r="AH324" i="10"/>
  <c r="AI324" i="10" s="1"/>
  <c r="AW324" i="10" s="1"/>
  <c r="AM324" i="10"/>
  <c r="AQ324" i="10"/>
  <c r="AU324" i="10"/>
  <c r="AY324" i="10"/>
  <c r="BG324" i="10" s="1"/>
  <c r="BF324" i="10"/>
  <c r="BJ324" i="10"/>
  <c r="E323" i="10"/>
  <c r="H323" i="10"/>
  <c r="BH323" i="10" s="1"/>
  <c r="I323" i="10"/>
  <c r="J323" i="10"/>
  <c r="K323" i="10"/>
  <c r="P323" i="10"/>
  <c r="U323" i="10" s="1"/>
  <c r="Q323" i="10"/>
  <c r="Z323" i="10"/>
  <c r="AA323" i="10"/>
  <c r="AS323" i="10" s="1"/>
  <c r="AB323" i="10"/>
  <c r="AT323" i="10" s="1"/>
  <c r="AH323" i="10"/>
  <c r="AI323" i="10" s="1"/>
  <c r="AM323" i="10"/>
  <c r="AQ323" i="10"/>
  <c r="AU323" i="10"/>
  <c r="AY323" i="10"/>
  <c r="BG323" i="10" s="1"/>
  <c r="BF323" i="10"/>
  <c r="BJ323" i="10"/>
  <c r="S318" i="10"/>
  <c r="BE339" i="10" l="1"/>
  <c r="BM339" i="10"/>
  <c r="BE341" i="10"/>
  <c r="BM341" i="10"/>
  <c r="BE338" i="10"/>
  <c r="BM338" i="10"/>
  <c r="BE340" i="10"/>
  <c r="BM340" i="10"/>
  <c r="W335" i="10"/>
  <c r="AP335" i="10" s="1"/>
  <c r="AR335" i="10" s="1"/>
  <c r="W328" i="10"/>
  <c r="AP328" i="10" s="1"/>
  <c r="AR328" i="10" s="1"/>
  <c r="W331" i="10"/>
  <c r="AP331" i="10" s="1"/>
  <c r="AR331" i="10" s="1"/>
  <c r="R333" i="10"/>
  <c r="AL333" i="10" s="1"/>
  <c r="AN333" i="10" s="1"/>
  <c r="W327" i="10"/>
  <c r="AP327" i="10" s="1"/>
  <c r="AR327" i="10" s="1"/>
  <c r="R330" i="10"/>
  <c r="AL330" i="10" s="1"/>
  <c r="AN330" i="10" s="1"/>
  <c r="R329" i="10"/>
  <c r="AL329" i="10" s="1"/>
  <c r="AN329" i="10" s="1"/>
  <c r="W336" i="10"/>
  <c r="AP336" i="10" s="1"/>
  <c r="AR336" i="10" s="1"/>
  <c r="AJ323" i="10"/>
  <c r="AX323" i="10" s="1"/>
  <c r="AZ323" i="10" s="1"/>
  <c r="AV336" i="10"/>
  <c r="BB337" i="10"/>
  <c r="BD337" i="10" s="1"/>
  <c r="R336" i="10"/>
  <c r="AL336" i="10" s="1"/>
  <c r="AN336" i="10" s="1"/>
  <c r="AJ336" i="10"/>
  <c r="AX336" i="10" s="1"/>
  <c r="R332" i="10"/>
  <c r="AL332" i="10" s="1"/>
  <c r="AN332" i="10" s="1"/>
  <c r="R335" i="10"/>
  <c r="AL335" i="10" s="1"/>
  <c r="AN335" i="10" s="1"/>
  <c r="W329" i="10"/>
  <c r="AP329" i="10" s="1"/>
  <c r="AR329" i="10" s="1"/>
  <c r="AJ334" i="10"/>
  <c r="AX334" i="10" s="1"/>
  <c r="AZ334" i="10" s="1"/>
  <c r="AJ335" i="10"/>
  <c r="AX335" i="10" s="1"/>
  <c r="AZ335" i="10" s="1"/>
  <c r="W333" i="10"/>
  <c r="AP333" i="10" s="1"/>
  <c r="AR333" i="10" s="1"/>
  <c r="AW334" i="10"/>
  <c r="W334" i="10"/>
  <c r="AP334" i="10" s="1"/>
  <c r="AR334" i="10" s="1"/>
  <c r="R334" i="10"/>
  <c r="AL334" i="10" s="1"/>
  <c r="AN334" i="10" s="1"/>
  <c r="W332" i="10"/>
  <c r="AP332" i="10" s="1"/>
  <c r="AR332" i="10" s="1"/>
  <c r="AJ332" i="10"/>
  <c r="AX332" i="10" s="1"/>
  <c r="AJ333" i="10"/>
  <c r="AX333" i="10" s="1"/>
  <c r="AZ333" i="10" s="1"/>
  <c r="AV335" i="10"/>
  <c r="AV332" i="10"/>
  <c r="AV334" i="10"/>
  <c r="AV333" i="10"/>
  <c r="AV329" i="10"/>
  <c r="AV325" i="10"/>
  <c r="R323" i="10"/>
  <c r="AL323" i="10" s="1"/>
  <c r="AN323" i="10" s="1"/>
  <c r="AJ329" i="10"/>
  <c r="AX329" i="10" s="1"/>
  <c r="AZ329" i="10" s="1"/>
  <c r="AV328" i="10"/>
  <c r="AV327" i="10"/>
  <c r="AV330" i="10"/>
  <c r="R324" i="10"/>
  <c r="AL324" i="10" s="1"/>
  <c r="AN324" i="10" s="1"/>
  <c r="R331" i="10"/>
  <c r="AL331" i="10" s="1"/>
  <c r="AN331" i="10" s="1"/>
  <c r="AV331" i="10"/>
  <c r="AV324" i="10"/>
  <c r="R328" i="10"/>
  <c r="AL328" i="10" s="1"/>
  <c r="AN328" i="10" s="1"/>
  <c r="W330" i="10"/>
  <c r="AP330" i="10" s="1"/>
  <c r="AR330" i="10" s="1"/>
  <c r="AJ328" i="10"/>
  <c r="AX328" i="10" s="1"/>
  <c r="AZ328" i="10" s="1"/>
  <c r="AJ330" i="10"/>
  <c r="AX330" i="10" s="1"/>
  <c r="AZ330" i="10" s="1"/>
  <c r="AJ331" i="10"/>
  <c r="AX331" i="10" s="1"/>
  <c r="AZ331" i="10" s="1"/>
  <c r="AV323" i="10"/>
  <c r="AV326" i="10"/>
  <c r="W326" i="10"/>
  <c r="AP326" i="10" s="1"/>
  <c r="AR326" i="10" s="1"/>
  <c r="W324" i="10"/>
  <c r="AP324" i="10" s="1"/>
  <c r="AR324" i="10" s="1"/>
  <c r="R326" i="10"/>
  <c r="AL326" i="10" s="1"/>
  <c r="AN326" i="10" s="1"/>
  <c r="AJ327" i="10"/>
  <c r="AX327" i="10" s="1"/>
  <c r="AK323" i="10"/>
  <c r="AJ324" i="10"/>
  <c r="AX324" i="10" s="1"/>
  <c r="AJ326" i="10"/>
  <c r="AX326" i="10" s="1"/>
  <c r="AZ326" i="10" s="1"/>
  <c r="R327" i="10"/>
  <c r="AL327" i="10" s="1"/>
  <c r="AN327" i="10" s="1"/>
  <c r="V325" i="10"/>
  <c r="AO325" i="10" s="1"/>
  <c r="W325" i="10"/>
  <c r="AP325" i="10" s="1"/>
  <c r="AR325" i="10" s="1"/>
  <c r="R325" i="10"/>
  <c r="AL325" i="10" s="1"/>
  <c r="AN325" i="10" s="1"/>
  <c r="AJ325" i="10"/>
  <c r="AX325" i="10" s="1"/>
  <c r="AZ325" i="10" s="1"/>
  <c r="AW323" i="10"/>
  <c r="W323" i="10"/>
  <c r="AP323" i="10" s="1"/>
  <c r="AR323" i="10" s="1"/>
  <c r="V323" i="10"/>
  <c r="AO323" i="10" s="1"/>
  <c r="E322" i="10"/>
  <c r="H322" i="10"/>
  <c r="BH322" i="10" s="1"/>
  <c r="I322" i="10"/>
  <c r="J322" i="10"/>
  <c r="K322" i="10"/>
  <c r="L322" i="10"/>
  <c r="M322" i="10" s="1"/>
  <c r="P322" i="10"/>
  <c r="U322" i="10" s="1"/>
  <c r="V322" i="10" s="1"/>
  <c r="AO322" i="10" s="1"/>
  <c r="Q322" i="10"/>
  <c r="AK322" i="10" s="1"/>
  <c r="Z322" i="10"/>
  <c r="AA322" i="10"/>
  <c r="AS322" i="10" s="1"/>
  <c r="AB322" i="10"/>
  <c r="AT322" i="10" s="1"/>
  <c r="AH322" i="10"/>
  <c r="AI322" i="10" s="1"/>
  <c r="AM322" i="10"/>
  <c r="AQ322" i="10"/>
  <c r="AU322" i="10"/>
  <c r="AY322" i="10"/>
  <c r="BG322" i="10" s="1"/>
  <c r="BF322" i="10"/>
  <c r="BJ322" i="10"/>
  <c r="BE337" i="10" l="1"/>
  <c r="BM337" i="10"/>
  <c r="W322" i="10"/>
  <c r="AP322" i="10" s="1"/>
  <c r="AR322" i="10" s="1"/>
  <c r="BB327" i="10"/>
  <c r="BD327" i="10" s="1"/>
  <c r="BB336" i="10"/>
  <c r="BD336" i="10" s="1"/>
  <c r="BA336" i="10"/>
  <c r="BA335" i="10"/>
  <c r="AZ336" i="10"/>
  <c r="BB335" i="10"/>
  <c r="BD335" i="10" s="1"/>
  <c r="BB334" i="10"/>
  <c r="BD334" i="10" s="1"/>
  <c r="BB332" i="10"/>
  <c r="BD332" i="10" s="1"/>
  <c r="BA334" i="10"/>
  <c r="AZ332" i="10"/>
  <c r="BB333" i="10"/>
  <c r="BD333" i="10" s="1"/>
  <c r="BA332" i="10"/>
  <c r="BA333" i="10"/>
  <c r="BB326" i="10"/>
  <c r="BD326" i="10" s="1"/>
  <c r="AZ327" i="10"/>
  <c r="BA323" i="10"/>
  <c r="BB331" i="10"/>
  <c r="BD331" i="10" s="1"/>
  <c r="BA331" i="10"/>
  <c r="BB324" i="10"/>
  <c r="BD324" i="10" s="1"/>
  <c r="AZ324" i="10"/>
  <c r="BA324" i="10"/>
  <c r="BA329" i="10"/>
  <c r="BB330" i="10"/>
  <c r="BD330" i="10" s="1"/>
  <c r="BA330" i="10"/>
  <c r="BB329" i="10"/>
  <c r="BD329" i="10" s="1"/>
  <c r="BA328" i="10"/>
  <c r="BA326" i="10"/>
  <c r="BB328" i="10"/>
  <c r="BD328" i="10" s="1"/>
  <c r="BA325" i="10"/>
  <c r="BB323" i="10"/>
  <c r="BD323" i="10" s="1"/>
  <c r="BA327" i="10"/>
  <c r="BB325" i="10"/>
  <c r="BD325" i="10" s="1"/>
  <c r="AV322" i="10"/>
  <c r="AJ322" i="10"/>
  <c r="AX322" i="10" s="1"/>
  <c r="AZ322" i="10" s="1"/>
  <c r="AW322" i="10"/>
  <c r="R322" i="10"/>
  <c r="AL322" i="10" s="1"/>
  <c r="AN322" i="10" s="1"/>
  <c r="BE329" i="10" l="1"/>
  <c r="BM329" i="10"/>
  <c r="BE327" i="10"/>
  <c r="BM327" i="10"/>
  <c r="BE325" i="10"/>
  <c r="BM325" i="10"/>
  <c r="BE326" i="10"/>
  <c r="BM326" i="10"/>
  <c r="BE324" i="10"/>
  <c r="BM324" i="10"/>
  <c r="BE334" i="10"/>
  <c r="BM334" i="10"/>
  <c r="BE335" i="10"/>
  <c r="BM335" i="10"/>
  <c r="BE336" i="10"/>
  <c r="BM336" i="10"/>
  <c r="BE330" i="10"/>
  <c r="BM330" i="10"/>
  <c r="BE331" i="10"/>
  <c r="BM331" i="10"/>
  <c r="BE333" i="10"/>
  <c r="BM333" i="10"/>
  <c r="BE332" i="10"/>
  <c r="BM332" i="10"/>
  <c r="BE323" i="10"/>
  <c r="BM323" i="10"/>
  <c r="BE328" i="10"/>
  <c r="BM328" i="10"/>
  <c r="BB322" i="10"/>
  <c r="BD322" i="10" s="1"/>
  <c r="BA322" i="10"/>
  <c r="BE322" i="10" l="1"/>
  <c r="BM322" i="10"/>
  <c r="D118" i="14"/>
  <c r="H123" i="14" s="1"/>
  <c r="AD318" i="10" l="1"/>
  <c r="AD319" i="10"/>
  <c r="AQ319" i="10"/>
  <c r="F318" i="10"/>
  <c r="E321" i="10" l="1"/>
  <c r="H321" i="10"/>
  <c r="BH321" i="10" s="1"/>
  <c r="I321" i="10"/>
  <c r="J321" i="10"/>
  <c r="K321" i="10"/>
  <c r="L321" i="10"/>
  <c r="M321" i="10" s="1"/>
  <c r="P321" i="10"/>
  <c r="U321" i="10" s="1"/>
  <c r="V321" i="10" s="1"/>
  <c r="AO321" i="10" s="1"/>
  <c r="Q321" i="10"/>
  <c r="AK321" i="10" s="1"/>
  <c r="Z321" i="10"/>
  <c r="AA321" i="10"/>
  <c r="AS321" i="10" s="1"/>
  <c r="AB321" i="10"/>
  <c r="AT321" i="10" s="1"/>
  <c r="AH321" i="10"/>
  <c r="AI321" i="10" s="1"/>
  <c r="AW321" i="10" s="1"/>
  <c r="AM321" i="10"/>
  <c r="AQ321" i="10"/>
  <c r="AU321" i="10"/>
  <c r="AY321" i="10"/>
  <c r="BG321" i="10" s="1"/>
  <c r="BF321" i="10"/>
  <c r="BJ321" i="10"/>
  <c r="E320" i="10"/>
  <c r="H320" i="10"/>
  <c r="BH320" i="10" s="1"/>
  <c r="I320" i="10"/>
  <c r="J320" i="10"/>
  <c r="K320" i="10"/>
  <c r="L320" i="10"/>
  <c r="M320" i="10" s="1"/>
  <c r="P320" i="10"/>
  <c r="U320" i="10" s="1"/>
  <c r="V320" i="10" s="1"/>
  <c r="AO320" i="10" s="1"/>
  <c r="Q320" i="10"/>
  <c r="AK320" i="10" s="1"/>
  <c r="Z320" i="10"/>
  <c r="AA320" i="10"/>
  <c r="AS320" i="10" s="1"/>
  <c r="AB320" i="10"/>
  <c r="AT320" i="10" s="1"/>
  <c r="AH320" i="10"/>
  <c r="AI320" i="10" s="1"/>
  <c r="AW320" i="10" s="1"/>
  <c r="AM320" i="10"/>
  <c r="AQ320" i="10"/>
  <c r="AU320" i="10"/>
  <c r="AY320" i="10"/>
  <c r="BG320" i="10" s="1"/>
  <c r="BF320" i="10"/>
  <c r="BJ320" i="10"/>
  <c r="E318" i="10"/>
  <c r="E319" i="10"/>
  <c r="H319" i="10"/>
  <c r="BH319" i="10" s="1"/>
  <c r="I319" i="10"/>
  <c r="J319" i="10"/>
  <c r="K319" i="10"/>
  <c r="L319" i="10"/>
  <c r="M319" i="10" s="1"/>
  <c r="P319" i="10"/>
  <c r="U319" i="10" s="1"/>
  <c r="V319" i="10" s="1"/>
  <c r="AO319" i="10" s="1"/>
  <c r="Q319" i="10"/>
  <c r="AK319" i="10" s="1"/>
  <c r="Z319" i="10"/>
  <c r="AA319" i="10"/>
  <c r="AS319" i="10" s="1"/>
  <c r="AB319" i="10"/>
  <c r="AT319" i="10" s="1"/>
  <c r="AH319" i="10"/>
  <c r="AI319" i="10" s="1"/>
  <c r="AW319" i="10" s="1"/>
  <c r="AM319" i="10"/>
  <c r="AU319" i="10"/>
  <c r="AY319" i="10"/>
  <c r="BG319" i="10" s="1"/>
  <c r="BF319" i="10"/>
  <c r="BJ319" i="10"/>
  <c r="S313" i="10"/>
  <c r="H318" i="10"/>
  <c r="BH318" i="10" s="1"/>
  <c r="I318" i="10"/>
  <c r="J318" i="10"/>
  <c r="K318" i="10"/>
  <c r="L318" i="10"/>
  <c r="M318" i="10" s="1"/>
  <c r="P318" i="10"/>
  <c r="U318" i="10" s="1"/>
  <c r="V318" i="10" s="1"/>
  <c r="AO318" i="10" s="1"/>
  <c r="Q318" i="10"/>
  <c r="AK318" i="10" s="1"/>
  <c r="Z318" i="10"/>
  <c r="AA318" i="10"/>
  <c r="AS318" i="10" s="1"/>
  <c r="AB318" i="10"/>
  <c r="AT318" i="10" s="1"/>
  <c r="AH318" i="10"/>
  <c r="AI318" i="10" s="1"/>
  <c r="AW318" i="10" s="1"/>
  <c r="AM318" i="10"/>
  <c r="AQ318" i="10"/>
  <c r="AU318" i="10"/>
  <c r="AY318" i="10"/>
  <c r="BG318" i="10" s="1"/>
  <c r="BF318" i="10"/>
  <c r="BJ318" i="10"/>
  <c r="H104" i="14"/>
  <c r="H111" i="14"/>
  <c r="D114" i="14"/>
  <c r="G74" i="15"/>
  <c r="F74" i="15"/>
  <c r="W320" i="10" l="1"/>
  <c r="AP320" i="10" s="1"/>
  <c r="AR320" i="10" s="1"/>
  <c r="W321" i="10"/>
  <c r="AP321" i="10" s="1"/>
  <c r="AR321" i="10" s="1"/>
  <c r="AV321" i="10"/>
  <c r="W318" i="10"/>
  <c r="AP318" i="10" s="1"/>
  <c r="AR318" i="10" s="1"/>
  <c r="R318" i="10"/>
  <c r="AL318" i="10" s="1"/>
  <c r="AN318" i="10" s="1"/>
  <c r="AV320" i="10"/>
  <c r="R321" i="10"/>
  <c r="AL321" i="10" s="1"/>
  <c r="AN321" i="10" s="1"/>
  <c r="AJ320" i="10"/>
  <c r="AX320" i="10" s="1"/>
  <c r="AZ320" i="10" s="1"/>
  <c r="W319" i="10"/>
  <c r="AP319" i="10" s="1"/>
  <c r="AR319" i="10" s="1"/>
  <c r="R319" i="10"/>
  <c r="AL319" i="10" s="1"/>
  <c r="AN319" i="10" s="1"/>
  <c r="R320" i="10"/>
  <c r="AL320" i="10" s="1"/>
  <c r="AN320" i="10" s="1"/>
  <c r="AJ321" i="10"/>
  <c r="AX321" i="10" s="1"/>
  <c r="AV319" i="10"/>
  <c r="AJ319" i="10"/>
  <c r="AX319" i="10" s="1"/>
  <c r="AJ318" i="10"/>
  <c r="AX318" i="10" s="1"/>
  <c r="AZ318" i="10" s="1"/>
  <c r="AV318" i="10"/>
  <c r="Z265" i="10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BB321" i="10" l="1"/>
  <c r="BD321" i="10" s="1"/>
  <c r="BA320" i="10"/>
  <c r="BB320" i="10"/>
  <c r="BD320" i="10" s="1"/>
  <c r="BA321" i="10"/>
  <c r="BB318" i="10"/>
  <c r="BD318" i="10" s="1"/>
  <c r="AZ321" i="10"/>
  <c r="BB319" i="10"/>
  <c r="BD319" i="10" s="1"/>
  <c r="AZ319" i="10"/>
  <c r="BA319" i="10"/>
  <c r="BA318" i="10"/>
  <c r="H116" i="14"/>
  <c r="AD313" i="10"/>
  <c r="AH313" i="10" s="1"/>
  <c r="AI313" i="10" s="1"/>
  <c r="AW313" i="10" s="1"/>
  <c r="AD314" i="10"/>
  <c r="AH314" i="10" s="1"/>
  <c r="AI314" i="10" s="1"/>
  <c r="AW314" i="10" s="1"/>
  <c r="E317" i="10"/>
  <c r="H317" i="10"/>
  <c r="BH317" i="10" s="1"/>
  <c r="I317" i="10"/>
  <c r="J317" i="10"/>
  <c r="K317" i="10"/>
  <c r="L317" i="10"/>
  <c r="M317" i="10" s="1"/>
  <c r="P317" i="10"/>
  <c r="U317" i="10" s="1"/>
  <c r="V317" i="10" s="1"/>
  <c r="AO317" i="10" s="1"/>
  <c r="Q317" i="10"/>
  <c r="AK317" i="10" s="1"/>
  <c r="Z317" i="10"/>
  <c r="AA317" i="10"/>
  <c r="AS317" i="10" s="1"/>
  <c r="AB317" i="10"/>
  <c r="AT317" i="10" s="1"/>
  <c r="AH317" i="10"/>
  <c r="AI317" i="10" s="1"/>
  <c r="AM317" i="10"/>
  <c r="AQ317" i="10"/>
  <c r="AU317" i="10"/>
  <c r="AY317" i="10"/>
  <c r="BG317" i="10" s="1"/>
  <c r="BF317" i="10"/>
  <c r="BJ317" i="10"/>
  <c r="E316" i="10"/>
  <c r="H316" i="10"/>
  <c r="BH316" i="10" s="1"/>
  <c r="I316" i="10"/>
  <c r="J316" i="10"/>
  <c r="K316" i="10"/>
  <c r="L316" i="10"/>
  <c r="M316" i="10" s="1"/>
  <c r="P316" i="10"/>
  <c r="U316" i="10" s="1"/>
  <c r="V316" i="10" s="1"/>
  <c r="AO316" i="10" s="1"/>
  <c r="Q316" i="10"/>
  <c r="AK316" i="10" s="1"/>
  <c r="Z316" i="10"/>
  <c r="AA316" i="10"/>
  <c r="AS316" i="10" s="1"/>
  <c r="AB316" i="10"/>
  <c r="AT316" i="10" s="1"/>
  <c r="AH316" i="10"/>
  <c r="AI316" i="10" s="1"/>
  <c r="AW316" i="10" s="1"/>
  <c r="AM316" i="10"/>
  <c r="AQ316" i="10"/>
  <c r="AU316" i="10"/>
  <c r="AY316" i="10"/>
  <c r="BG316" i="10" s="1"/>
  <c r="BF316" i="10"/>
  <c r="BJ316" i="10"/>
  <c r="E315" i="10"/>
  <c r="H315" i="10"/>
  <c r="BH315" i="10" s="1"/>
  <c r="I315" i="10"/>
  <c r="J315" i="10"/>
  <c r="K315" i="10"/>
  <c r="L315" i="10"/>
  <c r="M315" i="10" s="1"/>
  <c r="P315" i="10"/>
  <c r="U315" i="10" s="1"/>
  <c r="Q315" i="10"/>
  <c r="AK315" i="10" s="1"/>
  <c r="Z315" i="10"/>
  <c r="AA315" i="10"/>
  <c r="AS315" i="10" s="1"/>
  <c r="AB315" i="10"/>
  <c r="AT315" i="10" s="1"/>
  <c r="AH315" i="10"/>
  <c r="AI315" i="10" s="1"/>
  <c r="AW315" i="10" s="1"/>
  <c r="AM315" i="10"/>
  <c r="AQ315" i="10"/>
  <c r="AU315" i="10"/>
  <c r="AY315" i="10"/>
  <c r="BG315" i="10" s="1"/>
  <c r="BF315" i="10"/>
  <c r="BJ315" i="10"/>
  <c r="F313" i="10"/>
  <c r="E314" i="10"/>
  <c r="H314" i="10"/>
  <c r="BH314" i="10" s="1"/>
  <c r="I314" i="10"/>
  <c r="J314" i="10"/>
  <c r="K314" i="10"/>
  <c r="L314" i="10"/>
  <c r="M314" i="10" s="1"/>
  <c r="P314" i="10"/>
  <c r="U314" i="10" s="1"/>
  <c r="Q314" i="10"/>
  <c r="AK314" i="10" s="1"/>
  <c r="Z314" i="10"/>
  <c r="AA314" i="10"/>
  <c r="AS314" i="10" s="1"/>
  <c r="AB314" i="10"/>
  <c r="AT314" i="10" s="1"/>
  <c r="AM314" i="10"/>
  <c r="AQ314" i="10"/>
  <c r="AU314" i="10"/>
  <c r="AY314" i="10"/>
  <c r="BG314" i="10" s="1"/>
  <c r="BF314" i="10"/>
  <c r="BJ314" i="10"/>
  <c r="E313" i="10"/>
  <c r="H313" i="10"/>
  <c r="BH313" i="10" s="1"/>
  <c r="I313" i="10"/>
  <c r="J313" i="10"/>
  <c r="K313" i="10"/>
  <c r="L313" i="10"/>
  <c r="Z313" i="10"/>
  <c r="AA313" i="10"/>
  <c r="AS313" i="10" s="1"/>
  <c r="AB313" i="10"/>
  <c r="AT313" i="10" s="1"/>
  <c r="AM313" i="10"/>
  <c r="AQ313" i="10"/>
  <c r="AU313" i="10"/>
  <c r="AY313" i="10"/>
  <c r="BG313" i="10" s="1"/>
  <c r="BF313" i="10"/>
  <c r="BJ313" i="10"/>
  <c r="S287" i="10"/>
  <c r="S303" i="10"/>
  <c r="S305" i="10"/>
  <c r="S308" i="10"/>
  <c r="S310" i="10"/>
  <c r="E312" i="10"/>
  <c r="H312" i="10"/>
  <c r="BH312" i="10" s="1"/>
  <c r="I312" i="10"/>
  <c r="J312" i="10"/>
  <c r="K312" i="10"/>
  <c r="L312" i="10"/>
  <c r="M312" i="10" s="1"/>
  <c r="P312" i="10"/>
  <c r="U312" i="10" s="1"/>
  <c r="V312" i="10" s="1"/>
  <c r="AO312" i="10" s="1"/>
  <c r="Q312" i="10"/>
  <c r="AK312" i="10" s="1"/>
  <c r="Z312" i="10"/>
  <c r="AA312" i="10"/>
  <c r="AS312" i="10" s="1"/>
  <c r="AB312" i="10"/>
  <c r="AT312" i="10" s="1"/>
  <c r="AH312" i="10"/>
  <c r="AI312" i="10" s="1"/>
  <c r="AW312" i="10" s="1"/>
  <c r="AM312" i="10"/>
  <c r="AQ312" i="10"/>
  <c r="AU312" i="10"/>
  <c r="AY312" i="10"/>
  <c r="BG312" i="10" s="1"/>
  <c r="BF312" i="10"/>
  <c r="BJ312" i="10"/>
  <c r="AY310" i="10"/>
  <c r="M313" i="10" l="1"/>
  <c r="P313" i="10" s="1"/>
  <c r="Q313" i="10" s="1"/>
  <c r="AK313" i="10" s="1"/>
  <c r="BE318" i="10"/>
  <c r="BM318" i="10"/>
  <c r="BE320" i="10"/>
  <c r="BM320" i="10"/>
  <c r="BE319" i="10"/>
  <c r="BM319" i="10"/>
  <c r="BE321" i="10"/>
  <c r="BM321" i="10"/>
  <c r="W317" i="10"/>
  <c r="AP317" i="10" s="1"/>
  <c r="AR317" i="10" s="1"/>
  <c r="W316" i="10"/>
  <c r="AP316" i="10" s="1"/>
  <c r="AR316" i="10" s="1"/>
  <c r="W312" i="10"/>
  <c r="AP312" i="10" s="1"/>
  <c r="AR312" i="10" s="1"/>
  <c r="W314" i="10"/>
  <c r="AP314" i="10" s="1"/>
  <c r="AR314" i="10" s="1"/>
  <c r="V314" i="10"/>
  <c r="AO314" i="10" s="1"/>
  <c r="V315" i="10"/>
  <c r="AO315" i="10" s="1"/>
  <c r="W315" i="10"/>
  <c r="AP315" i="10" s="1"/>
  <c r="AR315" i="10" s="1"/>
  <c r="AV315" i="10"/>
  <c r="AJ317" i="10"/>
  <c r="AX317" i="10" s="1"/>
  <c r="AZ317" i="10" s="1"/>
  <c r="U313" i="10"/>
  <c r="V313" i="10" s="1"/>
  <c r="AO313" i="10" s="1"/>
  <c r="R315" i="10"/>
  <c r="AL315" i="10" s="1"/>
  <c r="AN315" i="10" s="1"/>
  <c r="R314" i="10"/>
  <c r="AL314" i="10" s="1"/>
  <c r="AN314" i="10" s="1"/>
  <c r="AV316" i="10"/>
  <c r="AV317" i="10"/>
  <c r="R317" i="10"/>
  <c r="AL317" i="10" s="1"/>
  <c r="AN317" i="10" s="1"/>
  <c r="R313" i="10"/>
  <c r="AL313" i="10" s="1"/>
  <c r="AN313" i="10" s="1"/>
  <c r="AJ315" i="10"/>
  <c r="AX315" i="10" s="1"/>
  <c r="AZ315" i="10" s="1"/>
  <c r="AJ316" i="10"/>
  <c r="AX316" i="10" s="1"/>
  <c r="R316" i="10"/>
  <c r="AL316" i="10" s="1"/>
  <c r="AN316" i="10" s="1"/>
  <c r="AJ314" i="10"/>
  <c r="AX314" i="10" s="1"/>
  <c r="AZ314" i="10" s="1"/>
  <c r="AJ313" i="10"/>
  <c r="AX313" i="10" s="1"/>
  <c r="AZ313" i="10" s="1"/>
  <c r="AW317" i="10"/>
  <c r="AV314" i="10"/>
  <c r="AV313" i="10"/>
  <c r="AV312" i="10"/>
  <c r="R312" i="10"/>
  <c r="AL312" i="10" s="1"/>
  <c r="AN312" i="10" s="1"/>
  <c r="AJ312" i="10"/>
  <c r="AX312" i="10" s="1"/>
  <c r="AZ312" i="10" s="1"/>
  <c r="E311" i="10"/>
  <c r="H311" i="10"/>
  <c r="BH311" i="10" s="1"/>
  <c r="I311" i="10"/>
  <c r="J311" i="10"/>
  <c r="K311" i="10"/>
  <c r="L311" i="10"/>
  <c r="M311" i="10" s="1"/>
  <c r="P311" i="10"/>
  <c r="U311" i="10" s="1"/>
  <c r="V311" i="10" s="1"/>
  <c r="AO311" i="10" s="1"/>
  <c r="Q311" i="10"/>
  <c r="AK311" i="10" s="1"/>
  <c r="Z311" i="10"/>
  <c r="AA311" i="10"/>
  <c r="AS311" i="10" s="1"/>
  <c r="AB311" i="10"/>
  <c r="AT311" i="10" s="1"/>
  <c r="AH311" i="10"/>
  <c r="AI311" i="10" s="1"/>
  <c r="AW311" i="10" s="1"/>
  <c r="AM311" i="10"/>
  <c r="AQ311" i="10"/>
  <c r="AU311" i="10"/>
  <c r="AY311" i="10"/>
  <c r="BG311" i="10" s="1"/>
  <c r="BF311" i="10"/>
  <c r="BJ311" i="10"/>
  <c r="E310" i="10"/>
  <c r="H310" i="10"/>
  <c r="BH310" i="10" s="1"/>
  <c r="I310" i="10"/>
  <c r="J310" i="10"/>
  <c r="K310" i="10"/>
  <c r="L310" i="10"/>
  <c r="M310" i="10" s="1"/>
  <c r="P310" i="10"/>
  <c r="U310" i="10" s="1"/>
  <c r="V310" i="10" s="1"/>
  <c r="AO310" i="10" s="1"/>
  <c r="Q310" i="10"/>
  <c r="AK310" i="10" s="1"/>
  <c r="Z310" i="10"/>
  <c r="AA310" i="10"/>
  <c r="AS310" i="10" s="1"/>
  <c r="AB310" i="10"/>
  <c r="AT310" i="10" s="1"/>
  <c r="AH310" i="10"/>
  <c r="AI310" i="10" s="1"/>
  <c r="AW310" i="10" s="1"/>
  <c r="AM310" i="10"/>
  <c r="AQ310" i="10"/>
  <c r="AU310" i="10"/>
  <c r="BG310" i="10"/>
  <c r="BF310" i="10"/>
  <c r="BJ310" i="10"/>
  <c r="E309" i="10"/>
  <c r="H309" i="10"/>
  <c r="BH309" i="10" s="1"/>
  <c r="I309" i="10"/>
  <c r="J309" i="10"/>
  <c r="K309" i="10"/>
  <c r="L309" i="10"/>
  <c r="M309" i="10" s="1"/>
  <c r="P309" i="10"/>
  <c r="U309" i="10" s="1"/>
  <c r="V309" i="10" s="1"/>
  <c r="AO309" i="10" s="1"/>
  <c r="Q309" i="10"/>
  <c r="AK309" i="10" s="1"/>
  <c r="Z309" i="10"/>
  <c r="AA309" i="10"/>
  <c r="AS309" i="10" s="1"/>
  <c r="AB309" i="10"/>
  <c r="AT309" i="10" s="1"/>
  <c r="AH309" i="10"/>
  <c r="AI309" i="10" s="1"/>
  <c r="AW309" i="10" s="1"/>
  <c r="AM309" i="10"/>
  <c r="AQ309" i="10"/>
  <c r="AU309" i="10"/>
  <c r="AY309" i="10"/>
  <c r="BG309" i="10" s="1"/>
  <c r="BF309" i="10"/>
  <c r="BJ309" i="10"/>
  <c r="E308" i="10"/>
  <c r="H308" i="10"/>
  <c r="BH308" i="10" s="1"/>
  <c r="I308" i="10"/>
  <c r="J308" i="10"/>
  <c r="K308" i="10"/>
  <c r="L308" i="10"/>
  <c r="M308" i="10" s="1"/>
  <c r="P308" i="10"/>
  <c r="U308" i="10" s="1"/>
  <c r="V308" i="10" s="1"/>
  <c r="AO308" i="10" s="1"/>
  <c r="Q308" i="10"/>
  <c r="AK308" i="10" s="1"/>
  <c r="Z308" i="10"/>
  <c r="AA308" i="10"/>
  <c r="AS308" i="10" s="1"/>
  <c r="AB308" i="10"/>
  <c r="AT308" i="10" s="1"/>
  <c r="AH308" i="10"/>
  <c r="AI308" i="10" s="1"/>
  <c r="AW308" i="10" s="1"/>
  <c r="AM308" i="10"/>
  <c r="AQ308" i="10"/>
  <c r="AU308" i="10"/>
  <c r="AY308" i="10"/>
  <c r="BG308" i="10" s="1"/>
  <c r="BF308" i="10"/>
  <c r="BJ308" i="10"/>
  <c r="F84" i="15"/>
  <c r="G64" i="15"/>
  <c r="H98" i="14"/>
  <c r="H102" i="14"/>
  <c r="BB316" i="10" l="1"/>
  <c r="BD316" i="10" s="1"/>
  <c r="BB317" i="10"/>
  <c r="BD317" i="10" s="1"/>
  <c r="W313" i="10"/>
  <c r="AP313" i="10" s="1"/>
  <c r="AR313" i="10" s="1"/>
  <c r="BA313" i="10" s="1"/>
  <c r="BB315" i="10"/>
  <c r="BD315" i="10" s="1"/>
  <c r="BA316" i="10"/>
  <c r="BB312" i="10"/>
  <c r="BD312" i="10" s="1"/>
  <c r="BA317" i="10"/>
  <c r="R308" i="10"/>
  <c r="AL308" i="10" s="1"/>
  <c r="AN308" i="10" s="1"/>
  <c r="BA315" i="10"/>
  <c r="AZ316" i="10"/>
  <c r="BB314" i="10"/>
  <c r="BD314" i="10" s="1"/>
  <c r="BA314" i="10"/>
  <c r="AV309" i="10"/>
  <c r="BA312" i="10"/>
  <c r="R309" i="10"/>
  <c r="AL309" i="10" s="1"/>
  <c r="AN309" i="10" s="1"/>
  <c r="W311" i="10"/>
  <c r="AP311" i="10" s="1"/>
  <c r="AR311" i="10" s="1"/>
  <c r="R310" i="10"/>
  <c r="AL310" i="10" s="1"/>
  <c r="AN310" i="10" s="1"/>
  <c r="W310" i="10"/>
  <c r="AP310" i="10" s="1"/>
  <c r="AR310" i="10" s="1"/>
  <c r="W309" i="10"/>
  <c r="AP309" i="10" s="1"/>
  <c r="AR309" i="10" s="1"/>
  <c r="W308" i="10"/>
  <c r="AP308" i="10" s="1"/>
  <c r="AR308" i="10" s="1"/>
  <c r="AV308" i="10"/>
  <c r="AV311" i="10"/>
  <c r="AV310" i="10"/>
  <c r="AJ308" i="10"/>
  <c r="AX308" i="10" s="1"/>
  <c r="AZ308" i="10" s="1"/>
  <c r="AJ309" i="10"/>
  <c r="AX309" i="10" s="1"/>
  <c r="AZ309" i="10" s="1"/>
  <c r="AJ310" i="10"/>
  <c r="AX310" i="10" s="1"/>
  <c r="AZ310" i="10" s="1"/>
  <c r="R311" i="10"/>
  <c r="AL311" i="10" s="1"/>
  <c r="AN311" i="10" s="1"/>
  <c r="AJ311" i="10"/>
  <c r="AX311" i="10" s="1"/>
  <c r="E307" i="10"/>
  <c r="H307" i="10"/>
  <c r="BH307" i="10" s="1"/>
  <c r="I307" i="10"/>
  <c r="J307" i="10"/>
  <c r="K307" i="10"/>
  <c r="L307" i="10"/>
  <c r="M307" i="10" s="1"/>
  <c r="P307" i="10"/>
  <c r="U307" i="10" s="1"/>
  <c r="V307" i="10" s="1"/>
  <c r="AO307" i="10" s="1"/>
  <c r="Q307" i="10"/>
  <c r="AK307" i="10" s="1"/>
  <c r="Z307" i="10"/>
  <c r="AA307" i="10"/>
  <c r="AS307" i="10" s="1"/>
  <c r="AB307" i="10"/>
  <c r="AT307" i="10" s="1"/>
  <c r="AH307" i="10"/>
  <c r="AI307" i="10" s="1"/>
  <c r="AW307" i="10" s="1"/>
  <c r="AM307" i="10"/>
  <c r="AQ307" i="10"/>
  <c r="AU307" i="10"/>
  <c r="AY307" i="10"/>
  <c r="BG307" i="10" s="1"/>
  <c r="BF307" i="10"/>
  <c r="BJ307" i="10"/>
  <c r="F305" i="10"/>
  <c r="E306" i="10"/>
  <c r="H306" i="10"/>
  <c r="BH306" i="10" s="1"/>
  <c r="I306" i="10"/>
  <c r="J306" i="10"/>
  <c r="K306" i="10"/>
  <c r="L306" i="10"/>
  <c r="M306" i="10" s="1"/>
  <c r="P306" i="10"/>
  <c r="U306" i="10" s="1"/>
  <c r="V306" i="10" s="1"/>
  <c r="AO306" i="10" s="1"/>
  <c r="Q306" i="10"/>
  <c r="AK306" i="10" s="1"/>
  <c r="Z306" i="10"/>
  <c r="AA306" i="10"/>
  <c r="AS306" i="10" s="1"/>
  <c r="AB306" i="10"/>
  <c r="AT306" i="10" s="1"/>
  <c r="AH306" i="10"/>
  <c r="AI306" i="10" s="1"/>
  <c r="AW306" i="10" s="1"/>
  <c r="AM306" i="10"/>
  <c r="AQ306" i="10"/>
  <c r="AU306" i="10"/>
  <c r="AY306" i="10"/>
  <c r="BG306" i="10" s="1"/>
  <c r="BF306" i="10"/>
  <c r="BJ306" i="10"/>
  <c r="E305" i="10"/>
  <c r="H305" i="10"/>
  <c r="BH305" i="10" s="1"/>
  <c r="I305" i="10"/>
  <c r="J305" i="10"/>
  <c r="K305" i="10"/>
  <c r="L305" i="10"/>
  <c r="M305" i="10" s="1"/>
  <c r="P305" i="10"/>
  <c r="Q305" i="10"/>
  <c r="AK305" i="10" s="1"/>
  <c r="Z305" i="10"/>
  <c r="AA305" i="10"/>
  <c r="AS305" i="10" s="1"/>
  <c r="AB305" i="10"/>
  <c r="AT305" i="10" s="1"/>
  <c r="AH305" i="10"/>
  <c r="AI305" i="10" s="1"/>
  <c r="AM305" i="10"/>
  <c r="AQ305" i="10"/>
  <c r="AU305" i="10"/>
  <c r="AY305" i="10"/>
  <c r="BG305" i="10" s="1"/>
  <c r="BF305" i="10"/>
  <c r="BJ305" i="10"/>
  <c r="E64" i="15"/>
  <c r="F64" i="15"/>
  <c r="E60" i="15"/>
  <c r="BE314" i="10" l="1"/>
  <c r="BM314" i="10"/>
  <c r="BE312" i="10"/>
  <c r="BM312" i="10"/>
  <c r="BE315" i="10"/>
  <c r="BM315" i="10"/>
  <c r="BE317" i="10"/>
  <c r="BM317" i="10"/>
  <c r="BE316" i="10"/>
  <c r="BM316" i="10"/>
  <c r="BB313" i="10"/>
  <c r="BD313" i="10" s="1"/>
  <c r="BA309" i="10"/>
  <c r="W306" i="10"/>
  <c r="AP306" i="10" s="1"/>
  <c r="AR306" i="10" s="1"/>
  <c r="BB311" i="10"/>
  <c r="BD311" i="10" s="1"/>
  <c r="BA310" i="10"/>
  <c r="BA311" i="10"/>
  <c r="BA308" i="10"/>
  <c r="R305" i="10"/>
  <c r="AL305" i="10" s="1"/>
  <c r="AN305" i="10" s="1"/>
  <c r="U305" i="10"/>
  <c r="AV305" i="10"/>
  <c r="BB309" i="10"/>
  <c r="BD309" i="10" s="1"/>
  <c r="AZ311" i="10"/>
  <c r="BB308" i="10"/>
  <c r="BD308" i="10" s="1"/>
  <c r="BB310" i="10"/>
  <c r="BD310" i="10" s="1"/>
  <c r="AV306" i="10"/>
  <c r="R306" i="10"/>
  <c r="AL306" i="10" s="1"/>
  <c r="AN306" i="10" s="1"/>
  <c r="AV307" i="10"/>
  <c r="AJ305" i="10"/>
  <c r="AX305" i="10" s="1"/>
  <c r="AZ305" i="10" s="1"/>
  <c r="AW305" i="10"/>
  <c r="R307" i="10"/>
  <c r="AL307" i="10" s="1"/>
  <c r="AN307" i="10" s="1"/>
  <c r="W307" i="10"/>
  <c r="AP307" i="10" s="1"/>
  <c r="AR307" i="10" s="1"/>
  <c r="AJ307" i="10"/>
  <c r="AX307" i="10" s="1"/>
  <c r="AZ307" i="10" s="1"/>
  <c r="AJ306" i="10"/>
  <c r="AX306" i="10" s="1"/>
  <c r="AZ306" i="10" s="1"/>
  <c r="AD304" i="10"/>
  <c r="AH304" i="10" s="1"/>
  <c r="AI304" i="10" s="1"/>
  <c r="AD302" i="10"/>
  <c r="AH302" i="10" s="1"/>
  <c r="AI302" i="10" s="1"/>
  <c r="AW302" i="10" s="1"/>
  <c r="E304" i="10"/>
  <c r="H304" i="10"/>
  <c r="BH304" i="10" s="1"/>
  <c r="I304" i="10"/>
  <c r="J304" i="10"/>
  <c r="K304" i="10"/>
  <c r="L304" i="10"/>
  <c r="M304" i="10" s="1"/>
  <c r="P304" i="10"/>
  <c r="U304" i="10" s="1"/>
  <c r="V304" i="10" s="1"/>
  <c r="AO304" i="10" s="1"/>
  <c r="Q304" i="10"/>
  <c r="AK304" i="10" s="1"/>
  <c r="Z304" i="10"/>
  <c r="AA304" i="10"/>
  <c r="AS304" i="10" s="1"/>
  <c r="AB304" i="10"/>
  <c r="AT304" i="10" s="1"/>
  <c r="AM304" i="10"/>
  <c r="AQ304" i="10"/>
  <c r="AU304" i="10"/>
  <c r="AY304" i="10"/>
  <c r="BG304" i="10" s="1"/>
  <c r="BF304" i="10"/>
  <c r="BJ304" i="10"/>
  <c r="E303" i="10"/>
  <c r="H303" i="10"/>
  <c r="BH303" i="10" s="1"/>
  <c r="I303" i="10"/>
  <c r="J303" i="10"/>
  <c r="K303" i="10"/>
  <c r="L303" i="10"/>
  <c r="M303" i="10" s="1"/>
  <c r="P303" i="10"/>
  <c r="U303" i="10" s="1"/>
  <c r="Q303" i="10"/>
  <c r="AK303" i="10" s="1"/>
  <c r="Z303" i="10"/>
  <c r="AA303" i="10"/>
  <c r="AS303" i="10" s="1"/>
  <c r="AB303" i="10"/>
  <c r="AT303" i="10" s="1"/>
  <c r="AH303" i="10"/>
  <c r="AI303" i="10" s="1"/>
  <c r="AW303" i="10" s="1"/>
  <c r="AM303" i="10"/>
  <c r="AQ303" i="10"/>
  <c r="AU303" i="10"/>
  <c r="AY303" i="10"/>
  <c r="BG303" i="10" s="1"/>
  <c r="BF303" i="10"/>
  <c r="BJ303" i="10"/>
  <c r="E302" i="10"/>
  <c r="H302" i="10"/>
  <c r="BH302" i="10" s="1"/>
  <c r="I302" i="10"/>
  <c r="J302" i="10"/>
  <c r="K302" i="10"/>
  <c r="L302" i="10"/>
  <c r="M302" i="10" s="1"/>
  <c r="P302" i="10"/>
  <c r="U302" i="10" s="1"/>
  <c r="V302" i="10" s="1"/>
  <c r="AO302" i="10" s="1"/>
  <c r="Q302" i="10"/>
  <c r="AK302" i="10" s="1"/>
  <c r="Z302" i="10"/>
  <c r="AA302" i="10"/>
  <c r="AS302" i="10" s="1"/>
  <c r="AB302" i="10"/>
  <c r="AT302" i="10" s="1"/>
  <c r="AM302" i="10"/>
  <c r="AQ302" i="10"/>
  <c r="AU302" i="10"/>
  <c r="AY302" i="10"/>
  <c r="BG302" i="10" s="1"/>
  <c r="BF302" i="10"/>
  <c r="BJ302" i="10"/>
  <c r="AD300" i="10"/>
  <c r="AH300" i="10" s="1"/>
  <c r="AI300" i="10" s="1"/>
  <c r="S300" i="10"/>
  <c r="E301" i="10"/>
  <c r="H301" i="10"/>
  <c r="BH301" i="10" s="1"/>
  <c r="I301" i="10"/>
  <c r="J301" i="10"/>
  <c r="K301" i="10"/>
  <c r="L301" i="10"/>
  <c r="M301" i="10" s="1"/>
  <c r="P301" i="10"/>
  <c r="U301" i="10" s="1"/>
  <c r="Q301" i="10"/>
  <c r="AK301" i="10" s="1"/>
  <c r="Z301" i="10"/>
  <c r="AA301" i="10"/>
  <c r="AS301" i="10" s="1"/>
  <c r="AB301" i="10"/>
  <c r="AT301" i="10" s="1"/>
  <c r="AH301" i="10"/>
  <c r="AI301" i="10" s="1"/>
  <c r="AW301" i="10" s="1"/>
  <c r="AM301" i="10"/>
  <c r="AQ301" i="10"/>
  <c r="AU301" i="10"/>
  <c r="AY301" i="10"/>
  <c r="BG301" i="10" s="1"/>
  <c r="BF301" i="10"/>
  <c r="BJ301" i="10"/>
  <c r="E300" i="10"/>
  <c r="H300" i="10"/>
  <c r="BH300" i="10" s="1"/>
  <c r="I300" i="10"/>
  <c r="J300" i="10"/>
  <c r="K300" i="10"/>
  <c r="L300" i="10"/>
  <c r="M300" i="10" s="1"/>
  <c r="P300" i="10"/>
  <c r="U300" i="10" s="1"/>
  <c r="V300" i="10" s="1"/>
  <c r="AO300" i="10" s="1"/>
  <c r="Q300" i="10"/>
  <c r="AK300" i="10" s="1"/>
  <c r="Z300" i="10"/>
  <c r="AA300" i="10"/>
  <c r="AS300" i="10" s="1"/>
  <c r="AB300" i="10"/>
  <c r="AT300" i="10" s="1"/>
  <c r="AM300" i="10"/>
  <c r="AQ300" i="10"/>
  <c r="AU300" i="10"/>
  <c r="AY300" i="10"/>
  <c r="G56" i="15"/>
  <c r="F56" i="15"/>
  <c r="E299" i="10"/>
  <c r="H299" i="10"/>
  <c r="BH299" i="10" s="1"/>
  <c r="I299" i="10"/>
  <c r="J299" i="10"/>
  <c r="K299" i="10"/>
  <c r="L299" i="10"/>
  <c r="M299" i="10" s="1"/>
  <c r="P299" i="10"/>
  <c r="U299" i="10" s="1"/>
  <c r="Q299" i="10"/>
  <c r="AK299" i="10" s="1"/>
  <c r="Z299" i="10"/>
  <c r="AA299" i="10"/>
  <c r="AS299" i="10" s="1"/>
  <c r="AB299" i="10"/>
  <c r="AT299" i="10" s="1"/>
  <c r="AH299" i="10"/>
  <c r="AI299" i="10" s="1"/>
  <c r="AW299" i="10" s="1"/>
  <c r="AM299" i="10"/>
  <c r="AQ299" i="10"/>
  <c r="AU299" i="10"/>
  <c r="AY299" i="10"/>
  <c r="BG299" i="10" s="1"/>
  <c r="BF299" i="10"/>
  <c r="BJ299" i="10"/>
  <c r="E298" i="10"/>
  <c r="H298" i="10"/>
  <c r="BH298" i="10" s="1"/>
  <c r="I298" i="10"/>
  <c r="J298" i="10"/>
  <c r="K298" i="10"/>
  <c r="L298" i="10"/>
  <c r="M298" i="10" s="1"/>
  <c r="P298" i="10"/>
  <c r="U298" i="10" s="1"/>
  <c r="Q298" i="10"/>
  <c r="AK298" i="10" s="1"/>
  <c r="Z298" i="10"/>
  <c r="AA298" i="10"/>
  <c r="AS298" i="10" s="1"/>
  <c r="AB298" i="10"/>
  <c r="AT298" i="10" s="1"/>
  <c r="AH298" i="10"/>
  <c r="AI298" i="10" s="1"/>
  <c r="AW298" i="10" s="1"/>
  <c r="AM298" i="10"/>
  <c r="AQ298" i="10"/>
  <c r="AU298" i="10"/>
  <c r="AY298" i="10"/>
  <c r="BG298" i="10" s="1"/>
  <c r="BF298" i="10"/>
  <c r="BJ298" i="10"/>
  <c r="S295" i="10"/>
  <c r="BE308" i="10" l="1"/>
  <c r="BM308" i="10"/>
  <c r="BE313" i="10"/>
  <c r="BM313" i="10"/>
  <c r="BE310" i="10"/>
  <c r="BM310" i="10"/>
  <c r="BE309" i="10"/>
  <c r="BM309" i="10"/>
  <c r="BE311" i="10"/>
  <c r="BM311" i="10"/>
  <c r="AJ304" i="10"/>
  <c r="AX304" i="10" s="1"/>
  <c r="AZ304" i="10" s="1"/>
  <c r="BB306" i="10"/>
  <c r="BD306" i="10" s="1"/>
  <c r="W303" i="10"/>
  <c r="AP303" i="10" s="1"/>
  <c r="AR303" i="10" s="1"/>
  <c r="R304" i="10"/>
  <c r="AL304" i="10" s="1"/>
  <c r="AN304" i="10" s="1"/>
  <c r="W302" i="10"/>
  <c r="AP302" i="10" s="1"/>
  <c r="AR302" i="10" s="1"/>
  <c r="V303" i="10"/>
  <c r="AO303" i="10" s="1"/>
  <c r="BA306" i="10"/>
  <c r="V305" i="10"/>
  <c r="AO305" i="10" s="1"/>
  <c r="W305" i="10"/>
  <c r="AP305" i="10" s="1"/>
  <c r="AR305" i="10" s="1"/>
  <c r="BA305" i="10" s="1"/>
  <c r="BA307" i="10"/>
  <c r="BB307" i="10"/>
  <c r="BD307" i="10" s="1"/>
  <c r="AV304" i="10"/>
  <c r="W299" i="10"/>
  <c r="AP299" i="10" s="1"/>
  <c r="AR299" i="10" s="1"/>
  <c r="W304" i="10"/>
  <c r="AP304" i="10" s="1"/>
  <c r="AR304" i="10" s="1"/>
  <c r="R303" i="10"/>
  <c r="AL303" i="10" s="1"/>
  <c r="AN303" i="10" s="1"/>
  <c r="R301" i="10"/>
  <c r="AL301" i="10" s="1"/>
  <c r="AN301" i="10" s="1"/>
  <c r="AV303" i="10"/>
  <c r="V301" i="10"/>
  <c r="AO301" i="10" s="1"/>
  <c r="W301" i="10"/>
  <c r="AP301" i="10" s="1"/>
  <c r="AR301" i="10" s="1"/>
  <c r="R302" i="10"/>
  <c r="AL302" i="10" s="1"/>
  <c r="AN302" i="10" s="1"/>
  <c r="V299" i="10"/>
  <c r="AO299" i="10" s="1"/>
  <c r="AW304" i="10"/>
  <c r="AV302" i="10"/>
  <c r="AJ302" i="10"/>
  <c r="AX302" i="10" s="1"/>
  <c r="AZ302" i="10" s="1"/>
  <c r="AJ303" i="10"/>
  <c r="AX303" i="10" s="1"/>
  <c r="AV301" i="10"/>
  <c r="AJ300" i="10"/>
  <c r="AX300" i="10" s="1"/>
  <c r="AZ300" i="10" s="1"/>
  <c r="AW300" i="10"/>
  <c r="AJ301" i="10"/>
  <c r="AX301" i="10" s="1"/>
  <c r="AZ301" i="10" s="1"/>
  <c r="W300" i="10"/>
  <c r="AP300" i="10" s="1"/>
  <c r="AR300" i="10" s="1"/>
  <c r="R300" i="10"/>
  <c r="AL300" i="10" s="1"/>
  <c r="AN300" i="10" s="1"/>
  <c r="AV300" i="10"/>
  <c r="AV299" i="10"/>
  <c r="W298" i="10"/>
  <c r="AP298" i="10" s="1"/>
  <c r="AR298" i="10" s="1"/>
  <c r="V298" i="10"/>
  <c r="AO298" i="10" s="1"/>
  <c r="AJ299" i="10"/>
  <c r="AX299" i="10" s="1"/>
  <c r="AJ298" i="10"/>
  <c r="AX298" i="10" s="1"/>
  <c r="AZ298" i="10" s="1"/>
  <c r="R299" i="10"/>
  <c r="AL299" i="10" s="1"/>
  <c r="AN299" i="10" s="1"/>
  <c r="R298" i="10"/>
  <c r="AL298" i="10" s="1"/>
  <c r="AN298" i="10" s="1"/>
  <c r="AV298" i="10"/>
  <c r="E297" i="10"/>
  <c r="H297" i="10"/>
  <c r="BH297" i="10" s="1"/>
  <c r="I297" i="10"/>
  <c r="J297" i="10"/>
  <c r="K297" i="10"/>
  <c r="L297" i="10"/>
  <c r="M297" i="10" s="1"/>
  <c r="P297" i="10"/>
  <c r="U297" i="10" s="1"/>
  <c r="Q297" i="10"/>
  <c r="AK297" i="10" s="1"/>
  <c r="Z297" i="10"/>
  <c r="AA297" i="10"/>
  <c r="AS297" i="10" s="1"/>
  <c r="AB297" i="10"/>
  <c r="AT297" i="10" s="1"/>
  <c r="AH297" i="10"/>
  <c r="AI297" i="10" s="1"/>
  <c r="AW297" i="10" s="1"/>
  <c r="AM297" i="10"/>
  <c r="AQ297" i="10"/>
  <c r="AU297" i="10"/>
  <c r="AY297" i="10"/>
  <c r="BG297" i="10" s="1"/>
  <c r="BF297" i="10"/>
  <c r="BJ297" i="10"/>
  <c r="E296" i="10"/>
  <c r="H296" i="10"/>
  <c r="BH296" i="10" s="1"/>
  <c r="I296" i="10"/>
  <c r="J296" i="10"/>
  <c r="K296" i="10"/>
  <c r="L296" i="10"/>
  <c r="M296" i="10" s="1"/>
  <c r="P296" i="10"/>
  <c r="U296" i="10" s="1"/>
  <c r="Q296" i="10"/>
  <c r="AK296" i="10" s="1"/>
  <c r="Z296" i="10"/>
  <c r="AA296" i="10"/>
  <c r="AS296" i="10" s="1"/>
  <c r="AB296" i="10"/>
  <c r="AT296" i="10" s="1"/>
  <c r="AH296" i="10"/>
  <c r="AI296" i="10" s="1"/>
  <c r="AW296" i="10" s="1"/>
  <c r="AM296" i="10"/>
  <c r="AQ296" i="10"/>
  <c r="AU296" i="10"/>
  <c r="AY296" i="10"/>
  <c r="BG296" i="10" s="1"/>
  <c r="BF296" i="10"/>
  <c r="BJ296" i="10"/>
  <c r="E295" i="10"/>
  <c r="H295" i="10"/>
  <c r="BH295" i="10" s="1"/>
  <c r="I295" i="10"/>
  <c r="J295" i="10"/>
  <c r="K295" i="10"/>
  <c r="L295" i="10"/>
  <c r="M295" i="10" s="1"/>
  <c r="P295" i="10"/>
  <c r="U295" i="10" s="1"/>
  <c r="Q295" i="10"/>
  <c r="AK295" i="10" s="1"/>
  <c r="Z295" i="10"/>
  <c r="AA295" i="10"/>
  <c r="AS295" i="10" s="1"/>
  <c r="AB295" i="10"/>
  <c r="AT295" i="10" s="1"/>
  <c r="AH295" i="10"/>
  <c r="AI295" i="10" s="1"/>
  <c r="AW295" i="10" s="1"/>
  <c r="AM295" i="10"/>
  <c r="AQ295" i="10"/>
  <c r="AU295" i="10"/>
  <c r="AY295" i="10"/>
  <c r="AD293" i="10"/>
  <c r="AH293" i="10" s="1"/>
  <c r="AI293" i="10" s="1"/>
  <c r="AW293" i="10" s="1"/>
  <c r="F52" i="15"/>
  <c r="H94" i="14"/>
  <c r="AD291" i="10"/>
  <c r="AH291" i="10" s="1"/>
  <c r="AI291" i="10" s="1"/>
  <c r="E294" i="10"/>
  <c r="H294" i="10"/>
  <c r="BH294" i="10" s="1"/>
  <c r="I294" i="10"/>
  <c r="J294" i="10"/>
  <c r="K294" i="10"/>
  <c r="L294" i="10"/>
  <c r="M294" i="10" s="1"/>
  <c r="P294" i="10"/>
  <c r="U294" i="10" s="1"/>
  <c r="V294" i="10" s="1"/>
  <c r="AO294" i="10" s="1"/>
  <c r="Q294" i="10"/>
  <c r="AK294" i="10" s="1"/>
  <c r="Z294" i="10"/>
  <c r="AA294" i="10"/>
  <c r="AS294" i="10" s="1"/>
  <c r="AB294" i="10"/>
  <c r="AT294" i="10" s="1"/>
  <c r="AH294" i="10"/>
  <c r="AI294" i="10" s="1"/>
  <c r="AW294" i="10" s="1"/>
  <c r="AM294" i="10"/>
  <c r="AQ294" i="10"/>
  <c r="AU294" i="10"/>
  <c r="AY294" i="10"/>
  <c r="BG294" i="10" s="1"/>
  <c r="BF294" i="10"/>
  <c r="BJ294" i="10"/>
  <c r="E293" i="10"/>
  <c r="H293" i="10"/>
  <c r="BH293" i="10" s="1"/>
  <c r="I293" i="10"/>
  <c r="J293" i="10"/>
  <c r="K293" i="10"/>
  <c r="L293" i="10"/>
  <c r="M293" i="10" s="1"/>
  <c r="P293" i="10"/>
  <c r="U293" i="10" s="1"/>
  <c r="Q293" i="10"/>
  <c r="AK293" i="10" s="1"/>
  <c r="Z293" i="10"/>
  <c r="AA293" i="10"/>
  <c r="AS293" i="10" s="1"/>
  <c r="AB293" i="10"/>
  <c r="AT293" i="10" s="1"/>
  <c r="AM293" i="10"/>
  <c r="AQ293" i="10"/>
  <c r="AU293" i="10"/>
  <c r="AY293" i="10"/>
  <c r="BG293" i="10" s="1"/>
  <c r="BF293" i="10"/>
  <c r="BJ293" i="10"/>
  <c r="E292" i="10"/>
  <c r="H292" i="10"/>
  <c r="BH292" i="10" s="1"/>
  <c r="I292" i="10"/>
  <c r="J292" i="10"/>
  <c r="K292" i="10"/>
  <c r="L292" i="10"/>
  <c r="M292" i="10" s="1"/>
  <c r="P292" i="10"/>
  <c r="U292" i="10" s="1"/>
  <c r="V292" i="10" s="1"/>
  <c r="AO292" i="10" s="1"/>
  <c r="Q292" i="10"/>
  <c r="AK292" i="10" s="1"/>
  <c r="Z292" i="10"/>
  <c r="AA292" i="10"/>
  <c r="AS292" i="10" s="1"/>
  <c r="AB292" i="10"/>
  <c r="AT292" i="10" s="1"/>
  <c r="AH292" i="10"/>
  <c r="AI292" i="10" s="1"/>
  <c r="AW292" i="10" s="1"/>
  <c r="AM292" i="10"/>
  <c r="AQ292" i="10"/>
  <c r="AU292" i="10"/>
  <c r="AY292" i="10"/>
  <c r="BG292" i="10" s="1"/>
  <c r="BF292" i="10"/>
  <c r="BJ292" i="10"/>
  <c r="E291" i="10"/>
  <c r="H291" i="10"/>
  <c r="BH291" i="10" s="1"/>
  <c r="I291" i="10"/>
  <c r="J291" i="10"/>
  <c r="K291" i="10"/>
  <c r="L291" i="10"/>
  <c r="M291" i="10" s="1"/>
  <c r="P291" i="10"/>
  <c r="U291" i="10" s="1"/>
  <c r="V291" i="10" s="1"/>
  <c r="AO291" i="10" s="1"/>
  <c r="Q291" i="10"/>
  <c r="AK291" i="10" s="1"/>
  <c r="Z291" i="10"/>
  <c r="AA291" i="10"/>
  <c r="AS291" i="10" s="1"/>
  <c r="AB291" i="10"/>
  <c r="AT291" i="10" s="1"/>
  <c r="AM291" i="10"/>
  <c r="AQ291" i="10"/>
  <c r="AU291" i="10"/>
  <c r="AY291" i="10"/>
  <c r="BG291" i="10" s="1"/>
  <c r="BF291" i="10"/>
  <c r="BJ291" i="10"/>
  <c r="E290" i="10"/>
  <c r="H290" i="10"/>
  <c r="BH290" i="10" s="1"/>
  <c r="I290" i="10"/>
  <c r="J290" i="10"/>
  <c r="K290" i="10"/>
  <c r="L290" i="10"/>
  <c r="M290" i="10" s="1"/>
  <c r="P290" i="10"/>
  <c r="U290" i="10" s="1"/>
  <c r="V290" i="10" s="1"/>
  <c r="AO290" i="10" s="1"/>
  <c r="Q290" i="10"/>
  <c r="AK290" i="10" s="1"/>
  <c r="Z290" i="10"/>
  <c r="AA290" i="10"/>
  <c r="AS290" i="10" s="1"/>
  <c r="AB290" i="10"/>
  <c r="AT290" i="10" s="1"/>
  <c r="AH290" i="10"/>
  <c r="AI290" i="10" s="1"/>
  <c r="AW290" i="10" s="1"/>
  <c r="AM290" i="10"/>
  <c r="AQ290" i="10"/>
  <c r="AU290" i="10"/>
  <c r="AY290" i="10"/>
  <c r="BG290" i="10" s="1"/>
  <c r="BF290" i="10"/>
  <c r="BJ290" i="10"/>
  <c r="AD289" i="10"/>
  <c r="AH289" i="10" s="1"/>
  <c r="AI289" i="10" s="1"/>
  <c r="F286" i="10"/>
  <c r="E289" i="10"/>
  <c r="H289" i="10"/>
  <c r="BH289" i="10" s="1"/>
  <c r="I289" i="10"/>
  <c r="J289" i="10"/>
  <c r="K289" i="10"/>
  <c r="L289" i="10"/>
  <c r="M289" i="10" s="1"/>
  <c r="P289" i="10"/>
  <c r="U289" i="10" s="1"/>
  <c r="V289" i="10" s="1"/>
  <c r="AO289" i="10" s="1"/>
  <c r="Q289" i="10"/>
  <c r="AK289" i="10" s="1"/>
  <c r="Z289" i="10"/>
  <c r="AA289" i="10"/>
  <c r="AS289" i="10" s="1"/>
  <c r="AB289" i="10"/>
  <c r="AT289" i="10" s="1"/>
  <c r="AM289" i="10"/>
  <c r="AQ289" i="10"/>
  <c r="AU289" i="10"/>
  <c r="AY289" i="10"/>
  <c r="BG289" i="10" s="1"/>
  <c r="BF289" i="10"/>
  <c r="BJ289" i="10"/>
  <c r="E288" i="10"/>
  <c r="H288" i="10"/>
  <c r="BH288" i="10" s="1"/>
  <c r="I288" i="10"/>
  <c r="J288" i="10"/>
  <c r="K288" i="10"/>
  <c r="L288" i="10"/>
  <c r="M288" i="10" s="1"/>
  <c r="P288" i="10"/>
  <c r="U288" i="10" s="1"/>
  <c r="V288" i="10" s="1"/>
  <c r="AO288" i="10" s="1"/>
  <c r="Q288" i="10"/>
  <c r="AK288" i="10" s="1"/>
  <c r="Z288" i="10"/>
  <c r="AA288" i="10"/>
  <c r="AS288" i="10" s="1"/>
  <c r="AB288" i="10"/>
  <c r="AT288" i="10" s="1"/>
  <c r="AH288" i="10"/>
  <c r="AI288" i="10" s="1"/>
  <c r="AM288" i="10"/>
  <c r="AQ288" i="10"/>
  <c r="AU288" i="10"/>
  <c r="AY288" i="10"/>
  <c r="BG288" i="10" s="1"/>
  <c r="BF288" i="10"/>
  <c r="BJ288" i="10"/>
  <c r="E287" i="10"/>
  <c r="H287" i="10"/>
  <c r="BH287" i="10" s="1"/>
  <c r="I287" i="10"/>
  <c r="J287" i="10"/>
  <c r="K287" i="10"/>
  <c r="L287" i="10"/>
  <c r="M287" i="10" s="1"/>
  <c r="P287" i="10"/>
  <c r="U287" i="10" s="1"/>
  <c r="V287" i="10" s="1"/>
  <c r="AO287" i="10" s="1"/>
  <c r="Q287" i="10"/>
  <c r="AK287" i="10" s="1"/>
  <c r="Z287" i="10"/>
  <c r="AA287" i="10"/>
  <c r="AS287" i="10" s="1"/>
  <c r="AB287" i="10"/>
  <c r="AT287" i="10" s="1"/>
  <c r="AH287" i="10"/>
  <c r="AI287" i="10" s="1"/>
  <c r="AW287" i="10" s="1"/>
  <c r="AM287" i="10"/>
  <c r="AQ287" i="10"/>
  <c r="AU287" i="10"/>
  <c r="AY287" i="10"/>
  <c r="BG287" i="10" s="1"/>
  <c r="BF287" i="10"/>
  <c r="BJ287" i="10"/>
  <c r="E286" i="10"/>
  <c r="H286" i="10"/>
  <c r="BH286" i="10" s="1"/>
  <c r="I286" i="10"/>
  <c r="J286" i="10"/>
  <c r="K286" i="10"/>
  <c r="L286" i="10"/>
  <c r="P286" i="10"/>
  <c r="U286" i="10" s="1"/>
  <c r="V286" i="10" s="1"/>
  <c r="AO286" i="10" s="1"/>
  <c r="Q286" i="10"/>
  <c r="AK286" i="10" s="1"/>
  <c r="Z286" i="10"/>
  <c r="AA286" i="10"/>
  <c r="AS286" i="10" s="1"/>
  <c r="AB286" i="10"/>
  <c r="AT286" i="10" s="1"/>
  <c r="AH286" i="10"/>
  <c r="AI286" i="10" s="1"/>
  <c r="AW286" i="10" s="1"/>
  <c r="AM286" i="10"/>
  <c r="AQ286" i="10"/>
  <c r="AU286" i="10"/>
  <c r="AY286" i="10"/>
  <c r="BG286" i="10" s="1"/>
  <c r="BF286" i="10"/>
  <c r="BJ286" i="10"/>
  <c r="D83" i="14"/>
  <c r="H87" i="14" s="1"/>
  <c r="E45" i="15"/>
  <c r="F43" i="15"/>
  <c r="E43" i="15"/>
  <c r="S281" i="10"/>
  <c r="AD281" i="10"/>
  <c r="BE306" i="10" l="1"/>
  <c r="BM306" i="10"/>
  <c r="BE307" i="10"/>
  <c r="BM307" i="10"/>
  <c r="BB304" i="10"/>
  <c r="BD304" i="10" s="1"/>
  <c r="BB303" i="10"/>
  <c r="BD303" i="10" s="1"/>
  <c r="W291" i="10"/>
  <c r="AP291" i="10" s="1"/>
  <c r="AR291" i="10" s="1"/>
  <c r="W297" i="10"/>
  <c r="AP297" i="10" s="1"/>
  <c r="BB305" i="10"/>
  <c r="BD305" i="10" s="1"/>
  <c r="BB299" i="10"/>
  <c r="BD299" i="10" s="1"/>
  <c r="BA304" i="10"/>
  <c r="AZ303" i="10"/>
  <c r="R289" i="10"/>
  <c r="AL289" i="10" s="1"/>
  <c r="AN289" i="10" s="1"/>
  <c r="V297" i="10"/>
  <c r="AO297" i="10" s="1"/>
  <c r="BA303" i="10"/>
  <c r="BA302" i="10"/>
  <c r="R295" i="10"/>
  <c r="AL295" i="10" s="1"/>
  <c r="AN295" i="10" s="1"/>
  <c r="BB302" i="10"/>
  <c r="BD302" i="10" s="1"/>
  <c r="W296" i="10"/>
  <c r="AP296" i="10" s="1"/>
  <c r="AR296" i="10" s="1"/>
  <c r="V296" i="10"/>
  <c r="AO296" i="10" s="1"/>
  <c r="BB301" i="10"/>
  <c r="BD301" i="10" s="1"/>
  <c r="AJ286" i="10"/>
  <c r="AX286" i="10" s="1"/>
  <c r="AZ286" i="10" s="1"/>
  <c r="R287" i="10"/>
  <c r="AL287" i="10" s="1"/>
  <c r="AN287" i="10" s="1"/>
  <c r="R286" i="10"/>
  <c r="AL286" i="10" s="1"/>
  <c r="AN286" i="10" s="1"/>
  <c r="BA301" i="10"/>
  <c r="AV294" i="10"/>
  <c r="BA299" i="10"/>
  <c r="W288" i="10"/>
  <c r="AP288" i="10" s="1"/>
  <c r="AR288" i="10" s="1"/>
  <c r="AV291" i="10"/>
  <c r="BB300" i="10"/>
  <c r="BA300" i="10"/>
  <c r="AJ289" i="10"/>
  <c r="AX289" i="10" s="1"/>
  <c r="AZ289" i="10" s="1"/>
  <c r="AV288" i="10"/>
  <c r="AW289" i="10"/>
  <c r="AV289" i="10"/>
  <c r="AV297" i="10"/>
  <c r="R297" i="10"/>
  <c r="AL297" i="10" s="1"/>
  <c r="AN297" i="10" s="1"/>
  <c r="W292" i="10"/>
  <c r="AP292" i="10" s="1"/>
  <c r="AR292" i="10" s="1"/>
  <c r="M286" i="10"/>
  <c r="AV295" i="10"/>
  <c r="AZ299" i="10"/>
  <c r="BB298" i="10"/>
  <c r="BD298" i="10" s="1"/>
  <c r="BA298" i="10"/>
  <c r="AR297" i="10"/>
  <c r="AV296" i="10"/>
  <c r="R291" i="10"/>
  <c r="AL291" i="10" s="1"/>
  <c r="AN291" i="10" s="1"/>
  <c r="AJ295" i="10"/>
  <c r="AX295" i="10" s="1"/>
  <c r="AZ295" i="10" s="1"/>
  <c r="AJ296" i="10"/>
  <c r="AX296" i="10" s="1"/>
  <c r="AZ296" i="10" s="1"/>
  <c r="AJ297" i="10"/>
  <c r="AX297" i="10" s="1"/>
  <c r="V295" i="10"/>
  <c r="AO295" i="10" s="1"/>
  <c r="W295" i="10"/>
  <c r="AP295" i="10" s="1"/>
  <c r="AR295" i="10" s="1"/>
  <c r="V293" i="10"/>
  <c r="AO293" i="10" s="1"/>
  <c r="W293" i="10"/>
  <c r="AP293" i="10" s="1"/>
  <c r="AR293" i="10" s="1"/>
  <c r="R293" i="10"/>
  <c r="AL293" i="10" s="1"/>
  <c r="AN293" i="10" s="1"/>
  <c r="R296" i="10"/>
  <c r="AL296" i="10" s="1"/>
  <c r="AN296" i="10" s="1"/>
  <c r="W289" i="10"/>
  <c r="AP289" i="10" s="1"/>
  <c r="AR289" i="10" s="1"/>
  <c r="W286" i="10"/>
  <c r="AP286" i="10" s="1"/>
  <c r="W287" i="10"/>
  <c r="AP287" i="10" s="1"/>
  <c r="AR287" i="10" s="1"/>
  <c r="AV290" i="10"/>
  <c r="AV293" i="10"/>
  <c r="AV292" i="10"/>
  <c r="AV286" i="10"/>
  <c r="AV287" i="10"/>
  <c r="W290" i="10"/>
  <c r="AP290" i="10" s="1"/>
  <c r="AR290" i="10" s="1"/>
  <c r="R290" i="10"/>
  <c r="AL290" i="10" s="1"/>
  <c r="AN290" i="10" s="1"/>
  <c r="R292" i="10"/>
  <c r="AL292" i="10" s="1"/>
  <c r="AN292" i="10" s="1"/>
  <c r="AJ292" i="10"/>
  <c r="AX292" i="10" s="1"/>
  <c r="AZ292" i="10" s="1"/>
  <c r="AJ293" i="10"/>
  <c r="AX293" i="10" s="1"/>
  <c r="AZ293" i="10" s="1"/>
  <c r="AJ290" i="10"/>
  <c r="AX290" i="10" s="1"/>
  <c r="AZ290" i="10" s="1"/>
  <c r="AJ291" i="10"/>
  <c r="AX291" i="10" s="1"/>
  <c r="AZ291" i="10" s="1"/>
  <c r="AW291" i="10"/>
  <c r="W294" i="10"/>
  <c r="AP294" i="10" s="1"/>
  <c r="AR294" i="10" s="1"/>
  <c r="AJ294" i="10"/>
  <c r="AX294" i="10" s="1"/>
  <c r="R294" i="10"/>
  <c r="AL294" i="10" s="1"/>
  <c r="AN294" i="10" s="1"/>
  <c r="AJ287" i="10"/>
  <c r="AX287" i="10" s="1"/>
  <c r="AZ287" i="10" s="1"/>
  <c r="R288" i="10"/>
  <c r="AL288" i="10" s="1"/>
  <c r="AN288" i="10" s="1"/>
  <c r="AJ288" i="10"/>
  <c r="AX288" i="10" s="1"/>
  <c r="AZ288" i="10" s="1"/>
  <c r="AW288" i="10"/>
  <c r="F77" i="14"/>
  <c r="F283" i="10"/>
  <c r="F281" i="10"/>
  <c r="E282" i="10"/>
  <c r="H282" i="10"/>
  <c r="BH282" i="10" s="1"/>
  <c r="I282" i="10"/>
  <c r="J282" i="10"/>
  <c r="K282" i="10"/>
  <c r="L282" i="10"/>
  <c r="M282" i="10" s="1"/>
  <c r="P282" i="10"/>
  <c r="U282" i="10" s="1"/>
  <c r="Q282" i="10"/>
  <c r="AK282" i="10" s="1"/>
  <c r="Z282" i="10"/>
  <c r="AA282" i="10"/>
  <c r="AS282" i="10" s="1"/>
  <c r="AB282" i="10"/>
  <c r="AT282" i="10" s="1"/>
  <c r="AH282" i="10"/>
  <c r="AI282" i="10" s="1"/>
  <c r="AM282" i="10"/>
  <c r="AQ282" i="10"/>
  <c r="AU282" i="10"/>
  <c r="AY282" i="10"/>
  <c r="BG282" i="10" s="1"/>
  <c r="BF282" i="10"/>
  <c r="BJ282" i="10"/>
  <c r="E285" i="10"/>
  <c r="H285" i="10"/>
  <c r="BH285" i="10" s="1"/>
  <c r="I285" i="10"/>
  <c r="J285" i="10"/>
  <c r="K285" i="10"/>
  <c r="L285" i="10"/>
  <c r="M285" i="10" s="1"/>
  <c r="P285" i="10"/>
  <c r="U285" i="10" s="1"/>
  <c r="V285" i="10" s="1"/>
  <c r="AO285" i="10" s="1"/>
  <c r="Q285" i="10"/>
  <c r="AK285" i="10" s="1"/>
  <c r="Z285" i="10"/>
  <c r="AA285" i="10"/>
  <c r="AS285" i="10" s="1"/>
  <c r="AB285" i="10"/>
  <c r="AT285" i="10" s="1"/>
  <c r="AH285" i="10"/>
  <c r="AI285" i="10" s="1"/>
  <c r="AW285" i="10" s="1"/>
  <c r="AM285" i="10"/>
  <c r="AQ285" i="10"/>
  <c r="AU285" i="10"/>
  <c r="AY285" i="10"/>
  <c r="BG285" i="10" s="1"/>
  <c r="BF285" i="10"/>
  <c r="BJ285" i="10"/>
  <c r="E284" i="10"/>
  <c r="H284" i="10"/>
  <c r="BH284" i="10" s="1"/>
  <c r="I284" i="10"/>
  <c r="J284" i="10"/>
  <c r="K284" i="10"/>
  <c r="L284" i="10"/>
  <c r="M284" i="10" s="1"/>
  <c r="P284" i="10"/>
  <c r="U284" i="10" s="1"/>
  <c r="V284" i="10" s="1"/>
  <c r="AO284" i="10" s="1"/>
  <c r="Q284" i="10"/>
  <c r="AK284" i="10" s="1"/>
  <c r="Z284" i="10"/>
  <c r="AA284" i="10"/>
  <c r="AS284" i="10" s="1"/>
  <c r="AB284" i="10"/>
  <c r="AT284" i="10" s="1"/>
  <c r="AH284" i="10"/>
  <c r="AI284" i="10" s="1"/>
  <c r="AW284" i="10" s="1"/>
  <c r="AM284" i="10"/>
  <c r="AQ284" i="10"/>
  <c r="AU284" i="10"/>
  <c r="AY284" i="10"/>
  <c r="BG284" i="10" s="1"/>
  <c r="BF284" i="10"/>
  <c r="BJ284" i="10"/>
  <c r="E283" i="10"/>
  <c r="H283" i="10"/>
  <c r="BH283" i="10" s="1"/>
  <c r="I283" i="10"/>
  <c r="J283" i="10"/>
  <c r="K283" i="10"/>
  <c r="L283" i="10"/>
  <c r="P283" i="10"/>
  <c r="Q283" i="10"/>
  <c r="AK283" i="10" s="1"/>
  <c r="Z283" i="10"/>
  <c r="AA283" i="10"/>
  <c r="AS283" i="10" s="1"/>
  <c r="AB283" i="10"/>
  <c r="AT283" i="10" s="1"/>
  <c r="AH283" i="10"/>
  <c r="AI283" i="10" s="1"/>
  <c r="AW283" i="10" s="1"/>
  <c r="AM283" i="10"/>
  <c r="AQ283" i="10"/>
  <c r="AU283" i="10"/>
  <c r="AY283" i="10"/>
  <c r="BG283" i="10" s="1"/>
  <c r="BF283" i="10"/>
  <c r="BJ283" i="10"/>
  <c r="E281" i="10"/>
  <c r="H281" i="10"/>
  <c r="BH281" i="10" s="1"/>
  <c r="I281" i="10"/>
  <c r="J281" i="10"/>
  <c r="K281" i="10"/>
  <c r="L281" i="10"/>
  <c r="P281" i="10"/>
  <c r="Q281" i="10"/>
  <c r="AK281" i="10" s="1"/>
  <c r="Z281" i="10"/>
  <c r="AA281" i="10"/>
  <c r="AS281" i="10" s="1"/>
  <c r="AB281" i="10"/>
  <c r="AT281" i="10" s="1"/>
  <c r="AH281" i="10"/>
  <c r="AI281" i="10" s="1"/>
  <c r="AW281" i="10" s="1"/>
  <c r="AM281" i="10"/>
  <c r="AQ281" i="10"/>
  <c r="AU281" i="10"/>
  <c r="AY281" i="10"/>
  <c r="BG281" i="10" s="1"/>
  <c r="BF281" i="10"/>
  <c r="BJ281" i="10"/>
  <c r="BC271" i="10"/>
  <c r="AH277" i="10"/>
  <c r="AI277" i="10" s="1"/>
  <c r="AD279" i="10"/>
  <c r="AH279" i="10" s="1"/>
  <c r="AI279" i="10" s="1"/>
  <c r="AW279" i="10" s="1"/>
  <c r="H72" i="14"/>
  <c r="H76" i="14"/>
  <c r="S277" i="10"/>
  <c r="F277" i="10"/>
  <c r="E280" i="10"/>
  <c r="H280" i="10"/>
  <c r="BH280" i="10" s="1"/>
  <c r="I280" i="10"/>
  <c r="J280" i="10"/>
  <c r="K280" i="10"/>
  <c r="L280" i="10"/>
  <c r="M280" i="10" s="1"/>
  <c r="P280" i="10"/>
  <c r="U280" i="10" s="1"/>
  <c r="V280" i="10" s="1"/>
  <c r="AO280" i="10" s="1"/>
  <c r="Q280" i="10"/>
  <c r="AK280" i="10" s="1"/>
  <c r="Z280" i="10"/>
  <c r="AA280" i="10"/>
  <c r="AS280" i="10" s="1"/>
  <c r="AB280" i="10"/>
  <c r="AT280" i="10" s="1"/>
  <c r="AH280" i="10"/>
  <c r="AI280" i="10" s="1"/>
  <c r="AW280" i="10" s="1"/>
  <c r="AM280" i="10"/>
  <c r="AQ280" i="10"/>
  <c r="AU280" i="10"/>
  <c r="AY280" i="10"/>
  <c r="BG280" i="10" s="1"/>
  <c r="BF280" i="10"/>
  <c r="BJ280" i="10"/>
  <c r="E279" i="10"/>
  <c r="H279" i="10"/>
  <c r="BH279" i="10" s="1"/>
  <c r="I279" i="10"/>
  <c r="J279" i="10"/>
  <c r="K279" i="10"/>
  <c r="L279" i="10"/>
  <c r="M279" i="10" s="1"/>
  <c r="P279" i="10"/>
  <c r="U279" i="10" s="1"/>
  <c r="V279" i="10" s="1"/>
  <c r="AO279" i="10" s="1"/>
  <c r="Q279" i="10"/>
  <c r="AK279" i="10" s="1"/>
  <c r="Z279" i="10"/>
  <c r="AA279" i="10"/>
  <c r="AS279" i="10" s="1"/>
  <c r="AB279" i="10"/>
  <c r="AT279" i="10" s="1"/>
  <c r="AM279" i="10"/>
  <c r="AQ279" i="10"/>
  <c r="AU279" i="10"/>
  <c r="AY279" i="10"/>
  <c r="BG279" i="10" s="1"/>
  <c r="BF279" i="10"/>
  <c r="BJ279" i="10"/>
  <c r="E278" i="10"/>
  <c r="H278" i="10"/>
  <c r="BH278" i="10" s="1"/>
  <c r="I278" i="10"/>
  <c r="J278" i="10"/>
  <c r="K278" i="10"/>
  <c r="L278" i="10"/>
  <c r="M278" i="10" s="1"/>
  <c r="P278" i="10"/>
  <c r="U278" i="10" s="1"/>
  <c r="V278" i="10" s="1"/>
  <c r="AO278" i="10" s="1"/>
  <c r="Q278" i="10"/>
  <c r="AK278" i="10" s="1"/>
  <c r="Z278" i="10"/>
  <c r="AA278" i="10"/>
  <c r="AS278" i="10" s="1"/>
  <c r="AB278" i="10"/>
  <c r="AT278" i="10" s="1"/>
  <c r="AH278" i="10"/>
  <c r="AI278" i="10" s="1"/>
  <c r="AW278" i="10" s="1"/>
  <c r="AM278" i="10"/>
  <c r="AQ278" i="10"/>
  <c r="AU278" i="10"/>
  <c r="AY278" i="10"/>
  <c r="BG278" i="10" s="1"/>
  <c r="BF278" i="10"/>
  <c r="BJ278" i="10"/>
  <c r="E277" i="10"/>
  <c r="H277" i="10"/>
  <c r="BH277" i="10" s="1"/>
  <c r="I277" i="10"/>
  <c r="J277" i="10"/>
  <c r="K277" i="10"/>
  <c r="L277" i="10"/>
  <c r="P277" i="10"/>
  <c r="U277" i="10" s="1"/>
  <c r="V277" i="10" s="1"/>
  <c r="AO277" i="10" s="1"/>
  <c r="Q277" i="10"/>
  <c r="AK277" i="10" s="1"/>
  <c r="Z277" i="10"/>
  <c r="AA277" i="10"/>
  <c r="AS277" i="10" s="1"/>
  <c r="AB277" i="10"/>
  <c r="AT277" i="10" s="1"/>
  <c r="AM277" i="10"/>
  <c r="AQ277" i="10"/>
  <c r="AU277" i="10"/>
  <c r="AY277" i="10"/>
  <c r="BG277" i="10" s="1"/>
  <c r="BF277" i="10"/>
  <c r="BJ277" i="10"/>
  <c r="E276" i="10"/>
  <c r="H276" i="10"/>
  <c r="BH276" i="10" s="1"/>
  <c r="I276" i="10"/>
  <c r="J276" i="10"/>
  <c r="K276" i="10"/>
  <c r="L276" i="10"/>
  <c r="M276" i="10" s="1"/>
  <c r="P276" i="10"/>
  <c r="U276" i="10" s="1"/>
  <c r="V276" i="10" s="1"/>
  <c r="AO276" i="10" s="1"/>
  <c r="Q276" i="10"/>
  <c r="AK276" i="10" s="1"/>
  <c r="Z276" i="10"/>
  <c r="AA276" i="10"/>
  <c r="AS276" i="10" s="1"/>
  <c r="AB276" i="10"/>
  <c r="AT276" i="10" s="1"/>
  <c r="AH276" i="10"/>
  <c r="AI276" i="10" s="1"/>
  <c r="AW276" i="10" s="1"/>
  <c r="AM276" i="10"/>
  <c r="AQ276" i="10"/>
  <c r="AU276" i="10"/>
  <c r="AY276" i="10"/>
  <c r="BG276" i="10" s="1"/>
  <c r="BF276" i="10"/>
  <c r="BJ276" i="10"/>
  <c r="N36" i="15"/>
  <c r="N31" i="15"/>
  <c r="N24" i="15"/>
  <c r="O36" i="15"/>
  <c r="O31" i="15"/>
  <c r="O24" i="15"/>
  <c r="Q42" i="15"/>
  <c r="Q36" i="15"/>
  <c r="Q31" i="15"/>
  <c r="Q24" i="15"/>
  <c r="F270" i="10"/>
  <c r="BE302" i="10" l="1"/>
  <c r="BM302" i="10"/>
  <c r="BE304" i="10"/>
  <c r="BM304" i="10"/>
  <c r="BE303" i="10"/>
  <c r="BM303" i="10"/>
  <c r="BE299" i="10"/>
  <c r="BM299" i="10"/>
  <c r="BE301" i="10"/>
  <c r="BM301" i="10"/>
  <c r="BE305" i="10"/>
  <c r="BM305" i="10"/>
  <c r="BE298" i="10"/>
  <c r="BM298" i="10"/>
  <c r="M277" i="10"/>
  <c r="U281" i="10"/>
  <c r="V281" i="10" s="1"/>
  <c r="AO281" i="10" s="1"/>
  <c r="U283" i="10"/>
  <c r="V283" i="10" s="1"/>
  <c r="AO283" i="10" s="1"/>
  <c r="BB297" i="10"/>
  <c r="BD297" i="10" s="1"/>
  <c r="BB286" i="10"/>
  <c r="BD286" i="10" s="1"/>
  <c r="BA297" i="10"/>
  <c r="BA288" i="10"/>
  <c r="Q40" i="15"/>
  <c r="Q46" i="15" s="1"/>
  <c r="BA292" i="10"/>
  <c r="W284" i="10"/>
  <c r="AP284" i="10" s="1"/>
  <c r="AR284" i="10" s="1"/>
  <c r="BA289" i="10"/>
  <c r="BA295" i="10"/>
  <c r="BA296" i="10"/>
  <c r="BB296" i="10"/>
  <c r="BD296" i="10" s="1"/>
  <c r="AZ297" i="10"/>
  <c r="BB295" i="10"/>
  <c r="BA291" i="10"/>
  <c r="BA287" i="10"/>
  <c r="BA293" i="10"/>
  <c r="AR286" i="10"/>
  <c r="BA286" i="10" s="1"/>
  <c r="BA290" i="10"/>
  <c r="BB289" i="10"/>
  <c r="BD289" i="10" s="1"/>
  <c r="BA294" i="10"/>
  <c r="BB294" i="10"/>
  <c r="BD294" i="10" s="1"/>
  <c r="BB293" i="10"/>
  <c r="BD293" i="10" s="1"/>
  <c r="AV284" i="10"/>
  <c r="BB287" i="10"/>
  <c r="BD287" i="10" s="1"/>
  <c r="AV282" i="10"/>
  <c r="BB292" i="10"/>
  <c r="BD292" i="10" s="1"/>
  <c r="BB290" i="10"/>
  <c r="BD290" i="10" s="1"/>
  <c r="BB291" i="10"/>
  <c r="BD291" i="10" s="1"/>
  <c r="AZ294" i="10"/>
  <c r="BB288" i="10"/>
  <c r="BD288" i="10" s="1"/>
  <c r="AV281" i="10"/>
  <c r="AJ282" i="10"/>
  <c r="AX282" i="10" s="1"/>
  <c r="AZ282" i="10" s="1"/>
  <c r="AV283" i="10"/>
  <c r="W285" i="10"/>
  <c r="AP285" i="10" s="1"/>
  <c r="AR285" i="10" s="1"/>
  <c r="R285" i="10"/>
  <c r="AL285" i="10" s="1"/>
  <c r="AN285" i="10" s="1"/>
  <c r="R284" i="10"/>
  <c r="AL284" i="10" s="1"/>
  <c r="AN284" i="10" s="1"/>
  <c r="AJ284" i="10"/>
  <c r="AX284" i="10" s="1"/>
  <c r="AZ284" i="10" s="1"/>
  <c r="V282" i="10"/>
  <c r="AO282" i="10" s="1"/>
  <c r="W282" i="10"/>
  <c r="AP282" i="10" s="1"/>
  <c r="AR282" i="10" s="1"/>
  <c r="M283" i="10"/>
  <c r="R282" i="10"/>
  <c r="AL282" i="10" s="1"/>
  <c r="AN282" i="10" s="1"/>
  <c r="AJ281" i="10"/>
  <c r="AX281" i="10" s="1"/>
  <c r="AZ281" i="10" s="1"/>
  <c r="AV285" i="10"/>
  <c r="W277" i="10"/>
  <c r="AP277" i="10" s="1"/>
  <c r="AR277" i="10" s="1"/>
  <c r="M281" i="10"/>
  <c r="W276" i="10"/>
  <c r="AP276" i="10" s="1"/>
  <c r="AR276" i="10" s="1"/>
  <c r="AJ283" i="10"/>
  <c r="AX283" i="10" s="1"/>
  <c r="AJ285" i="10"/>
  <c r="AX285" i="10" s="1"/>
  <c r="AW282" i="10"/>
  <c r="R281" i="10"/>
  <c r="AL281" i="10" s="1"/>
  <c r="AN281" i="10" s="1"/>
  <c r="R283" i="10"/>
  <c r="AL283" i="10" s="1"/>
  <c r="AN283" i="10" s="1"/>
  <c r="W278" i="10"/>
  <c r="AP278" i="10" s="1"/>
  <c r="AR278" i="10" s="1"/>
  <c r="AJ280" i="10"/>
  <c r="AX280" i="10" s="1"/>
  <c r="AZ280" i="10" s="1"/>
  <c r="W279" i="10"/>
  <c r="AP279" i="10" s="1"/>
  <c r="AR279" i="10" s="1"/>
  <c r="R280" i="10"/>
  <c r="AL280" i="10" s="1"/>
  <c r="AN280" i="10" s="1"/>
  <c r="AV276" i="10"/>
  <c r="AV278" i="10"/>
  <c r="AV280" i="10"/>
  <c r="AV279" i="10"/>
  <c r="W280" i="10"/>
  <c r="AP280" i="10" s="1"/>
  <c r="AR280" i="10" s="1"/>
  <c r="R279" i="10"/>
  <c r="AL279" i="10" s="1"/>
  <c r="AN279" i="10" s="1"/>
  <c r="AJ276" i="10"/>
  <c r="AX276" i="10" s="1"/>
  <c r="AJ278" i="10"/>
  <c r="AX278" i="10" s="1"/>
  <c r="R278" i="10"/>
  <c r="AL278" i="10" s="1"/>
  <c r="AN278" i="10" s="1"/>
  <c r="R277" i="10"/>
  <c r="AL277" i="10" s="1"/>
  <c r="AN277" i="10" s="1"/>
  <c r="R276" i="10"/>
  <c r="AL276" i="10" s="1"/>
  <c r="AN276" i="10" s="1"/>
  <c r="AJ279" i="10"/>
  <c r="AX279" i="10" s="1"/>
  <c r="AV277" i="10"/>
  <c r="AJ277" i="10"/>
  <c r="AX277" i="10" s="1"/>
  <c r="AZ277" i="10" s="1"/>
  <c r="AW277" i="10"/>
  <c r="S269" i="10"/>
  <c r="S260" i="10"/>
  <c r="S261" i="10"/>
  <c r="S272" i="10"/>
  <c r="S239" i="10"/>
  <c r="S250" i="10"/>
  <c r="S265" i="10"/>
  <c r="BE297" i="10" l="1"/>
  <c r="BM297" i="10"/>
  <c r="BE288" i="10"/>
  <c r="BM288" i="10"/>
  <c r="BE287" i="10"/>
  <c r="BM287" i="10"/>
  <c r="BE296" i="10"/>
  <c r="BM296" i="10"/>
  <c r="BE289" i="10"/>
  <c r="BM289" i="10"/>
  <c r="BE291" i="10"/>
  <c r="BM291" i="10"/>
  <c r="BE293" i="10"/>
  <c r="BM293" i="10"/>
  <c r="BE290" i="10"/>
  <c r="BM290" i="10"/>
  <c r="BE294" i="10"/>
  <c r="BM294" i="10"/>
  <c r="BE292" i="10"/>
  <c r="BM292" i="10"/>
  <c r="BE286" i="10"/>
  <c r="BM286" i="10"/>
  <c r="W283" i="10"/>
  <c r="AP283" i="10" s="1"/>
  <c r="AR283" i="10" s="1"/>
  <c r="BA283" i="10" s="1"/>
  <c r="W281" i="10"/>
  <c r="AP281" i="10" s="1"/>
  <c r="AR281" i="10" s="1"/>
  <c r="BA281" i="10" s="1"/>
  <c r="BC295" i="10"/>
  <c r="BG295" i="10" s="1"/>
  <c r="BG300" i="10"/>
  <c r="BJ300" i="10"/>
  <c r="BF300" i="10"/>
  <c r="BD300" i="10"/>
  <c r="BA284" i="10"/>
  <c r="BF295" i="10"/>
  <c r="BB285" i="10"/>
  <c r="BD285" i="10" s="1"/>
  <c r="BA282" i="10"/>
  <c r="BA285" i="10"/>
  <c r="AZ285" i="10"/>
  <c r="BB282" i="10"/>
  <c r="BD282" i="10" s="1"/>
  <c r="BB284" i="10"/>
  <c r="BD284" i="10" s="1"/>
  <c r="AZ283" i="10"/>
  <c r="BB276" i="10"/>
  <c r="BD276" i="10" s="1"/>
  <c r="BB278" i="10"/>
  <c r="BD278" i="10" s="1"/>
  <c r="BB279" i="10"/>
  <c r="BD279" i="10" s="1"/>
  <c r="BA278" i="10"/>
  <c r="BA280" i="10"/>
  <c r="BB277" i="10"/>
  <c r="BD277" i="10" s="1"/>
  <c r="BB280" i="10"/>
  <c r="BD280" i="10" s="1"/>
  <c r="BA279" i="10"/>
  <c r="AZ279" i="10"/>
  <c r="AZ276" i="10"/>
  <c r="AZ278" i="10"/>
  <c r="BA276" i="10"/>
  <c r="BA277" i="10"/>
  <c r="E275" i="10"/>
  <c r="H275" i="10"/>
  <c r="BH275" i="10" s="1"/>
  <c r="I275" i="10"/>
  <c r="J275" i="10"/>
  <c r="K275" i="10"/>
  <c r="L275" i="10"/>
  <c r="M275" i="10" s="1"/>
  <c r="P275" i="10"/>
  <c r="U275" i="10" s="1"/>
  <c r="Q275" i="10"/>
  <c r="AK275" i="10" s="1"/>
  <c r="Z275" i="10"/>
  <c r="AA275" i="10"/>
  <c r="AS275" i="10" s="1"/>
  <c r="AB275" i="10"/>
  <c r="AT275" i="10" s="1"/>
  <c r="AH275" i="10"/>
  <c r="AI275" i="10" s="1"/>
  <c r="AW275" i="10" s="1"/>
  <c r="AM275" i="10"/>
  <c r="AQ275" i="10"/>
  <c r="AU275" i="10"/>
  <c r="AY275" i="10"/>
  <c r="BG275" i="10" s="1"/>
  <c r="BF275" i="10"/>
  <c r="BJ275" i="10"/>
  <c r="P28" i="15"/>
  <c r="O28" i="15"/>
  <c r="E274" i="10"/>
  <c r="H274" i="10"/>
  <c r="BH274" i="10" s="1"/>
  <c r="I274" i="10"/>
  <c r="J274" i="10"/>
  <c r="K274" i="10"/>
  <c r="L274" i="10"/>
  <c r="M274" i="10" s="1"/>
  <c r="P274" i="10"/>
  <c r="U274" i="10" s="1"/>
  <c r="V274" i="10" s="1"/>
  <c r="AO274" i="10" s="1"/>
  <c r="Q274" i="10"/>
  <c r="AK274" i="10" s="1"/>
  <c r="Z274" i="10"/>
  <c r="AA274" i="10"/>
  <c r="AS274" i="10" s="1"/>
  <c r="AB274" i="10"/>
  <c r="AT274" i="10" s="1"/>
  <c r="AH274" i="10"/>
  <c r="AI274" i="10" s="1"/>
  <c r="AW274" i="10" s="1"/>
  <c r="AM274" i="10"/>
  <c r="AQ274" i="10"/>
  <c r="AU274" i="10"/>
  <c r="AY274" i="10"/>
  <c r="BG274" i="10" s="1"/>
  <c r="BF274" i="10"/>
  <c r="BJ274" i="10"/>
  <c r="E273" i="10"/>
  <c r="H273" i="10"/>
  <c r="BH273" i="10" s="1"/>
  <c r="I273" i="10"/>
  <c r="J273" i="10"/>
  <c r="K273" i="10"/>
  <c r="L273" i="10"/>
  <c r="M273" i="10" s="1"/>
  <c r="P273" i="10"/>
  <c r="U273" i="10" s="1"/>
  <c r="Q273" i="10"/>
  <c r="AK273" i="10" s="1"/>
  <c r="Z273" i="10"/>
  <c r="AA273" i="10"/>
  <c r="AS273" i="10" s="1"/>
  <c r="AB273" i="10"/>
  <c r="AT273" i="10" s="1"/>
  <c r="AH273" i="10"/>
  <c r="AI273" i="10" s="1"/>
  <c r="AW273" i="10" s="1"/>
  <c r="AM273" i="10"/>
  <c r="AQ273" i="10"/>
  <c r="AU273" i="10"/>
  <c r="AY273" i="10"/>
  <c r="BG273" i="10" s="1"/>
  <c r="BF273" i="10"/>
  <c r="BJ273" i="10"/>
  <c r="E272" i="10"/>
  <c r="H272" i="10"/>
  <c r="BH272" i="10" s="1"/>
  <c r="I272" i="10"/>
  <c r="J272" i="10"/>
  <c r="K272" i="10"/>
  <c r="L272" i="10"/>
  <c r="M272" i="10" s="1"/>
  <c r="P272" i="10"/>
  <c r="U272" i="10" s="1"/>
  <c r="V272" i="10" s="1"/>
  <c r="AO272" i="10" s="1"/>
  <c r="Q272" i="10"/>
  <c r="AK272" i="10" s="1"/>
  <c r="Z272" i="10"/>
  <c r="AA272" i="10"/>
  <c r="AS272" i="10" s="1"/>
  <c r="AB272" i="10"/>
  <c r="AT272" i="10" s="1"/>
  <c r="AH272" i="10"/>
  <c r="AI272" i="10" s="1"/>
  <c r="AW272" i="10" s="1"/>
  <c r="AM272" i="10"/>
  <c r="AQ272" i="10"/>
  <c r="AU272" i="10"/>
  <c r="AY272" i="10"/>
  <c r="BG272" i="10" s="1"/>
  <c r="BF272" i="10"/>
  <c r="BJ272" i="10"/>
  <c r="E271" i="10"/>
  <c r="H271" i="10"/>
  <c r="BH271" i="10" s="1"/>
  <c r="I271" i="10"/>
  <c r="J271" i="10"/>
  <c r="K271" i="10"/>
  <c r="L271" i="10"/>
  <c r="M271" i="10" s="1"/>
  <c r="P271" i="10"/>
  <c r="U271" i="10" s="1"/>
  <c r="Q271" i="10"/>
  <c r="AK271" i="10" s="1"/>
  <c r="Z271" i="10"/>
  <c r="AA271" i="10"/>
  <c r="AS271" i="10" s="1"/>
  <c r="AB271" i="10"/>
  <c r="AT271" i="10" s="1"/>
  <c r="AH271" i="10"/>
  <c r="AI271" i="10" s="1"/>
  <c r="AW271" i="10" s="1"/>
  <c r="AM271" i="10"/>
  <c r="AQ271" i="10"/>
  <c r="AU271" i="10"/>
  <c r="AY271" i="10"/>
  <c r="BG271" i="10" s="1"/>
  <c r="BF271" i="10"/>
  <c r="BJ271" i="10"/>
  <c r="E270" i="10"/>
  <c r="H270" i="10"/>
  <c r="BH270" i="10" s="1"/>
  <c r="I270" i="10"/>
  <c r="J270" i="10"/>
  <c r="K270" i="10"/>
  <c r="L270" i="10"/>
  <c r="M270" i="10" s="1"/>
  <c r="P270" i="10"/>
  <c r="U270" i="10" s="1"/>
  <c r="V270" i="10" s="1"/>
  <c r="AO270" i="10" s="1"/>
  <c r="Q270" i="10"/>
  <c r="AK270" i="10" s="1"/>
  <c r="Z270" i="10"/>
  <c r="AA270" i="10"/>
  <c r="AS270" i="10" s="1"/>
  <c r="AB270" i="10"/>
  <c r="AT270" i="10" s="1"/>
  <c r="AH270" i="10"/>
  <c r="AI270" i="10" s="1"/>
  <c r="AW270" i="10" s="1"/>
  <c r="AM270" i="10"/>
  <c r="AQ270" i="10"/>
  <c r="AU270" i="10"/>
  <c r="AY270" i="10"/>
  <c r="BG270" i="10" s="1"/>
  <c r="BF270" i="10"/>
  <c r="BJ270" i="10"/>
  <c r="H66" i="14"/>
  <c r="H61" i="14"/>
  <c r="BE279" i="10" l="1"/>
  <c r="BM279" i="10"/>
  <c r="BE300" i="10"/>
  <c r="BM300" i="10"/>
  <c r="BE278" i="10"/>
  <c r="BM278" i="10"/>
  <c r="BE280" i="10"/>
  <c r="BM280" i="10"/>
  <c r="BE276" i="10"/>
  <c r="BM276" i="10"/>
  <c r="BE282" i="10"/>
  <c r="BM282" i="10"/>
  <c r="BE277" i="10"/>
  <c r="BM277" i="10"/>
  <c r="BE285" i="10"/>
  <c r="BM285" i="10"/>
  <c r="BE284" i="10"/>
  <c r="BM284" i="10"/>
  <c r="BB283" i="10"/>
  <c r="BD283" i="10" s="1"/>
  <c r="BB281" i="10"/>
  <c r="BD281" i="10" s="1"/>
  <c r="BD295" i="10"/>
  <c r="W272" i="10"/>
  <c r="AP272" i="10" s="1"/>
  <c r="AR272" i="10" s="1"/>
  <c r="BJ295" i="10"/>
  <c r="W274" i="10"/>
  <c r="AP274" i="10" s="1"/>
  <c r="AR274" i="10" s="1"/>
  <c r="W273" i="10"/>
  <c r="AP273" i="10" s="1"/>
  <c r="AR273" i="10" s="1"/>
  <c r="V273" i="10"/>
  <c r="AO273" i="10" s="1"/>
  <c r="V275" i="10"/>
  <c r="AO275" i="10" s="1"/>
  <c r="W275" i="10"/>
  <c r="AP275" i="10" s="1"/>
  <c r="AR275" i="10" s="1"/>
  <c r="AV275" i="10"/>
  <c r="R275" i="10"/>
  <c r="AL275" i="10" s="1"/>
  <c r="AN275" i="10" s="1"/>
  <c r="R274" i="10"/>
  <c r="AL274" i="10" s="1"/>
  <c r="AN274" i="10" s="1"/>
  <c r="R273" i="10"/>
  <c r="AL273" i="10" s="1"/>
  <c r="AN273" i="10" s="1"/>
  <c r="AJ275" i="10"/>
  <c r="AX275" i="10" s="1"/>
  <c r="AZ275" i="10" s="1"/>
  <c r="AV274" i="10"/>
  <c r="AV271" i="10"/>
  <c r="AV270" i="10"/>
  <c r="AJ270" i="10"/>
  <c r="AX270" i="10" s="1"/>
  <c r="AZ270" i="10" s="1"/>
  <c r="AV272" i="10"/>
  <c r="AJ273" i="10"/>
  <c r="AX273" i="10" s="1"/>
  <c r="AJ271" i="10"/>
  <c r="AX271" i="10" s="1"/>
  <c r="AZ271" i="10" s="1"/>
  <c r="W271" i="10"/>
  <c r="AP271" i="10" s="1"/>
  <c r="AR271" i="10" s="1"/>
  <c r="V271" i="10"/>
  <c r="AO271" i="10" s="1"/>
  <c r="R272" i="10"/>
  <c r="AL272" i="10" s="1"/>
  <c r="AN272" i="10" s="1"/>
  <c r="W270" i="10"/>
  <c r="AP270" i="10" s="1"/>
  <c r="AR270" i="10" s="1"/>
  <c r="AJ274" i="10"/>
  <c r="AX274" i="10" s="1"/>
  <c r="AJ272" i="10"/>
  <c r="AX272" i="10" s="1"/>
  <c r="AV273" i="10"/>
  <c r="R270" i="10"/>
  <c r="AL270" i="10" s="1"/>
  <c r="AN270" i="10" s="1"/>
  <c r="R271" i="10"/>
  <c r="AL271" i="10" s="1"/>
  <c r="AN271" i="10" s="1"/>
  <c r="K19" i="15"/>
  <c r="J19" i="15"/>
  <c r="F27" i="15"/>
  <c r="I27" i="15"/>
  <c r="H27" i="15"/>
  <c r="G27" i="15"/>
  <c r="L27" i="15"/>
  <c r="F265" i="10"/>
  <c r="E269" i="10"/>
  <c r="H269" i="10"/>
  <c r="BH269" i="10" s="1"/>
  <c r="I269" i="10"/>
  <c r="J269" i="10"/>
  <c r="K269" i="10"/>
  <c r="L269" i="10"/>
  <c r="M269" i="10" s="1"/>
  <c r="P269" i="10"/>
  <c r="U269" i="10" s="1"/>
  <c r="V269" i="10" s="1"/>
  <c r="AO269" i="10" s="1"/>
  <c r="Q269" i="10"/>
  <c r="AK269" i="10" s="1"/>
  <c r="Z269" i="10"/>
  <c r="AA269" i="10"/>
  <c r="AS269" i="10" s="1"/>
  <c r="AB269" i="10"/>
  <c r="AT269" i="10" s="1"/>
  <c r="AH269" i="10"/>
  <c r="AI269" i="10" s="1"/>
  <c r="AW269" i="10" s="1"/>
  <c r="AM269" i="10"/>
  <c r="AQ269" i="10"/>
  <c r="AU269" i="10"/>
  <c r="AY269" i="10"/>
  <c r="BG269" i="10" s="1"/>
  <c r="BF269" i="10"/>
  <c r="BJ269" i="10"/>
  <c r="E268" i="10"/>
  <c r="H268" i="10"/>
  <c r="BH268" i="10" s="1"/>
  <c r="I268" i="10"/>
  <c r="J268" i="10"/>
  <c r="K268" i="10"/>
  <c r="L268" i="10"/>
  <c r="M268" i="10" s="1"/>
  <c r="P268" i="10"/>
  <c r="U268" i="10" s="1"/>
  <c r="V268" i="10" s="1"/>
  <c r="AO268" i="10" s="1"/>
  <c r="Q268" i="10"/>
  <c r="AK268" i="10" s="1"/>
  <c r="Z268" i="10"/>
  <c r="AA268" i="10"/>
  <c r="AS268" i="10" s="1"/>
  <c r="AB268" i="10"/>
  <c r="AT268" i="10" s="1"/>
  <c r="AH268" i="10"/>
  <c r="AI268" i="10" s="1"/>
  <c r="AW268" i="10" s="1"/>
  <c r="AM268" i="10"/>
  <c r="AQ268" i="10"/>
  <c r="AU268" i="10"/>
  <c r="AY268" i="10"/>
  <c r="BG268" i="10" s="1"/>
  <c r="BF268" i="10"/>
  <c r="BJ268" i="10"/>
  <c r="E267" i="10"/>
  <c r="H267" i="10"/>
  <c r="BH267" i="10" s="1"/>
  <c r="I267" i="10"/>
  <c r="J267" i="10"/>
  <c r="K267" i="10"/>
  <c r="L267" i="10"/>
  <c r="M267" i="10" s="1"/>
  <c r="P267" i="10"/>
  <c r="U267" i="10" s="1"/>
  <c r="V267" i="10" s="1"/>
  <c r="AO267" i="10" s="1"/>
  <c r="Q267" i="10"/>
  <c r="AK267" i="10" s="1"/>
  <c r="Z267" i="10"/>
  <c r="AA267" i="10"/>
  <c r="AS267" i="10" s="1"/>
  <c r="AB267" i="10"/>
  <c r="AT267" i="10" s="1"/>
  <c r="AH267" i="10"/>
  <c r="AI267" i="10" s="1"/>
  <c r="AM267" i="10"/>
  <c r="AQ267" i="10"/>
  <c r="AU267" i="10"/>
  <c r="AY267" i="10"/>
  <c r="BG267" i="10" s="1"/>
  <c r="BF267" i="10"/>
  <c r="BJ267" i="10"/>
  <c r="E266" i="10"/>
  <c r="H266" i="10"/>
  <c r="BH266" i="10" s="1"/>
  <c r="I266" i="10"/>
  <c r="J266" i="10"/>
  <c r="K266" i="10"/>
  <c r="L266" i="10"/>
  <c r="M266" i="10" s="1"/>
  <c r="P266" i="10"/>
  <c r="U266" i="10" s="1"/>
  <c r="V266" i="10" s="1"/>
  <c r="AO266" i="10" s="1"/>
  <c r="Q266" i="10"/>
  <c r="AK266" i="10" s="1"/>
  <c r="Z266" i="10"/>
  <c r="AA266" i="10"/>
  <c r="AS266" i="10" s="1"/>
  <c r="AB266" i="10"/>
  <c r="AT266" i="10" s="1"/>
  <c r="AH266" i="10"/>
  <c r="AI266" i="10" s="1"/>
  <c r="AW266" i="10" s="1"/>
  <c r="AM266" i="10"/>
  <c r="AQ266" i="10"/>
  <c r="AU266" i="10"/>
  <c r="AY266" i="10"/>
  <c r="BG266" i="10" s="1"/>
  <c r="BF266" i="10"/>
  <c r="BJ266" i="10"/>
  <c r="E265" i="10"/>
  <c r="H265" i="10"/>
  <c r="BH265" i="10" s="1"/>
  <c r="I265" i="10"/>
  <c r="J265" i="10"/>
  <c r="K265" i="10"/>
  <c r="L265" i="10"/>
  <c r="M265" i="10" s="1"/>
  <c r="P265" i="10"/>
  <c r="Q265" i="10"/>
  <c r="AK265" i="10" s="1"/>
  <c r="AA265" i="10"/>
  <c r="AS265" i="10" s="1"/>
  <c r="AB265" i="10"/>
  <c r="AT265" i="10" s="1"/>
  <c r="AH265" i="10"/>
  <c r="AI265" i="10" s="1"/>
  <c r="AW265" i="10" s="1"/>
  <c r="AM265" i="10"/>
  <c r="AQ265" i="10"/>
  <c r="AU265" i="10"/>
  <c r="AY265" i="10"/>
  <c r="BG265" i="10" s="1"/>
  <c r="BF265" i="10"/>
  <c r="BJ265" i="10"/>
  <c r="I20" i="15"/>
  <c r="H20" i="15"/>
  <c r="G20" i="15"/>
  <c r="F20" i="15"/>
  <c r="E264" i="10"/>
  <c r="H264" i="10"/>
  <c r="BH264" i="10" s="1"/>
  <c r="I264" i="10"/>
  <c r="J264" i="10"/>
  <c r="K264" i="10"/>
  <c r="L264" i="10"/>
  <c r="M264" i="10" s="1"/>
  <c r="P264" i="10"/>
  <c r="U264" i="10" s="1"/>
  <c r="V264" i="10" s="1"/>
  <c r="AO264" i="10" s="1"/>
  <c r="Q264" i="10"/>
  <c r="AK264" i="10" s="1"/>
  <c r="Z264" i="10"/>
  <c r="AA264" i="10"/>
  <c r="AS264" i="10" s="1"/>
  <c r="AB264" i="10"/>
  <c r="AT264" i="10" s="1"/>
  <c r="AH264" i="10"/>
  <c r="AI264" i="10" s="1"/>
  <c r="AW264" i="10" s="1"/>
  <c r="AM264" i="10"/>
  <c r="AQ264" i="10"/>
  <c r="AU264" i="10"/>
  <c r="AY264" i="10"/>
  <c r="BG264" i="10" s="1"/>
  <c r="BF264" i="10"/>
  <c r="BJ264" i="10"/>
  <c r="E263" i="10"/>
  <c r="H263" i="10"/>
  <c r="BH263" i="10" s="1"/>
  <c r="I263" i="10"/>
  <c r="J263" i="10"/>
  <c r="K263" i="10"/>
  <c r="L263" i="10"/>
  <c r="M263" i="10" s="1"/>
  <c r="P263" i="10"/>
  <c r="U263" i="10" s="1"/>
  <c r="Q263" i="10"/>
  <c r="AK263" i="10" s="1"/>
  <c r="Z263" i="10"/>
  <c r="AA263" i="10"/>
  <c r="AS263" i="10" s="1"/>
  <c r="AB263" i="10"/>
  <c r="AT263" i="10" s="1"/>
  <c r="AH263" i="10"/>
  <c r="AI263" i="10" s="1"/>
  <c r="AW263" i="10" s="1"/>
  <c r="AM263" i="10"/>
  <c r="AQ263" i="10"/>
  <c r="AU263" i="10"/>
  <c r="AY263" i="10"/>
  <c r="BG263" i="10" s="1"/>
  <c r="BF263" i="10"/>
  <c r="BJ263" i="10"/>
  <c r="BE295" i="10" l="1"/>
  <c r="BM295" i="10"/>
  <c r="BE281" i="10"/>
  <c r="BM281" i="10"/>
  <c r="BE283" i="10"/>
  <c r="BM283" i="10"/>
  <c r="BB272" i="10"/>
  <c r="BD272" i="10" s="1"/>
  <c r="BB274" i="10"/>
  <c r="BD274" i="10" s="1"/>
  <c r="BB273" i="10"/>
  <c r="BD273" i="10" s="1"/>
  <c r="L19" i="15"/>
  <c r="BB275" i="10"/>
  <c r="BD275" i="10" s="1"/>
  <c r="BA275" i="10"/>
  <c r="BA274" i="10"/>
  <c r="BA270" i="10"/>
  <c r="BA273" i="10"/>
  <c r="AZ272" i="10"/>
  <c r="BB271" i="10"/>
  <c r="BD271" i="10" s="1"/>
  <c r="BA272" i="10"/>
  <c r="AZ273" i="10"/>
  <c r="AZ274" i="10"/>
  <c r="W266" i="10"/>
  <c r="AP266" i="10" s="1"/>
  <c r="AR266" i="10" s="1"/>
  <c r="BB270" i="10"/>
  <c r="BD270" i="10" s="1"/>
  <c r="BA271" i="10"/>
  <c r="AJ267" i="10"/>
  <c r="AX267" i="10" s="1"/>
  <c r="AZ267" i="10" s="1"/>
  <c r="W267" i="10"/>
  <c r="AP267" i="10" s="1"/>
  <c r="AR267" i="10" s="1"/>
  <c r="W268" i="10"/>
  <c r="AP268" i="10" s="1"/>
  <c r="AR268" i="10" s="1"/>
  <c r="AV265" i="10"/>
  <c r="AV266" i="10"/>
  <c r="W269" i="10"/>
  <c r="AP269" i="10" s="1"/>
  <c r="AR269" i="10" s="1"/>
  <c r="R265" i="10"/>
  <c r="AL265" i="10" s="1"/>
  <c r="AN265" i="10" s="1"/>
  <c r="AJ266" i="10"/>
  <c r="AX266" i="10" s="1"/>
  <c r="AV269" i="10"/>
  <c r="R266" i="10"/>
  <c r="AL266" i="10" s="1"/>
  <c r="AN266" i="10" s="1"/>
  <c r="AV267" i="10"/>
  <c r="AV268" i="10"/>
  <c r="AJ269" i="10"/>
  <c r="AX269" i="10" s="1"/>
  <c r="AZ269" i="10" s="1"/>
  <c r="R269" i="10"/>
  <c r="AL269" i="10" s="1"/>
  <c r="AN269" i="10" s="1"/>
  <c r="AW267" i="10"/>
  <c r="R267" i="10"/>
  <c r="AL267" i="10" s="1"/>
  <c r="AN267" i="10" s="1"/>
  <c r="AJ268" i="10"/>
  <c r="AX268" i="10" s="1"/>
  <c r="R268" i="10"/>
  <c r="AL268" i="10" s="1"/>
  <c r="AN268" i="10" s="1"/>
  <c r="AJ265" i="10"/>
  <c r="AX265" i="10" s="1"/>
  <c r="AZ265" i="10" s="1"/>
  <c r="U265" i="10"/>
  <c r="W263" i="10"/>
  <c r="AP263" i="10" s="1"/>
  <c r="AR263" i="10" s="1"/>
  <c r="V263" i="10"/>
  <c r="AO263" i="10" s="1"/>
  <c r="W264" i="10"/>
  <c r="AP264" i="10" s="1"/>
  <c r="AR264" i="10" s="1"/>
  <c r="AV263" i="10"/>
  <c r="AV264" i="10"/>
  <c r="AJ263" i="10"/>
  <c r="AX263" i="10" s="1"/>
  <c r="AJ264" i="10"/>
  <c r="AX264" i="10" s="1"/>
  <c r="R264" i="10"/>
  <c r="AL264" i="10" s="1"/>
  <c r="AN264" i="10" s="1"/>
  <c r="R263" i="10"/>
  <c r="AL263" i="10" s="1"/>
  <c r="AN263" i="10" s="1"/>
  <c r="BE271" i="10" l="1"/>
  <c r="BM271" i="10"/>
  <c r="BE275" i="10"/>
  <c r="BM275" i="10"/>
  <c r="BE270" i="10"/>
  <c r="BM270" i="10"/>
  <c r="BE273" i="10"/>
  <c r="BM273" i="10"/>
  <c r="BE274" i="10"/>
  <c r="BM274" i="10"/>
  <c r="BE272" i="10"/>
  <c r="BM272" i="10"/>
  <c r="BA266" i="10"/>
  <c r="BB266" i="10"/>
  <c r="BD266" i="10" s="1"/>
  <c r="AZ266" i="10"/>
  <c r="BB267" i="10"/>
  <c r="BD267" i="10" s="1"/>
  <c r="BA267" i="10"/>
  <c r="BB268" i="10"/>
  <c r="BD268" i="10" s="1"/>
  <c r="BB264" i="10"/>
  <c r="BD264" i="10" s="1"/>
  <c r="BA269" i="10"/>
  <c r="V265" i="10"/>
  <c r="AO265" i="10" s="1"/>
  <c r="W265" i="10"/>
  <c r="AP265" i="10" s="1"/>
  <c r="AR265" i="10" s="1"/>
  <c r="BA265" i="10" s="1"/>
  <c r="BB269" i="10"/>
  <c r="BD269" i="10" s="1"/>
  <c r="BA268" i="10"/>
  <c r="AZ268" i="10"/>
  <c r="BB263" i="10"/>
  <c r="BD263" i="10" s="1"/>
  <c r="BA264" i="10"/>
  <c r="BA263" i="10"/>
  <c r="AZ264" i="10"/>
  <c r="AZ263" i="10"/>
  <c r="E262" i="10"/>
  <c r="H262" i="10"/>
  <c r="BH262" i="10" s="1"/>
  <c r="I262" i="10"/>
  <c r="J262" i="10"/>
  <c r="K262" i="10"/>
  <c r="L262" i="10"/>
  <c r="M262" i="10" s="1"/>
  <c r="P262" i="10"/>
  <c r="U262" i="10" s="1"/>
  <c r="V262" i="10" s="1"/>
  <c r="AO262" i="10" s="1"/>
  <c r="Q262" i="10"/>
  <c r="AK262" i="10" s="1"/>
  <c r="Z262" i="10"/>
  <c r="AA262" i="10"/>
  <c r="AS262" i="10" s="1"/>
  <c r="AB262" i="10"/>
  <c r="AT262" i="10" s="1"/>
  <c r="AH262" i="10"/>
  <c r="AI262" i="10" s="1"/>
  <c r="AW262" i="10" s="1"/>
  <c r="AM262" i="10"/>
  <c r="AQ262" i="10"/>
  <c r="AU262" i="10"/>
  <c r="AY262" i="10"/>
  <c r="BG262" i="10" s="1"/>
  <c r="BF262" i="10"/>
  <c r="BJ262" i="10"/>
  <c r="E261" i="10"/>
  <c r="H261" i="10"/>
  <c r="BH261" i="10" s="1"/>
  <c r="I261" i="10"/>
  <c r="J261" i="10"/>
  <c r="K261" i="10"/>
  <c r="L261" i="10"/>
  <c r="M261" i="10" s="1"/>
  <c r="P261" i="10"/>
  <c r="U261" i="10" s="1"/>
  <c r="V261" i="10" s="1"/>
  <c r="AO261" i="10" s="1"/>
  <c r="Q261" i="10"/>
  <c r="AK261" i="10" s="1"/>
  <c r="Z261" i="10"/>
  <c r="AA261" i="10"/>
  <c r="AS261" i="10" s="1"/>
  <c r="AB261" i="10"/>
  <c r="AT261" i="10" s="1"/>
  <c r="AH261" i="10"/>
  <c r="AI261" i="10" s="1"/>
  <c r="AW261" i="10" s="1"/>
  <c r="AM261" i="10"/>
  <c r="AQ261" i="10"/>
  <c r="AU261" i="10"/>
  <c r="AY261" i="10"/>
  <c r="BG261" i="10" s="1"/>
  <c r="BF261" i="10"/>
  <c r="BJ261" i="10"/>
  <c r="E260" i="10"/>
  <c r="H260" i="10"/>
  <c r="BH260" i="10" s="1"/>
  <c r="I260" i="10"/>
  <c r="J260" i="10"/>
  <c r="K260" i="10"/>
  <c r="L260" i="10"/>
  <c r="M260" i="10" s="1"/>
  <c r="P260" i="10"/>
  <c r="U260" i="10" s="1"/>
  <c r="Q260" i="10"/>
  <c r="AK260" i="10" s="1"/>
  <c r="Z260" i="10"/>
  <c r="AA260" i="10"/>
  <c r="AS260" i="10" s="1"/>
  <c r="AB260" i="10"/>
  <c r="AT260" i="10" s="1"/>
  <c r="AH260" i="10"/>
  <c r="AI260" i="10" s="1"/>
  <c r="AW260" i="10" s="1"/>
  <c r="AM260" i="10"/>
  <c r="AQ260" i="10"/>
  <c r="AU260" i="10"/>
  <c r="AY260" i="10"/>
  <c r="BG260" i="10" s="1"/>
  <c r="BF260" i="10"/>
  <c r="BJ260" i="10"/>
  <c r="E259" i="10"/>
  <c r="H259" i="10"/>
  <c r="BH259" i="10" s="1"/>
  <c r="I259" i="10"/>
  <c r="J259" i="10"/>
  <c r="K259" i="10"/>
  <c r="L259" i="10"/>
  <c r="M259" i="10" s="1"/>
  <c r="P259" i="10"/>
  <c r="U259" i="10" s="1"/>
  <c r="Q259" i="10"/>
  <c r="AK259" i="10" s="1"/>
  <c r="Z259" i="10"/>
  <c r="AA259" i="10"/>
  <c r="AS259" i="10" s="1"/>
  <c r="AB259" i="10"/>
  <c r="AT259" i="10" s="1"/>
  <c r="AH259" i="10"/>
  <c r="AI259" i="10" s="1"/>
  <c r="AW259" i="10" s="1"/>
  <c r="AM259" i="10"/>
  <c r="AQ259" i="10"/>
  <c r="AU259" i="10"/>
  <c r="AY259" i="10"/>
  <c r="BG259" i="10" s="1"/>
  <c r="BF259" i="10"/>
  <c r="BJ259" i="10"/>
  <c r="J20" i="15"/>
  <c r="J26" i="15" s="1"/>
  <c r="L26" i="15" s="1"/>
  <c r="F15" i="15"/>
  <c r="G15" i="15"/>
  <c r="H56" i="14"/>
  <c r="AD257" i="10"/>
  <c r="AH257" i="10" s="1"/>
  <c r="AI257" i="10" s="1"/>
  <c r="AW257" i="10" s="1"/>
  <c r="F254" i="10"/>
  <c r="E258" i="10"/>
  <c r="H258" i="10"/>
  <c r="BH258" i="10" s="1"/>
  <c r="I258" i="10"/>
  <c r="J258" i="10"/>
  <c r="K258" i="10"/>
  <c r="L258" i="10"/>
  <c r="M258" i="10" s="1"/>
  <c r="P258" i="10"/>
  <c r="U258" i="10" s="1"/>
  <c r="Q258" i="10"/>
  <c r="AK258" i="10" s="1"/>
  <c r="Z258" i="10"/>
  <c r="AA258" i="10"/>
  <c r="AS258" i="10" s="1"/>
  <c r="AB258" i="10"/>
  <c r="AT258" i="10" s="1"/>
  <c r="AH258" i="10"/>
  <c r="AI258" i="10" s="1"/>
  <c r="AW258" i="10" s="1"/>
  <c r="AM258" i="10"/>
  <c r="AQ258" i="10"/>
  <c r="AU258" i="10"/>
  <c r="AY258" i="10"/>
  <c r="BG258" i="10" s="1"/>
  <c r="BF258" i="10"/>
  <c r="BJ258" i="10"/>
  <c r="E257" i="10"/>
  <c r="H257" i="10"/>
  <c r="BH257" i="10" s="1"/>
  <c r="I257" i="10"/>
  <c r="J257" i="10"/>
  <c r="K257" i="10"/>
  <c r="L257" i="10"/>
  <c r="M257" i="10" s="1"/>
  <c r="P257" i="10"/>
  <c r="U257" i="10" s="1"/>
  <c r="V257" i="10" s="1"/>
  <c r="AO257" i="10" s="1"/>
  <c r="Q257" i="10"/>
  <c r="AK257" i="10" s="1"/>
  <c r="Z257" i="10"/>
  <c r="AA257" i="10"/>
  <c r="AS257" i="10" s="1"/>
  <c r="AB257" i="10"/>
  <c r="AT257" i="10" s="1"/>
  <c r="AM257" i="10"/>
  <c r="AQ257" i="10"/>
  <c r="AU257" i="10"/>
  <c r="AY257" i="10"/>
  <c r="BG257" i="10" s="1"/>
  <c r="BF257" i="10"/>
  <c r="BJ257" i="10"/>
  <c r="E256" i="10"/>
  <c r="H256" i="10"/>
  <c r="BH256" i="10" s="1"/>
  <c r="I256" i="10"/>
  <c r="J256" i="10"/>
  <c r="K256" i="10"/>
  <c r="L256" i="10"/>
  <c r="M256" i="10" s="1"/>
  <c r="P256" i="10"/>
  <c r="U256" i="10" s="1"/>
  <c r="V256" i="10" s="1"/>
  <c r="AO256" i="10" s="1"/>
  <c r="Q256" i="10"/>
  <c r="AK256" i="10" s="1"/>
  <c r="Z256" i="10"/>
  <c r="AA256" i="10"/>
  <c r="AS256" i="10" s="1"/>
  <c r="AB256" i="10"/>
  <c r="AT256" i="10" s="1"/>
  <c r="AH256" i="10"/>
  <c r="AI256" i="10" s="1"/>
  <c r="AW256" i="10" s="1"/>
  <c r="AM256" i="10"/>
  <c r="AQ256" i="10"/>
  <c r="AU256" i="10"/>
  <c r="AY256" i="10"/>
  <c r="BG256" i="10" s="1"/>
  <c r="BF256" i="10"/>
  <c r="BJ256" i="10"/>
  <c r="E255" i="10"/>
  <c r="H255" i="10"/>
  <c r="BH255" i="10" s="1"/>
  <c r="I255" i="10"/>
  <c r="J255" i="10"/>
  <c r="K255" i="10"/>
  <c r="L255" i="10"/>
  <c r="M255" i="10" s="1"/>
  <c r="P255" i="10"/>
  <c r="U255" i="10" s="1"/>
  <c r="V255" i="10" s="1"/>
  <c r="AO255" i="10" s="1"/>
  <c r="Q255" i="10"/>
  <c r="AK255" i="10" s="1"/>
  <c r="Z255" i="10"/>
  <c r="AA255" i="10"/>
  <c r="AS255" i="10" s="1"/>
  <c r="AB255" i="10"/>
  <c r="AT255" i="10" s="1"/>
  <c r="AH255" i="10"/>
  <c r="AI255" i="10" s="1"/>
  <c r="AW255" i="10" s="1"/>
  <c r="AM255" i="10"/>
  <c r="AQ255" i="10"/>
  <c r="AU255" i="10"/>
  <c r="AY255" i="10"/>
  <c r="BG255" i="10" s="1"/>
  <c r="BF255" i="10"/>
  <c r="BJ255" i="10"/>
  <c r="E254" i="10"/>
  <c r="H254" i="10"/>
  <c r="BH254" i="10" s="1"/>
  <c r="I254" i="10"/>
  <c r="J254" i="10"/>
  <c r="K254" i="10"/>
  <c r="L254" i="10"/>
  <c r="P254" i="10"/>
  <c r="Q254" i="10"/>
  <c r="Z254" i="10"/>
  <c r="AA254" i="10"/>
  <c r="AS254" i="10" s="1"/>
  <c r="AB254" i="10"/>
  <c r="AT254" i="10" s="1"/>
  <c r="AH254" i="10"/>
  <c r="AI254" i="10" s="1"/>
  <c r="AW254" i="10" s="1"/>
  <c r="AM254" i="10"/>
  <c r="AQ254" i="10"/>
  <c r="AU254" i="10"/>
  <c r="AY254" i="10"/>
  <c r="BG254" i="10" s="1"/>
  <c r="BF254" i="10"/>
  <c r="BJ254" i="10"/>
  <c r="G9" i="15"/>
  <c r="F9" i="15"/>
  <c r="K14" i="15"/>
  <c r="BE268" i="10" l="1"/>
  <c r="BM268" i="10"/>
  <c r="BE269" i="10"/>
  <c r="BM269" i="10"/>
  <c r="BE267" i="10"/>
  <c r="BM267" i="10"/>
  <c r="BE263" i="10"/>
  <c r="BM263" i="10"/>
  <c r="BE266" i="10"/>
  <c r="BM266" i="10"/>
  <c r="BE264" i="10"/>
  <c r="BM264" i="10"/>
  <c r="M254" i="10"/>
  <c r="R260" i="10"/>
  <c r="AL260" i="10" s="1"/>
  <c r="AN260" i="10" s="1"/>
  <c r="W260" i="10"/>
  <c r="AP260" i="10" s="1"/>
  <c r="AR260" i="10" s="1"/>
  <c r="V260" i="10"/>
  <c r="AO260" i="10" s="1"/>
  <c r="BB265" i="10"/>
  <c r="BD265" i="10" s="1"/>
  <c r="V259" i="10"/>
  <c r="AO259" i="10" s="1"/>
  <c r="W259" i="10"/>
  <c r="AP259" i="10" s="1"/>
  <c r="AR259" i="10" s="1"/>
  <c r="R261" i="10"/>
  <c r="AL261" i="10" s="1"/>
  <c r="AN261" i="10" s="1"/>
  <c r="W261" i="10"/>
  <c r="AP261" i="10" s="1"/>
  <c r="AR261" i="10" s="1"/>
  <c r="R262" i="10"/>
  <c r="AL262" i="10" s="1"/>
  <c r="AN262" i="10" s="1"/>
  <c r="W262" i="10"/>
  <c r="AP262" i="10" s="1"/>
  <c r="AR262" i="10" s="1"/>
  <c r="AJ261" i="10"/>
  <c r="AX261" i="10" s="1"/>
  <c r="AV259" i="10"/>
  <c r="AV262" i="10"/>
  <c r="AV261" i="10"/>
  <c r="R259" i="10"/>
  <c r="AL259" i="10" s="1"/>
  <c r="AN259" i="10" s="1"/>
  <c r="AJ262" i="10"/>
  <c r="AX262" i="10" s="1"/>
  <c r="AJ260" i="10"/>
  <c r="AX260" i="10" s="1"/>
  <c r="AJ259" i="10"/>
  <c r="AX259" i="10" s="1"/>
  <c r="AZ259" i="10" s="1"/>
  <c r="AV260" i="10"/>
  <c r="AJ257" i="10"/>
  <c r="AX257" i="10" s="1"/>
  <c r="AZ257" i="10" s="1"/>
  <c r="V258" i="10"/>
  <c r="AO258" i="10" s="1"/>
  <c r="W258" i="10"/>
  <c r="AP258" i="10" s="1"/>
  <c r="AR258" i="10" s="1"/>
  <c r="W257" i="10"/>
  <c r="AP257" i="10" s="1"/>
  <c r="AR257" i="10" s="1"/>
  <c r="R257" i="10"/>
  <c r="AL257" i="10" s="1"/>
  <c r="AN257" i="10" s="1"/>
  <c r="AV258" i="10"/>
  <c r="R258" i="10"/>
  <c r="AL258" i="10" s="1"/>
  <c r="AN258" i="10" s="1"/>
  <c r="AV256" i="10"/>
  <c r="AV255" i="10"/>
  <c r="AV257" i="10"/>
  <c r="AJ254" i="10"/>
  <c r="AX254" i="10" s="1"/>
  <c r="AZ254" i="10" s="1"/>
  <c r="AJ258" i="10"/>
  <c r="AX258" i="10" s="1"/>
  <c r="W256" i="10"/>
  <c r="AP256" i="10" s="1"/>
  <c r="AJ256" i="10"/>
  <c r="AX256" i="10" s="1"/>
  <c r="AZ256" i="10" s="1"/>
  <c r="R254" i="10"/>
  <c r="AL254" i="10" s="1"/>
  <c r="AN254" i="10" s="1"/>
  <c r="AV254" i="10"/>
  <c r="W255" i="10"/>
  <c r="AP255" i="10" s="1"/>
  <c r="AR255" i="10" s="1"/>
  <c r="AJ255" i="10"/>
  <c r="AX255" i="10" s="1"/>
  <c r="AZ255" i="10" s="1"/>
  <c r="U254" i="10"/>
  <c r="R256" i="10"/>
  <c r="AL256" i="10" s="1"/>
  <c r="AN256" i="10" s="1"/>
  <c r="AK254" i="10"/>
  <c r="R255" i="10"/>
  <c r="AL255" i="10" s="1"/>
  <c r="AN255" i="10" s="1"/>
  <c r="J9" i="15"/>
  <c r="F47" i="14"/>
  <c r="E253" i="10"/>
  <c r="H253" i="10"/>
  <c r="BH253" i="10" s="1"/>
  <c r="I253" i="10"/>
  <c r="J253" i="10"/>
  <c r="K253" i="10"/>
  <c r="L253" i="10"/>
  <c r="M253" i="10" s="1"/>
  <c r="P253" i="10"/>
  <c r="U253" i="10" s="1"/>
  <c r="V253" i="10" s="1"/>
  <c r="AO253" i="10" s="1"/>
  <c r="Q253" i="10"/>
  <c r="AK253" i="10" s="1"/>
  <c r="Z253" i="10"/>
  <c r="AA253" i="10"/>
  <c r="AS253" i="10" s="1"/>
  <c r="AB253" i="10"/>
  <c r="AT253" i="10" s="1"/>
  <c r="AH253" i="10"/>
  <c r="AI253" i="10" s="1"/>
  <c r="AW253" i="10" s="1"/>
  <c r="AM253" i="10"/>
  <c r="AQ253" i="10"/>
  <c r="AU253" i="10"/>
  <c r="AY253" i="10"/>
  <c r="BG253" i="10" s="1"/>
  <c r="BF253" i="10"/>
  <c r="BJ253" i="10"/>
  <c r="E252" i="10"/>
  <c r="H252" i="10"/>
  <c r="BH252" i="10" s="1"/>
  <c r="I252" i="10"/>
  <c r="J252" i="10"/>
  <c r="K252" i="10"/>
  <c r="L252" i="10"/>
  <c r="M252" i="10" s="1"/>
  <c r="P252" i="10"/>
  <c r="U252" i="10" s="1"/>
  <c r="V252" i="10" s="1"/>
  <c r="AO252" i="10" s="1"/>
  <c r="Q252" i="10"/>
  <c r="AK252" i="10" s="1"/>
  <c r="Z252" i="10"/>
  <c r="AA252" i="10"/>
  <c r="AS252" i="10" s="1"/>
  <c r="AB252" i="10"/>
  <c r="AT252" i="10" s="1"/>
  <c r="AH252" i="10"/>
  <c r="AI252" i="10" s="1"/>
  <c r="AW252" i="10" s="1"/>
  <c r="AM252" i="10"/>
  <c r="AQ252" i="10"/>
  <c r="AU252" i="10"/>
  <c r="AY252" i="10"/>
  <c r="BG252" i="10" s="1"/>
  <c r="BF252" i="10"/>
  <c r="BJ252" i="10"/>
  <c r="E251" i="10"/>
  <c r="H251" i="10"/>
  <c r="BH251" i="10" s="1"/>
  <c r="I251" i="10"/>
  <c r="J251" i="10"/>
  <c r="K251" i="10"/>
  <c r="L251" i="10"/>
  <c r="M251" i="10" s="1"/>
  <c r="P251" i="10"/>
  <c r="U251" i="10" s="1"/>
  <c r="Q251" i="10"/>
  <c r="AK251" i="10" s="1"/>
  <c r="Z251" i="10"/>
  <c r="AA251" i="10"/>
  <c r="AS251" i="10" s="1"/>
  <c r="AB251" i="10"/>
  <c r="AT251" i="10" s="1"/>
  <c r="AH251" i="10"/>
  <c r="AI251" i="10" s="1"/>
  <c r="AW251" i="10" s="1"/>
  <c r="AM251" i="10"/>
  <c r="AQ251" i="10"/>
  <c r="AU251" i="10"/>
  <c r="AY251" i="10"/>
  <c r="BG251" i="10" s="1"/>
  <c r="BF251" i="10"/>
  <c r="BJ251" i="10"/>
  <c r="E250" i="10"/>
  <c r="H250" i="10"/>
  <c r="BH250" i="10" s="1"/>
  <c r="I250" i="10"/>
  <c r="J250" i="10"/>
  <c r="K250" i="10"/>
  <c r="L250" i="10"/>
  <c r="M250" i="10" s="1"/>
  <c r="P250" i="10"/>
  <c r="U250" i="10" s="1"/>
  <c r="V250" i="10" s="1"/>
  <c r="AO250" i="10" s="1"/>
  <c r="Q250" i="10"/>
  <c r="AK250" i="10" s="1"/>
  <c r="Z250" i="10"/>
  <c r="AA250" i="10"/>
  <c r="AS250" i="10" s="1"/>
  <c r="AB250" i="10"/>
  <c r="AT250" i="10" s="1"/>
  <c r="AH250" i="10"/>
  <c r="AI250" i="10" s="1"/>
  <c r="AW250" i="10" s="1"/>
  <c r="AM250" i="10"/>
  <c r="AQ250" i="10"/>
  <c r="AU250" i="10"/>
  <c r="AY250" i="10"/>
  <c r="E249" i="10"/>
  <c r="H249" i="10"/>
  <c r="BH249" i="10" s="1"/>
  <c r="I249" i="10"/>
  <c r="J249" i="10"/>
  <c r="K249" i="10"/>
  <c r="L249" i="10"/>
  <c r="M249" i="10" s="1"/>
  <c r="P249" i="10"/>
  <c r="U249" i="10" s="1"/>
  <c r="V249" i="10" s="1"/>
  <c r="AO249" i="10" s="1"/>
  <c r="Q249" i="10"/>
  <c r="AK249" i="10" s="1"/>
  <c r="Z249" i="10"/>
  <c r="AA249" i="10"/>
  <c r="AS249" i="10" s="1"/>
  <c r="AB249" i="10"/>
  <c r="AT249" i="10" s="1"/>
  <c r="AH249" i="10"/>
  <c r="AI249" i="10" s="1"/>
  <c r="AW249" i="10" s="1"/>
  <c r="AM249" i="10"/>
  <c r="AQ249" i="10"/>
  <c r="AU249" i="10"/>
  <c r="AY249" i="10"/>
  <c r="BG249" i="10" s="1"/>
  <c r="BF249" i="10"/>
  <c r="BJ249" i="10"/>
  <c r="J5" i="15"/>
  <c r="BE265" i="10" l="1"/>
  <c r="BM265" i="10"/>
  <c r="BB261" i="10"/>
  <c r="BD261" i="10" s="1"/>
  <c r="BB260" i="10"/>
  <c r="BD260" i="10" s="1"/>
  <c r="AZ261" i="10"/>
  <c r="BB259" i="10"/>
  <c r="BD259" i="10" s="1"/>
  <c r="BB262" i="10"/>
  <c r="BD262" i="10" s="1"/>
  <c r="BA260" i="10"/>
  <c r="BA262" i="10"/>
  <c r="BA261" i="10"/>
  <c r="BA259" i="10"/>
  <c r="AZ262" i="10"/>
  <c r="AZ260" i="10"/>
  <c r="BA258" i="10"/>
  <c r="BA257" i="10"/>
  <c r="BB257" i="10"/>
  <c r="BD257" i="10" s="1"/>
  <c r="BB258" i="10"/>
  <c r="BD258" i="10" s="1"/>
  <c r="AZ258" i="10"/>
  <c r="BB256" i="10"/>
  <c r="BD256" i="10" s="1"/>
  <c r="BA255" i="10"/>
  <c r="W253" i="10"/>
  <c r="AP253" i="10" s="1"/>
  <c r="AR253" i="10" s="1"/>
  <c r="BB255" i="10"/>
  <c r="BD255" i="10" s="1"/>
  <c r="AR256" i="10"/>
  <c r="BA256" i="10" s="1"/>
  <c r="W252" i="10"/>
  <c r="AP252" i="10" s="1"/>
  <c r="AR252" i="10" s="1"/>
  <c r="V254" i="10"/>
  <c r="AO254" i="10" s="1"/>
  <c r="W254" i="10"/>
  <c r="AP254" i="10" s="1"/>
  <c r="W251" i="10"/>
  <c r="AP251" i="10" s="1"/>
  <c r="AR251" i="10" s="1"/>
  <c r="AV249" i="10"/>
  <c r="W250" i="10"/>
  <c r="AP250" i="10" s="1"/>
  <c r="AR250" i="10" s="1"/>
  <c r="V251" i="10"/>
  <c r="AO251" i="10" s="1"/>
  <c r="R251" i="10"/>
  <c r="AL251" i="10" s="1"/>
  <c r="AN251" i="10" s="1"/>
  <c r="AV253" i="10"/>
  <c r="AV250" i="10"/>
  <c r="AJ252" i="10"/>
  <c r="AX252" i="10" s="1"/>
  <c r="AZ252" i="10" s="1"/>
  <c r="AJ253" i="10"/>
  <c r="AX253" i="10" s="1"/>
  <c r="AJ251" i="10"/>
  <c r="AX251" i="10" s="1"/>
  <c r="AJ250" i="10"/>
  <c r="AX250" i="10" s="1"/>
  <c r="AZ250" i="10" s="1"/>
  <c r="R253" i="10"/>
  <c r="AL253" i="10" s="1"/>
  <c r="AN253" i="10" s="1"/>
  <c r="R252" i="10"/>
  <c r="AL252" i="10" s="1"/>
  <c r="AN252" i="10" s="1"/>
  <c r="W249" i="10"/>
  <c r="AP249" i="10" s="1"/>
  <c r="AR249" i="10" s="1"/>
  <c r="R249" i="10"/>
  <c r="AL249" i="10" s="1"/>
  <c r="AN249" i="10" s="1"/>
  <c r="AJ249" i="10"/>
  <c r="AX249" i="10" s="1"/>
  <c r="AV251" i="10"/>
  <c r="AV252" i="10"/>
  <c r="R250" i="10"/>
  <c r="AL250" i="10" s="1"/>
  <c r="AN250" i="10" s="1"/>
  <c r="F46" i="14"/>
  <c r="E248" i="10"/>
  <c r="H248" i="10"/>
  <c r="BH248" i="10" s="1"/>
  <c r="I248" i="10"/>
  <c r="J248" i="10"/>
  <c r="K248" i="10"/>
  <c r="L248" i="10"/>
  <c r="M248" i="10" s="1"/>
  <c r="P248" i="10"/>
  <c r="U248" i="10" s="1"/>
  <c r="Q248" i="10"/>
  <c r="AK248" i="10" s="1"/>
  <c r="Z248" i="10"/>
  <c r="AA248" i="10"/>
  <c r="AS248" i="10" s="1"/>
  <c r="AB248" i="10"/>
  <c r="AT248" i="10" s="1"/>
  <c r="AH248" i="10"/>
  <c r="AI248" i="10" s="1"/>
  <c r="AW248" i="10" s="1"/>
  <c r="AM248" i="10"/>
  <c r="AQ248" i="10"/>
  <c r="AU248" i="10"/>
  <c r="AY248" i="10"/>
  <c r="BG248" i="10" s="1"/>
  <c r="BF248" i="10"/>
  <c r="BJ248" i="10"/>
  <c r="E247" i="10"/>
  <c r="H247" i="10"/>
  <c r="BH247" i="10" s="1"/>
  <c r="I247" i="10"/>
  <c r="J247" i="10"/>
  <c r="K247" i="10"/>
  <c r="L247" i="10"/>
  <c r="M247" i="10" s="1"/>
  <c r="P247" i="10"/>
  <c r="U247" i="10" s="1"/>
  <c r="V247" i="10" s="1"/>
  <c r="AO247" i="10" s="1"/>
  <c r="Q247" i="10"/>
  <c r="AK247" i="10" s="1"/>
  <c r="Z247" i="10"/>
  <c r="AA247" i="10"/>
  <c r="AS247" i="10" s="1"/>
  <c r="AB247" i="10"/>
  <c r="AT247" i="10" s="1"/>
  <c r="AH247" i="10"/>
  <c r="AI247" i="10" s="1"/>
  <c r="AM247" i="10"/>
  <c r="AQ247" i="10"/>
  <c r="AU247" i="10"/>
  <c r="AY247" i="10"/>
  <c r="BG247" i="10" s="1"/>
  <c r="BF247" i="10"/>
  <c r="BJ247" i="10"/>
  <c r="E246" i="10"/>
  <c r="H246" i="10"/>
  <c r="BH246" i="10" s="1"/>
  <c r="I246" i="10"/>
  <c r="J246" i="10"/>
  <c r="K246" i="10"/>
  <c r="L246" i="10"/>
  <c r="M246" i="10" s="1"/>
  <c r="P246" i="10"/>
  <c r="U246" i="10" s="1"/>
  <c r="V246" i="10" s="1"/>
  <c r="AO246" i="10" s="1"/>
  <c r="Q246" i="10"/>
  <c r="AK246" i="10" s="1"/>
  <c r="Z246" i="10"/>
  <c r="AA246" i="10"/>
  <c r="AS246" i="10" s="1"/>
  <c r="AB246" i="10"/>
  <c r="AT246" i="10" s="1"/>
  <c r="AH246" i="10"/>
  <c r="AI246" i="10" s="1"/>
  <c r="AW246" i="10" s="1"/>
  <c r="AM246" i="10"/>
  <c r="AQ246" i="10"/>
  <c r="AU246" i="10"/>
  <c r="AY246" i="10"/>
  <c r="BG246" i="10" s="1"/>
  <c r="BF246" i="10"/>
  <c r="BJ246" i="10"/>
  <c r="E245" i="10"/>
  <c r="H245" i="10"/>
  <c r="BH245" i="10" s="1"/>
  <c r="I245" i="10"/>
  <c r="J245" i="10"/>
  <c r="K245" i="10"/>
  <c r="L245" i="10"/>
  <c r="M245" i="10" s="1"/>
  <c r="P245" i="10"/>
  <c r="U245" i="10" s="1"/>
  <c r="V245" i="10" s="1"/>
  <c r="AO245" i="10" s="1"/>
  <c r="Q245" i="10"/>
  <c r="AK245" i="10" s="1"/>
  <c r="Z245" i="10"/>
  <c r="AA245" i="10"/>
  <c r="AS245" i="10" s="1"/>
  <c r="AB245" i="10"/>
  <c r="AT245" i="10" s="1"/>
  <c r="AH245" i="10"/>
  <c r="AI245" i="10" s="1"/>
  <c r="AM245" i="10"/>
  <c r="AQ245" i="10"/>
  <c r="AU245" i="10"/>
  <c r="AY245" i="10"/>
  <c r="BG245" i="10" s="1"/>
  <c r="BF245" i="10"/>
  <c r="BJ245" i="10"/>
  <c r="E244" i="10"/>
  <c r="H244" i="10"/>
  <c r="BH244" i="10" s="1"/>
  <c r="I244" i="10"/>
  <c r="J244" i="10"/>
  <c r="K244" i="10"/>
  <c r="L244" i="10"/>
  <c r="M244" i="10" s="1"/>
  <c r="P244" i="10"/>
  <c r="U244" i="10" s="1"/>
  <c r="V244" i="10" s="1"/>
  <c r="AO244" i="10" s="1"/>
  <c r="Q244" i="10"/>
  <c r="AK244" i="10" s="1"/>
  <c r="Z244" i="10"/>
  <c r="AA244" i="10"/>
  <c r="AS244" i="10" s="1"/>
  <c r="AB244" i="10"/>
  <c r="AT244" i="10" s="1"/>
  <c r="AH244" i="10"/>
  <c r="AI244" i="10" s="1"/>
  <c r="AM244" i="10"/>
  <c r="AQ244" i="10"/>
  <c r="AU244" i="10"/>
  <c r="AY244" i="10"/>
  <c r="BG244" i="10" s="1"/>
  <c r="BF244" i="10"/>
  <c r="BJ244" i="10"/>
  <c r="E243" i="10"/>
  <c r="H243" i="10"/>
  <c r="BH243" i="10" s="1"/>
  <c r="I243" i="10"/>
  <c r="J243" i="10"/>
  <c r="K243" i="10"/>
  <c r="L243" i="10"/>
  <c r="M243" i="10" s="1"/>
  <c r="P243" i="10"/>
  <c r="U243" i="10" s="1"/>
  <c r="Q243" i="10"/>
  <c r="AK243" i="10" s="1"/>
  <c r="Z243" i="10"/>
  <c r="AA243" i="10"/>
  <c r="AS243" i="10" s="1"/>
  <c r="AB243" i="10"/>
  <c r="AT243" i="10" s="1"/>
  <c r="AH243" i="10"/>
  <c r="AI243" i="10" s="1"/>
  <c r="AM243" i="10"/>
  <c r="AQ243" i="10"/>
  <c r="AU243" i="10"/>
  <c r="AY243" i="10"/>
  <c r="BG243" i="10" s="1"/>
  <c r="BF243" i="10"/>
  <c r="BJ243" i="10"/>
  <c r="AH237" i="10"/>
  <c r="AI237" i="10" s="1"/>
  <c r="AW237" i="10" s="1"/>
  <c r="F239" i="10"/>
  <c r="E242" i="10"/>
  <c r="H242" i="10"/>
  <c r="BH242" i="10" s="1"/>
  <c r="I242" i="10"/>
  <c r="J242" i="10"/>
  <c r="K242" i="10"/>
  <c r="L242" i="10"/>
  <c r="M242" i="10" s="1"/>
  <c r="P242" i="10"/>
  <c r="U242" i="10" s="1"/>
  <c r="Q242" i="10"/>
  <c r="AK242" i="10" s="1"/>
  <c r="Z242" i="10"/>
  <c r="AA242" i="10"/>
  <c r="AS242" i="10" s="1"/>
  <c r="AB242" i="10"/>
  <c r="AT242" i="10" s="1"/>
  <c r="AH242" i="10"/>
  <c r="AI242" i="10" s="1"/>
  <c r="AW242" i="10" s="1"/>
  <c r="AM242" i="10"/>
  <c r="AQ242" i="10"/>
  <c r="AU242" i="10"/>
  <c r="AY242" i="10"/>
  <c r="BG242" i="10" s="1"/>
  <c r="BF242" i="10"/>
  <c r="BJ242" i="10"/>
  <c r="E241" i="10"/>
  <c r="H241" i="10"/>
  <c r="BH241" i="10" s="1"/>
  <c r="I241" i="10"/>
  <c r="J241" i="10"/>
  <c r="K241" i="10"/>
  <c r="L241" i="10"/>
  <c r="M241" i="10" s="1"/>
  <c r="P241" i="10"/>
  <c r="U241" i="10" s="1"/>
  <c r="V241" i="10" s="1"/>
  <c r="AO241" i="10" s="1"/>
  <c r="Q241" i="10"/>
  <c r="AK241" i="10" s="1"/>
  <c r="Z241" i="10"/>
  <c r="AA241" i="10"/>
  <c r="AS241" i="10" s="1"/>
  <c r="AB241" i="10"/>
  <c r="AT241" i="10" s="1"/>
  <c r="AH241" i="10"/>
  <c r="AI241" i="10" s="1"/>
  <c r="AW241" i="10" s="1"/>
  <c r="AM241" i="10"/>
  <c r="AQ241" i="10"/>
  <c r="AU241" i="10"/>
  <c r="AY241" i="10"/>
  <c r="BG241" i="10" s="1"/>
  <c r="BF241" i="10"/>
  <c r="BJ241" i="10"/>
  <c r="E240" i="10"/>
  <c r="H240" i="10"/>
  <c r="BH240" i="10" s="1"/>
  <c r="I240" i="10"/>
  <c r="J240" i="10"/>
  <c r="K240" i="10"/>
  <c r="L240" i="10"/>
  <c r="M240" i="10" s="1"/>
  <c r="P240" i="10"/>
  <c r="U240" i="10" s="1"/>
  <c r="V240" i="10" s="1"/>
  <c r="AO240" i="10" s="1"/>
  <c r="Q240" i="10"/>
  <c r="AK240" i="10" s="1"/>
  <c r="Z240" i="10"/>
  <c r="AA240" i="10"/>
  <c r="AS240" i="10" s="1"/>
  <c r="AB240" i="10"/>
  <c r="AT240" i="10" s="1"/>
  <c r="AH240" i="10"/>
  <c r="AI240" i="10" s="1"/>
  <c r="AW240" i="10" s="1"/>
  <c r="AM240" i="10"/>
  <c r="AQ240" i="10"/>
  <c r="AU240" i="10"/>
  <c r="AY240" i="10"/>
  <c r="BG240" i="10" s="1"/>
  <c r="BF240" i="10"/>
  <c r="BJ240" i="10"/>
  <c r="E239" i="10"/>
  <c r="H239" i="10"/>
  <c r="BH239" i="10" s="1"/>
  <c r="I239" i="10"/>
  <c r="J239" i="10"/>
  <c r="K239" i="10"/>
  <c r="L239" i="10"/>
  <c r="M239" i="10" s="1"/>
  <c r="P239" i="10"/>
  <c r="Q239" i="10"/>
  <c r="AK239" i="10" s="1"/>
  <c r="Z239" i="10"/>
  <c r="AA239" i="10"/>
  <c r="AS239" i="10" s="1"/>
  <c r="AB239" i="10"/>
  <c r="AT239" i="10" s="1"/>
  <c r="AH239" i="10"/>
  <c r="AI239" i="10" s="1"/>
  <c r="AW239" i="10" s="1"/>
  <c r="AM239" i="10"/>
  <c r="AQ239" i="10"/>
  <c r="AU239" i="10"/>
  <c r="AY239" i="10"/>
  <c r="BG239" i="10" s="1"/>
  <c r="BF239" i="10"/>
  <c r="BJ239" i="10"/>
  <c r="E238" i="10"/>
  <c r="H238" i="10"/>
  <c r="BH238" i="10" s="1"/>
  <c r="I238" i="10"/>
  <c r="J238" i="10"/>
  <c r="K238" i="10"/>
  <c r="L238" i="10"/>
  <c r="M238" i="10" s="1"/>
  <c r="P238" i="10"/>
  <c r="U238" i="10" s="1"/>
  <c r="V238" i="10" s="1"/>
  <c r="AO238" i="10" s="1"/>
  <c r="Q238" i="10"/>
  <c r="AK238" i="10" s="1"/>
  <c r="Z238" i="10"/>
  <c r="AA238" i="10"/>
  <c r="AS238" i="10" s="1"/>
  <c r="AB238" i="10"/>
  <c r="AT238" i="10" s="1"/>
  <c r="AH238" i="10"/>
  <c r="AI238" i="10" s="1"/>
  <c r="AW238" i="10" s="1"/>
  <c r="AM238" i="10"/>
  <c r="AQ238" i="10"/>
  <c r="AU238" i="10"/>
  <c r="AY238" i="10"/>
  <c r="BF238" i="10"/>
  <c r="BJ238" i="10"/>
  <c r="E237" i="10"/>
  <c r="H237" i="10"/>
  <c r="BH237" i="10" s="1"/>
  <c r="I237" i="10"/>
  <c r="J237" i="10"/>
  <c r="K237" i="10"/>
  <c r="L237" i="10"/>
  <c r="M237" i="10" s="1"/>
  <c r="P237" i="10"/>
  <c r="U237" i="10" s="1"/>
  <c r="Q237" i="10"/>
  <c r="AK237" i="10" s="1"/>
  <c r="Z237" i="10"/>
  <c r="AA237" i="10"/>
  <c r="AS237" i="10" s="1"/>
  <c r="AB237" i="10"/>
  <c r="AT237" i="10" s="1"/>
  <c r="AM237" i="10"/>
  <c r="AQ237" i="10"/>
  <c r="AU237" i="10"/>
  <c r="AY237" i="10"/>
  <c r="BG237" i="10" s="1"/>
  <c r="BF237" i="10"/>
  <c r="BJ237" i="10"/>
  <c r="F36" i="14"/>
  <c r="S236" i="10"/>
  <c r="BE258" i="10" l="1"/>
  <c r="BM258" i="10"/>
  <c r="BE255" i="10"/>
  <c r="BM255" i="10"/>
  <c r="BE257" i="10"/>
  <c r="BM257" i="10"/>
  <c r="BE260" i="10"/>
  <c r="BM260" i="10"/>
  <c r="BE261" i="10"/>
  <c r="BM261" i="10"/>
  <c r="BE259" i="10"/>
  <c r="BM259" i="10"/>
  <c r="BE256" i="10"/>
  <c r="BM256" i="10"/>
  <c r="BE262" i="10"/>
  <c r="BM262" i="10"/>
  <c r="H41" i="14"/>
  <c r="H181" i="14" s="1"/>
  <c r="BB251" i="10"/>
  <c r="BD251" i="10" s="1"/>
  <c r="BB253" i="10"/>
  <c r="BD253" i="10" s="1"/>
  <c r="U239" i="10"/>
  <c r="W239" i="10" s="1"/>
  <c r="AP239" i="10" s="1"/>
  <c r="AR239" i="10" s="1"/>
  <c r="AR254" i="10"/>
  <c r="BA254" i="10" s="1"/>
  <c r="BB254" i="10"/>
  <c r="BD254" i="10" s="1"/>
  <c r="BB252" i="10"/>
  <c r="BD252" i="10" s="1"/>
  <c r="BA249" i="10"/>
  <c r="AZ253" i="10"/>
  <c r="BB249" i="10"/>
  <c r="BD249" i="10" s="1"/>
  <c r="W245" i="10"/>
  <c r="AP245" i="10" s="1"/>
  <c r="AR245" i="10" s="1"/>
  <c r="BA253" i="10"/>
  <c r="AZ249" i="10"/>
  <c r="W238" i="10"/>
  <c r="AP238" i="10" s="1"/>
  <c r="AR238" i="10" s="1"/>
  <c r="R237" i="10"/>
  <c r="AL237" i="10" s="1"/>
  <c r="AN237" i="10" s="1"/>
  <c r="AJ237" i="10"/>
  <c r="AX237" i="10" s="1"/>
  <c r="AZ237" i="10" s="1"/>
  <c r="W246" i="10"/>
  <c r="AP246" i="10" s="1"/>
  <c r="AR246" i="10" s="1"/>
  <c r="BA252" i="10"/>
  <c r="BA251" i="10"/>
  <c r="BA250" i="10"/>
  <c r="AZ251" i="10"/>
  <c r="BB250" i="10"/>
  <c r="AV246" i="10"/>
  <c r="AV248" i="10"/>
  <c r="AJ243" i="10"/>
  <c r="AX243" i="10" s="1"/>
  <c r="AZ243" i="10" s="1"/>
  <c r="AJ244" i="10"/>
  <c r="AX244" i="10" s="1"/>
  <c r="AZ244" i="10" s="1"/>
  <c r="W243" i="10"/>
  <c r="AP243" i="10" s="1"/>
  <c r="W237" i="10"/>
  <c r="AP237" i="10" s="1"/>
  <c r="AR237" i="10" s="1"/>
  <c r="V237" i="10"/>
  <c r="AO237" i="10" s="1"/>
  <c r="W240" i="10"/>
  <c r="AP240" i="10" s="1"/>
  <c r="AR240" i="10" s="1"/>
  <c r="W247" i="10"/>
  <c r="AP247" i="10" s="1"/>
  <c r="AR247" i="10" s="1"/>
  <c r="V242" i="10"/>
  <c r="AO242" i="10" s="1"/>
  <c r="W242" i="10"/>
  <c r="AP242" i="10" s="1"/>
  <c r="AR242" i="10" s="1"/>
  <c r="V243" i="10"/>
  <c r="AO243" i="10" s="1"/>
  <c r="R243" i="10"/>
  <c r="AL243" i="10" s="1"/>
  <c r="AN243" i="10" s="1"/>
  <c r="V248" i="10"/>
  <c r="AO248" i="10" s="1"/>
  <c r="W248" i="10"/>
  <c r="AP248" i="10" s="1"/>
  <c r="AR248" i="10" s="1"/>
  <c r="R245" i="10"/>
  <c r="AL245" i="10" s="1"/>
  <c r="AN245" i="10" s="1"/>
  <c r="W244" i="10"/>
  <c r="AP244" i="10" s="1"/>
  <c r="AR244" i="10" s="1"/>
  <c r="R244" i="10"/>
  <c r="AL244" i="10" s="1"/>
  <c r="AN244" i="10" s="1"/>
  <c r="AJ246" i="10"/>
  <c r="AX246" i="10" s="1"/>
  <c r="AJ248" i="10"/>
  <c r="AX248" i="10" s="1"/>
  <c r="AZ248" i="10" s="1"/>
  <c r="R246" i="10"/>
  <c r="AL246" i="10" s="1"/>
  <c r="AN246" i="10" s="1"/>
  <c r="R247" i="10"/>
  <c r="AL247" i="10" s="1"/>
  <c r="AN247" i="10" s="1"/>
  <c r="AV244" i="10"/>
  <c r="AV247" i="10"/>
  <c r="R248" i="10"/>
  <c r="AL248" i="10" s="1"/>
  <c r="AN248" i="10" s="1"/>
  <c r="AV245" i="10"/>
  <c r="AJ247" i="10"/>
  <c r="AX247" i="10" s="1"/>
  <c r="AZ247" i="10" s="1"/>
  <c r="AJ245" i="10"/>
  <c r="AX245" i="10" s="1"/>
  <c r="AW247" i="10"/>
  <c r="AV243" i="10"/>
  <c r="AW245" i="10"/>
  <c r="AW244" i="10"/>
  <c r="AV241" i="10"/>
  <c r="AW243" i="10"/>
  <c r="AV242" i="10"/>
  <c r="AJ242" i="10"/>
  <c r="AX242" i="10" s="1"/>
  <c r="AJ239" i="10"/>
  <c r="AX239" i="10" s="1"/>
  <c r="AJ241" i="10"/>
  <c r="AX241" i="10" s="1"/>
  <c r="AZ241" i="10" s="1"/>
  <c r="AJ238" i="10"/>
  <c r="AX238" i="10" s="1"/>
  <c r="AZ238" i="10" s="1"/>
  <c r="W241" i="10"/>
  <c r="AP241" i="10" s="1"/>
  <c r="AR241" i="10" s="1"/>
  <c r="R242" i="10"/>
  <c r="AL242" i="10" s="1"/>
  <c r="AN242" i="10" s="1"/>
  <c r="R241" i="10"/>
  <c r="AL241" i="10" s="1"/>
  <c r="AN241" i="10" s="1"/>
  <c r="R240" i="10"/>
  <c r="AL240" i="10" s="1"/>
  <c r="AN240" i="10" s="1"/>
  <c r="R239" i="10"/>
  <c r="AL239" i="10" s="1"/>
  <c r="AN239" i="10" s="1"/>
  <c r="R238" i="10"/>
  <c r="AL238" i="10" s="1"/>
  <c r="AN238" i="10" s="1"/>
  <c r="AJ240" i="10"/>
  <c r="AX240" i="10" s="1"/>
  <c r="AV238" i="10"/>
  <c r="AV240" i="10"/>
  <c r="AV237" i="10"/>
  <c r="BG238" i="10"/>
  <c r="AV239" i="10"/>
  <c r="AE187" i="10"/>
  <c r="F236" i="10"/>
  <c r="F34" i="14"/>
  <c r="F181" i="14" s="1"/>
  <c r="BE251" i="10" l="1"/>
  <c r="BM251" i="10"/>
  <c r="BE252" i="10"/>
  <c r="BM252" i="10"/>
  <c r="BE254" i="10"/>
  <c r="BM254" i="10"/>
  <c r="BE249" i="10"/>
  <c r="BM249" i="10"/>
  <c r="BE253" i="10"/>
  <c r="BM253" i="10"/>
  <c r="V239" i="10"/>
  <c r="AO239" i="10" s="1"/>
  <c r="BB245" i="10"/>
  <c r="BD245" i="10" s="1"/>
  <c r="BB246" i="10"/>
  <c r="BD246" i="10" s="1"/>
  <c r="BB242" i="10"/>
  <c r="BD242" i="10" s="1"/>
  <c r="BB244" i="10"/>
  <c r="BD244" i="10" s="1"/>
  <c r="AZ246" i="10"/>
  <c r="BB243" i="10"/>
  <c r="BD243" i="10" s="1"/>
  <c r="AZ242" i="10"/>
  <c r="AR243" i="10"/>
  <c r="BA243" i="10" s="1"/>
  <c r="AZ245" i="10"/>
  <c r="BB239" i="10"/>
  <c r="BD239" i="10" s="1"/>
  <c r="BB237" i="10"/>
  <c r="BD237" i="10" s="1"/>
  <c r="BB240" i="10"/>
  <c r="BD240" i="10" s="1"/>
  <c r="BA248" i="10"/>
  <c r="BA245" i="10"/>
  <c r="BB248" i="10"/>
  <c r="BD248" i="10" s="1"/>
  <c r="BA247" i="10"/>
  <c r="BA246" i="10"/>
  <c r="BB247" i="10"/>
  <c r="BD247" i="10" s="1"/>
  <c r="BA244" i="10"/>
  <c r="BA242" i="10"/>
  <c r="BB241" i="10"/>
  <c r="BD241" i="10" s="1"/>
  <c r="AZ240" i="10"/>
  <c r="AZ239" i="10"/>
  <c r="BB238" i="10"/>
  <c r="BD238" i="10" s="1"/>
  <c r="BA241" i="10"/>
  <c r="BA239" i="10"/>
  <c r="BA238" i="10"/>
  <c r="BA240" i="10"/>
  <c r="BA237" i="10"/>
  <c r="E236" i="10"/>
  <c r="H236" i="10"/>
  <c r="BH236" i="10" s="1"/>
  <c r="I236" i="10"/>
  <c r="J236" i="10"/>
  <c r="K236" i="10"/>
  <c r="L236" i="10"/>
  <c r="M236" i="10" s="1"/>
  <c r="P236" i="10"/>
  <c r="U236" i="10" s="1"/>
  <c r="V236" i="10" s="1"/>
  <c r="AO236" i="10" s="1"/>
  <c r="Q236" i="10"/>
  <c r="AK236" i="10" s="1"/>
  <c r="Z236" i="10"/>
  <c r="AA236" i="10"/>
  <c r="AS236" i="10" s="1"/>
  <c r="AB236" i="10"/>
  <c r="AT236" i="10" s="1"/>
  <c r="AH236" i="10"/>
  <c r="AI236" i="10" s="1"/>
  <c r="AW236" i="10" s="1"/>
  <c r="AM236" i="10"/>
  <c r="AQ236" i="10"/>
  <c r="AU236" i="10"/>
  <c r="AY236" i="10"/>
  <c r="BG236" i="10" s="1"/>
  <c r="BF236" i="10"/>
  <c r="BJ236" i="10"/>
  <c r="E235" i="10"/>
  <c r="H235" i="10"/>
  <c r="BH235" i="10" s="1"/>
  <c r="I235" i="10"/>
  <c r="J235" i="10"/>
  <c r="K235" i="10"/>
  <c r="L235" i="10"/>
  <c r="M235" i="10" s="1"/>
  <c r="P235" i="10"/>
  <c r="U235" i="10" s="1"/>
  <c r="V235" i="10" s="1"/>
  <c r="AO235" i="10" s="1"/>
  <c r="Q235" i="10"/>
  <c r="AK235" i="10" s="1"/>
  <c r="Z235" i="10"/>
  <c r="AA235" i="10"/>
  <c r="AS235" i="10" s="1"/>
  <c r="AB235" i="10"/>
  <c r="AT235" i="10" s="1"/>
  <c r="AH235" i="10"/>
  <c r="AI235" i="10" s="1"/>
  <c r="AW235" i="10" s="1"/>
  <c r="AM235" i="10"/>
  <c r="AQ235" i="10"/>
  <c r="AU235" i="10"/>
  <c r="AY235" i="10"/>
  <c r="BG235" i="10" s="1"/>
  <c r="BF235" i="10"/>
  <c r="BJ235" i="10"/>
  <c r="E234" i="10"/>
  <c r="H234" i="10"/>
  <c r="BH234" i="10" s="1"/>
  <c r="I234" i="10"/>
  <c r="J234" i="10"/>
  <c r="K234" i="10"/>
  <c r="L234" i="10"/>
  <c r="M234" i="10" s="1"/>
  <c r="P234" i="10"/>
  <c r="U234" i="10" s="1"/>
  <c r="V234" i="10" s="1"/>
  <c r="AO234" i="10" s="1"/>
  <c r="Q234" i="10"/>
  <c r="AK234" i="10" s="1"/>
  <c r="Z234" i="10"/>
  <c r="AA234" i="10"/>
  <c r="AS234" i="10" s="1"/>
  <c r="AB234" i="10"/>
  <c r="AT234" i="10" s="1"/>
  <c r="AH234" i="10"/>
  <c r="AI234" i="10" s="1"/>
  <c r="AW234" i="10" s="1"/>
  <c r="AM234" i="10"/>
  <c r="AQ234" i="10"/>
  <c r="AU234" i="10"/>
  <c r="AY234" i="10"/>
  <c r="BG234" i="10" s="1"/>
  <c r="BF234" i="10"/>
  <c r="BJ234" i="10"/>
  <c r="E233" i="10"/>
  <c r="H233" i="10"/>
  <c r="BH233" i="10" s="1"/>
  <c r="I233" i="10"/>
  <c r="J233" i="10"/>
  <c r="K233" i="10"/>
  <c r="L233" i="10"/>
  <c r="M233" i="10" s="1"/>
  <c r="P233" i="10"/>
  <c r="U233" i="10" s="1"/>
  <c r="V233" i="10" s="1"/>
  <c r="AO233" i="10" s="1"/>
  <c r="Q233" i="10"/>
  <c r="AK233" i="10" s="1"/>
  <c r="Z233" i="10"/>
  <c r="AA233" i="10"/>
  <c r="AS233" i="10" s="1"/>
  <c r="AB233" i="10"/>
  <c r="AT233" i="10" s="1"/>
  <c r="AH233" i="10"/>
  <c r="AI233" i="10" s="1"/>
  <c r="AW233" i="10" s="1"/>
  <c r="AM233" i="10"/>
  <c r="AQ233" i="10"/>
  <c r="AU233" i="10"/>
  <c r="AY233" i="10"/>
  <c r="BG233" i="10" s="1"/>
  <c r="BF233" i="10"/>
  <c r="BJ233" i="10"/>
  <c r="E232" i="10"/>
  <c r="H232" i="10"/>
  <c r="BH232" i="10" s="1"/>
  <c r="I232" i="10"/>
  <c r="J232" i="10"/>
  <c r="K232" i="10"/>
  <c r="L232" i="10"/>
  <c r="M232" i="10" s="1"/>
  <c r="P232" i="10"/>
  <c r="U232" i="10" s="1"/>
  <c r="V232" i="10" s="1"/>
  <c r="AO232" i="10" s="1"/>
  <c r="Q232" i="10"/>
  <c r="AK232" i="10" s="1"/>
  <c r="Z232" i="10"/>
  <c r="AA232" i="10"/>
  <c r="AS232" i="10" s="1"/>
  <c r="AB232" i="10"/>
  <c r="AT232" i="10" s="1"/>
  <c r="AH232" i="10"/>
  <c r="AI232" i="10" s="1"/>
  <c r="AW232" i="10" s="1"/>
  <c r="AM232" i="10"/>
  <c r="AQ232" i="10"/>
  <c r="AU232" i="10"/>
  <c r="AY232" i="10"/>
  <c r="BG232" i="10" s="1"/>
  <c r="BF232" i="10"/>
  <c r="BJ232" i="10"/>
  <c r="E231" i="10"/>
  <c r="H231" i="10"/>
  <c r="BH231" i="10" s="1"/>
  <c r="I231" i="10"/>
  <c r="J231" i="10"/>
  <c r="K231" i="10"/>
  <c r="L231" i="10"/>
  <c r="M231" i="10" s="1"/>
  <c r="P231" i="10"/>
  <c r="U231" i="10" s="1"/>
  <c r="V231" i="10" s="1"/>
  <c r="AO231" i="10" s="1"/>
  <c r="Q231" i="10"/>
  <c r="AK231" i="10" s="1"/>
  <c r="Z231" i="10"/>
  <c r="AA231" i="10"/>
  <c r="AS231" i="10" s="1"/>
  <c r="AB231" i="10"/>
  <c r="AT231" i="10" s="1"/>
  <c r="AH231" i="10"/>
  <c r="AI231" i="10" s="1"/>
  <c r="AW231" i="10" s="1"/>
  <c r="AM231" i="10"/>
  <c r="AQ231" i="10"/>
  <c r="AU231" i="10"/>
  <c r="AY231" i="10"/>
  <c r="BG231" i="10" s="1"/>
  <c r="BF231" i="10"/>
  <c r="BJ231" i="10"/>
  <c r="S230" i="10"/>
  <c r="L230" i="10" s="1"/>
  <c r="M230" i="10" s="1"/>
  <c r="E230" i="10"/>
  <c r="H230" i="10"/>
  <c r="BH230" i="10" s="1"/>
  <c r="I230" i="10"/>
  <c r="J230" i="10"/>
  <c r="K230" i="10"/>
  <c r="P230" i="10"/>
  <c r="U230" i="10" s="1"/>
  <c r="V230" i="10" s="1"/>
  <c r="AO230" i="10" s="1"/>
  <c r="Q230" i="10"/>
  <c r="AK230" i="10" s="1"/>
  <c r="Z230" i="10"/>
  <c r="AA230" i="10"/>
  <c r="AS230" i="10" s="1"/>
  <c r="AB230" i="10"/>
  <c r="AT230" i="10" s="1"/>
  <c r="AH230" i="10"/>
  <c r="AI230" i="10" s="1"/>
  <c r="AW230" i="10" s="1"/>
  <c r="AM230" i="10"/>
  <c r="AQ230" i="10"/>
  <c r="AU230" i="10"/>
  <c r="AY230" i="10"/>
  <c r="BG230" i="10" s="1"/>
  <c r="BF230" i="10"/>
  <c r="BJ230" i="10"/>
  <c r="BE245" i="10" l="1"/>
  <c r="BM245" i="10"/>
  <c r="BE238" i="10"/>
  <c r="BM238" i="10"/>
  <c r="BE247" i="10"/>
  <c r="BM247" i="10"/>
  <c r="BE240" i="10"/>
  <c r="BM240" i="10"/>
  <c r="BE243" i="10"/>
  <c r="BM243" i="10"/>
  <c r="BE237" i="10"/>
  <c r="BM237" i="10"/>
  <c r="BE239" i="10"/>
  <c r="BM239" i="10"/>
  <c r="BE244" i="10"/>
  <c r="BM244" i="10"/>
  <c r="BE241" i="10"/>
  <c r="BM241" i="10"/>
  <c r="BE248" i="10"/>
  <c r="BM248" i="10"/>
  <c r="BE242" i="10"/>
  <c r="BM242" i="10"/>
  <c r="BE246" i="10"/>
  <c r="BM246" i="10"/>
  <c r="W236" i="10"/>
  <c r="AP236" i="10" s="1"/>
  <c r="AR236" i="10" s="1"/>
  <c r="W230" i="10"/>
  <c r="AP230" i="10" s="1"/>
  <c r="AR230" i="10" s="1"/>
  <c r="W234" i="10"/>
  <c r="AP234" i="10" s="1"/>
  <c r="AR234" i="10" s="1"/>
  <c r="W231" i="10"/>
  <c r="AP231" i="10" s="1"/>
  <c r="AR231" i="10" s="1"/>
  <c r="W233" i="10"/>
  <c r="AP233" i="10" s="1"/>
  <c r="AR233" i="10" s="1"/>
  <c r="W235" i="10"/>
  <c r="AP235" i="10" s="1"/>
  <c r="AR235" i="10" s="1"/>
  <c r="BF250" i="10"/>
  <c r="BJ250" i="10"/>
  <c r="BG250" i="10"/>
  <c r="BD250" i="10"/>
  <c r="AV236" i="10"/>
  <c r="AV232" i="10"/>
  <c r="R235" i="10"/>
  <c r="AL235" i="10" s="1"/>
  <c r="AN235" i="10" s="1"/>
  <c r="AJ235" i="10"/>
  <c r="AX235" i="10" s="1"/>
  <c r="AZ235" i="10" s="1"/>
  <c r="AJ233" i="10"/>
  <c r="AX233" i="10" s="1"/>
  <c r="AZ233" i="10" s="1"/>
  <c r="AJ234" i="10"/>
  <c r="AX234" i="10" s="1"/>
  <c r="AZ234" i="10" s="1"/>
  <c r="AV235" i="10"/>
  <c r="AJ231" i="10"/>
  <c r="AX231" i="10" s="1"/>
  <c r="W232" i="10"/>
  <c r="AP232" i="10" s="1"/>
  <c r="AR232" i="10" s="1"/>
  <c r="AV233" i="10"/>
  <c r="AJ236" i="10"/>
  <c r="AX236" i="10" s="1"/>
  <c r="AZ236" i="10" s="1"/>
  <c r="R234" i="10"/>
  <c r="AL234" i="10" s="1"/>
  <c r="AN234" i="10" s="1"/>
  <c r="R233" i="10"/>
  <c r="AL233" i="10" s="1"/>
  <c r="AN233" i="10" s="1"/>
  <c r="R236" i="10"/>
  <c r="AL236" i="10" s="1"/>
  <c r="AN236" i="10" s="1"/>
  <c r="R231" i="10"/>
  <c r="AL231" i="10" s="1"/>
  <c r="AN231" i="10" s="1"/>
  <c r="AV231" i="10"/>
  <c r="AV234" i="10"/>
  <c r="AJ232" i="10"/>
  <c r="AX232" i="10" s="1"/>
  <c r="R232" i="10"/>
  <c r="AL232" i="10" s="1"/>
  <c r="AN232" i="10" s="1"/>
  <c r="R230" i="10"/>
  <c r="AL230" i="10" s="1"/>
  <c r="AN230" i="10" s="1"/>
  <c r="AV230" i="10"/>
  <c r="AJ230" i="10"/>
  <c r="AX230" i="10" s="1"/>
  <c r="AZ230" i="10" s="1"/>
  <c r="AH225" i="10"/>
  <c r="AI225" i="10" s="1"/>
  <c r="AW225" i="10" s="1"/>
  <c r="AH227" i="10"/>
  <c r="AI227" i="10" s="1"/>
  <c r="AW227" i="10" s="1"/>
  <c r="AH229" i="10"/>
  <c r="AI229" i="10" s="1"/>
  <c r="AW229" i="10" s="1"/>
  <c r="E229" i="10"/>
  <c r="H229" i="10"/>
  <c r="BH229" i="10" s="1"/>
  <c r="I229" i="10"/>
  <c r="J229" i="10"/>
  <c r="K229" i="10"/>
  <c r="L229" i="10"/>
  <c r="M229" i="10" s="1"/>
  <c r="P229" i="10"/>
  <c r="U229" i="10" s="1"/>
  <c r="V229" i="10" s="1"/>
  <c r="AO229" i="10" s="1"/>
  <c r="Q229" i="10"/>
  <c r="AK229" i="10" s="1"/>
  <c r="Z229" i="10"/>
  <c r="AA229" i="10"/>
  <c r="AS229" i="10" s="1"/>
  <c r="AB229" i="10"/>
  <c r="AT229" i="10" s="1"/>
  <c r="AM229" i="10"/>
  <c r="AQ229" i="10"/>
  <c r="AU229" i="10"/>
  <c r="AY229" i="10"/>
  <c r="BG229" i="10" s="1"/>
  <c r="BF229" i="10"/>
  <c r="BJ229" i="10"/>
  <c r="F225" i="10"/>
  <c r="E228" i="10"/>
  <c r="H228" i="10"/>
  <c r="BH228" i="10" s="1"/>
  <c r="I228" i="10"/>
  <c r="J228" i="10"/>
  <c r="K228" i="10"/>
  <c r="L228" i="10"/>
  <c r="M228" i="10" s="1"/>
  <c r="P228" i="10"/>
  <c r="U228" i="10" s="1"/>
  <c r="V228" i="10" s="1"/>
  <c r="AO228" i="10" s="1"/>
  <c r="Q228" i="10"/>
  <c r="AK228" i="10" s="1"/>
  <c r="Z228" i="10"/>
  <c r="AA228" i="10"/>
  <c r="AS228" i="10" s="1"/>
  <c r="AB228" i="10"/>
  <c r="AT228" i="10" s="1"/>
  <c r="AH228" i="10"/>
  <c r="AI228" i="10" s="1"/>
  <c r="AW228" i="10" s="1"/>
  <c r="AM228" i="10"/>
  <c r="AQ228" i="10"/>
  <c r="AU228" i="10"/>
  <c r="AY228" i="10"/>
  <c r="E227" i="10"/>
  <c r="H227" i="10"/>
  <c r="BH227" i="10" s="1"/>
  <c r="I227" i="10"/>
  <c r="J227" i="10"/>
  <c r="K227" i="10"/>
  <c r="L227" i="10"/>
  <c r="M227" i="10" s="1"/>
  <c r="P227" i="10"/>
  <c r="U227" i="10" s="1"/>
  <c r="V227" i="10" s="1"/>
  <c r="AO227" i="10" s="1"/>
  <c r="Q227" i="10"/>
  <c r="AK227" i="10" s="1"/>
  <c r="Z227" i="10"/>
  <c r="AA227" i="10"/>
  <c r="AS227" i="10" s="1"/>
  <c r="AB227" i="10"/>
  <c r="AT227" i="10" s="1"/>
  <c r="AM227" i="10"/>
  <c r="AQ227" i="10"/>
  <c r="AU227" i="10"/>
  <c r="AY227" i="10"/>
  <c r="BG227" i="10" s="1"/>
  <c r="BF227" i="10"/>
  <c r="BJ227" i="10"/>
  <c r="E226" i="10"/>
  <c r="H226" i="10"/>
  <c r="BH226" i="10" s="1"/>
  <c r="I226" i="10"/>
  <c r="J226" i="10"/>
  <c r="K226" i="10"/>
  <c r="L226" i="10"/>
  <c r="M226" i="10" s="1"/>
  <c r="P226" i="10"/>
  <c r="U226" i="10" s="1"/>
  <c r="V226" i="10" s="1"/>
  <c r="AO226" i="10" s="1"/>
  <c r="Q226" i="10"/>
  <c r="AK226" i="10" s="1"/>
  <c r="Z226" i="10"/>
  <c r="AA226" i="10"/>
  <c r="AS226" i="10" s="1"/>
  <c r="AB226" i="10"/>
  <c r="AT226" i="10" s="1"/>
  <c r="AH226" i="10"/>
  <c r="AI226" i="10" s="1"/>
  <c r="AW226" i="10" s="1"/>
  <c r="AM226" i="10"/>
  <c r="AQ226" i="10"/>
  <c r="AU226" i="10"/>
  <c r="AY226" i="10"/>
  <c r="BG226" i="10" s="1"/>
  <c r="BF226" i="10"/>
  <c r="BJ226" i="10"/>
  <c r="E225" i="10"/>
  <c r="H225" i="10"/>
  <c r="BH225" i="10" s="1"/>
  <c r="I225" i="10"/>
  <c r="J225" i="10"/>
  <c r="K225" i="10"/>
  <c r="L225" i="10"/>
  <c r="P225" i="10"/>
  <c r="Q225" i="10"/>
  <c r="AK225" i="10" s="1"/>
  <c r="Z225" i="10"/>
  <c r="AA225" i="10"/>
  <c r="AS225" i="10" s="1"/>
  <c r="AB225" i="10"/>
  <c r="AT225" i="10" s="1"/>
  <c r="AM225" i="10"/>
  <c r="AQ225" i="10"/>
  <c r="AU225" i="10"/>
  <c r="AY225" i="10"/>
  <c r="BG225" i="10" s="1"/>
  <c r="BF225" i="10"/>
  <c r="BJ225" i="10"/>
  <c r="S223" i="10"/>
  <c r="BE250" i="10" l="1"/>
  <c r="BM250" i="10"/>
  <c r="U225" i="10"/>
  <c r="V225" i="10" s="1"/>
  <c r="AO225" i="10" s="1"/>
  <c r="M225" i="10"/>
  <c r="BB233" i="10"/>
  <c r="BD233" i="10" s="1"/>
  <c r="BB231" i="10"/>
  <c r="BD231" i="10" s="1"/>
  <c r="W227" i="10"/>
  <c r="AP227" i="10" s="1"/>
  <c r="AR227" i="10" s="1"/>
  <c r="BA236" i="10"/>
  <c r="BA233" i="10"/>
  <c r="BA235" i="10"/>
  <c r="BA231" i="10"/>
  <c r="AZ231" i="10"/>
  <c r="BB234" i="10"/>
  <c r="BD234" i="10" s="1"/>
  <c r="BB235" i="10"/>
  <c r="BD235" i="10" s="1"/>
  <c r="BB236" i="10"/>
  <c r="BD236" i="10" s="1"/>
  <c r="BA232" i="10"/>
  <c r="BB232" i="10"/>
  <c r="BD232" i="10" s="1"/>
  <c r="BA234" i="10"/>
  <c r="AZ232" i="10"/>
  <c r="BA230" i="10"/>
  <c r="W226" i="10"/>
  <c r="AP226" i="10" s="1"/>
  <c r="AR226" i="10" s="1"/>
  <c r="BB230" i="10"/>
  <c r="BD230" i="10" s="1"/>
  <c r="W228" i="10"/>
  <c r="AP228" i="10" s="1"/>
  <c r="AR228" i="10" s="1"/>
  <c r="R226" i="10"/>
  <c r="AL226" i="10" s="1"/>
  <c r="AN226" i="10" s="1"/>
  <c r="W229" i="10"/>
  <c r="AP229" i="10" s="1"/>
  <c r="AR229" i="10" s="1"/>
  <c r="AV229" i="10"/>
  <c r="R228" i="10"/>
  <c r="AL228" i="10" s="1"/>
  <c r="AN228" i="10" s="1"/>
  <c r="R229" i="10"/>
  <c r="AL229" i="10" s="1"/>
  <c r="AN229" i="10" s="1"/>
  <c r="R227" i="10"/>
  <c r="AL227" i="10" s="1"/>
  <c r="AN227" i="10" s="1"/>
  <c r="AJ225" i="10"/>
  <c r="AX225" i="10" s="1"/>
  <c r="R225" i="10"/>
  <c r="AL225" i="10" s="1"/>
  <c r="AN225" i="10" s="1"/>
  <c r="AJ229" i="10"/>
  <c r="AX229" i="10" s="1"/>
  <c r="AV228" i="10"/>
  <c r="AJ228" i="10"/>
  <c r="AX228" i="10" s="1"/>
  <c r="AJ227" i="10"/>
  <c r="AX227" i="10" s="1"/>
  <c r="AZ227" i="10" s="1"/>
  <c r="AV227" i="10"/>
  <c r="AV226" i="10"/>
  <c r="AV225" i="10"/>
  <c r="AJ226" i="10"/>
  <c r="AX226" i="10" s="1"/>
  <c r="AZ226" i="10" s="1"/>
  <c r="E224" i="10"/>
  <c r="H224" i="10"/>
  <c r="BH224" i="10" s="1"/>
  <c r="I224" i="10"/>
  <c r="J224" i="10"/>
  <c r="K224" i="10"/>
  <c r="L224" i="10"/>
  <c r="M224" i="10" s="1"/>
  <c r="P224" i="10"/>
  <c r="U224" i="10" s="1"/>
  <c r="V224" i="10" s="1"/>
  <c r="AO224" i="10" s="1"/>
  <c r="Q224" i="10"/>
  <c r="AK224" i="10" s="1"/>
  <c r="Z224" i="10"/>
  <c r="AA224" i="10"/>
  <c r="AS224" i="10" s="1"/>
  <c r="AB224" i="10"/>
  <c r="AT224" i="10" s="1"/>
  <c r="AH224" i="10"/>
  <c r="AI224" i="10" s="1"/>
  <c r="AM224" i="10"/>
  <c r="AQ224" i="10"/>
  <c r="AU224" i="10"/>
  <c r="AY224" i="10"/>
  <c r="BG224" i="10" s="1"/>
  <c r="BF224" i="10"/>
  <c r="BJ224" i="10"/>
  <c r="F220" i="10"/>
  <c r="E223" i="10"/>
  <c r="H223" i="10"/>
  <c r="BH223" i="10" s="1"/>
  <c r="I223" i="10"/>
  <c r="J223" i="10"/>
  <c r="K223" i="10"/>
  <c r="L223" i="10"/>
  <c r="M223" i="10" s="1"/>
  <c r="P223" i="10"/>
  <c r="U223" i="10" s="1"/>
  <c r="V223" i="10" s="1"/>
  <c r="AO223" i="10" s="1"/>
  <c r="Q223" i="10"/>
  <c r="AK223" i="10" s="1"/>
  <c r="Z223" i="10"/>
  <c r="AA223" i="10"/>
  <c r="AS223" i="10" s="1"/>
  <c r="AB223" i="10"/>
  <c r="AT223" i="10" s="1"/>
  <c r="AH223" i="10"/>
  <c r="AI223" i="10" s="1"/>
  <c r="AM223" i="10"/>
  <c r="AQ223" i="10"/>
  <c r="AU223" i="10"/>
  <c r="AY223" i="10"/>
  <c r="BG223" i="10" s="1"/>
  <c r="BF223" i="10"/>
  <c r="BJ223" i="10"/>
  <c r="E222" i="10"/>
  <c r="H222" i="10"/>
  <c r="BH222" i="10" s="1"/>
  <c r="I222" i="10"/>
  <c r="J222" i="10"/>
  <c r="K222" i="10"/>
  <c r="L222" i="10"/>
  <c r="M222" i="10" s="1"/>
  <c r="P222" i="10"/>
  <c r="U222" i="10" s="1"/>
  <c r="V222" i="10" s="1"/>
  <c r="AO222" i="10" s="1"/>
  <c r="Q222" i="10"/>
  <c r="AK222" i="10" s="1"/>
  <c r="Z222" i="10"/>
  <c r="AA222" i="10"/>
  <c r="AS222" i="10" s="1"/>
  <c r="AB222" i="10"/>
  <c r="AT222" i="10" s="1"/>
  <c r="AH222" i="10"/>
  <c r="AI222" i="10" s="1"/>
  <c r="AW222" i="10" s="1"/>
  <c r="AM222" i="10"/>
  <c r="AQ222" i="10"/>
  <c r="AU222" i="10"/>
  <c r="AY222" i="10"/>
  <c r="BG222" i="10" s="1"/>
  <c r="BF222" i="10"/>
  <c r="BJ222" i="10"/>
  <c r="E221" i="10"/>
  <c r="H221" i="10"/>
  <c r="BH221" i="10" s="1"/>
  <c r="I221" i="10"/>
  <c r="J221" i="10"/>
  <c r="K221" i="10"/>
  <c r="L221" i="10"/>
  <c r="M221" i="10" s="1"/>
  <c r="P221" i="10"/>
  <c r="U221" i="10" s="1"/>
  <c r="V221" i="10" s="1"/>
  <c r="AO221" i="10" s="1"/>
  <c r="Q221" i="10"/>
  <c r="AK221" i="10" s="1"/>
  <c r="Z221" i="10"/>
  <c r="AA221" i="10"/>
  <c r="AS221" i="10" s="1"/>
  <c r="AB221" i="10"/>
  <c r="AT221" i="10" s="1"/>
  <c r="AH221" i="10"/>
  <c r="AI221" i="10" s="1"/>
  <c r="AW221" i="10" s="1"/>
  <c r="AM221" i="10"/>
  <c r="AQ221" i="10"/>
  <c r="AU221" i="10"/>
  <c r="AY221" i="10"/>
  <c r="BG221" i="10" s="1"/>
  <c r="BF221" i="10"/>
  <c r="BJ221" i="10"/>
  <c r="E220" i="10"/>
  <c r="H220" i="10"/>
  <c r="BH220" i="10" s="1"/>
  <c r="I220" i="10"/>
  <c r="J220" i="10"/>
  <c r="K220" i="10"/>
  <c r="L220" i="10"/>
  <c r="P220" i="10"/>
  <c r="Q220" i="10"/>
  <c r="AK220" i="10" s="1"/>
  <c r="Z220" i="10"/>
  <c r="AA220" i="10"/>
  <c r="AS220" i="10" s="1"/>
  <c r="AB220" i="10"/>
  <c r="AT220" i="10" s="1"/>
  <c r="AH220" i="10"/>
  <c r="AI220" i="10" s="1"/>
  <c r="AW220" i="10" s="1"/>
  <c r="AM220" i="10"/>
  <c r="AQ220" i="10"/>
  <c r="AU220" i="10"/>
  <c r="AY220" i="10"/>
  <c r="BG220" i="10" s="1"/>
  <c r="BF220" i="10"/>
  <c r="BJ220" i="10"/>
  <c r="E219" i="10"/>
  <c r="H219" i="10"/>
  <c r="BH219" i="10" s="1"/>
  <c r="I219" i="10"/>
  <c r="J219" i="10"/>
  <c r="K219" i="10"/>
  <c r="L219" i="10"/>
  <c r="M219" i="10" s="1"/>
  <c r="P219" i="10"/>
  <c r="U219" i="10" s="1"/>
  <c r="V219" i="10" s="1"/>
  <c r="AO219" i="10" s="1"/>
  <c r="Q219" i="10"/>
  <c r="AK219" i="10" s="1"/>
  <c r="Z219" i="10"/>
  <c r="AA219" i="10"/>
  <c r="AS219" i="10" s="1"/>
  <c r="AB219" i="10"/>
  <c r="AT219" i="10" s="1"/>
  <c r="AH219" i="10"/>
  <c r="AI219" i="10" s="1"/>
  <c r="AW219" i="10" s="1"/>
  <c r="AM219" i="10"/>
  <c r="AQ219" i="10"/>
  <c r="AU219" i="10"/>
  <c r="AY219" i="10"/>
  <c r="BG219" i="10" s="1"/>
  <c r="BF219" i="10"/>
  <c r="BJ219" i="10"/>
  <c r="E218" i="10"/>
  <c r="H218" i="10"/>
  <c r="BH218" i="10" s="1"/>
  <c r="I218" i="10"/>
  <c r="J218" i="10"/>
  <c r="K218" i="10"/>
  <c r="L218" i="10"/>
  <c r="M218" i="10" s="1"/>
  <c r="P218" i="10"/>
  <c r="U218" i="10" s="1"/>
  <c r="V218" i="10" s="1"/>
  <c r="AO218" i="10" s="1"/>
  <c r="Q218" i="10"/>
  <c r="AK218" i="10" s="1"/>
  <c r="Z218" i="10"/>
  <c r="AA218" i="10"/>
  <c r="AS218" i="10" s="1"/>
  <c r="AB218" i="10"/>
  <c r="AT218" i="10" s="1"/>
  <c r="AH218" i="10"/>
  <c r="AI218" i="10" s="1"/>
  <c r="AW218" i="10" s="1"/>
  <c r="AM218" i="10"/>
  <c r="AQ218" i="10"/>
  <c r="AU218" i="10"/>
  <c r="AY218" i="10"/>
  <c r="BG218" i="10" s="1"/>
  <c r="BF218" i="10"/>
  <c r="BJ218" i="10"/>
  <c r="E217" i="10"/>
  <c r="H217" i="10"/>
  <c r="BH217" i="10" s="1"/>
  <c r="I217" i="10"/>
  <c r="J217" i="10"/>
  <c r="K217" i="10"/>
  <c r="L217" i="10"/>
  <c r="M217" i="10" s="1"/>
  <c r="P217" i="10"/>
  <c r="U217" i="10" s="1"/>
  <c r="V217" i="10" s="1"/>
  <c r="AO217" i="10" s="1"/>
  <c r="Q217" i="10"/>
  <c r="AK217" i="10" s="1"/>
  <c r="Z217" i="10"/>
  <c r="AA217" i="10" s="1"/>
  <c r="AS217" i="10" s="1"/>
  <c r="AH217" i="10"/>
  <c r="AI217" i="10" s="1"/>
  <c r="AW217" i="10" s="1"/>
  <c r="AM217" i="10"/>
  <c r="AQ217" i="10"/>
  <c r="AU217" i="10"/>
  <c r="AY217" i="10"/>
  <c r="BG217" i="10" s="1"/>
  <c r="BF217" i="10"/>
  <c r="BJ217" i="10"/>
  <c r="E216" i="10"/>
  <c r="H216" i="10"/>
  <c r="BH216" i="10" s="1"/>
  <c r="I216" i="10"/>
  <c r="J216" i="10"/>
  <c r="K216" i="10"/>
  <c r="L216" i="10"/>
  <c r="M216" i="10" s="1"/>
  <c r="P216" i="10"/>
  <c r="U216" i="10" s="1"/>
  <c r="Q216" i="10"/>
  <c r="AK216" i="10" s="1"/>
  <c r="Z216" i="10"/>
  <c r="AA216" i="10"/>
  <c r="AS216" i="10" s="1"/>
  <c r="AB216" i="10"/>
  <c r="AT216" i="10" s="1"/>
  <c r="AH216" i="10"/>
  <c r="AI216" i="10" s="1"/>
  <c r="AW216" i="10" s="1"/>
  <c r="AM216" i="10"/>
  <c r="AQ216" i="10"/>
  <c r="AU216" i="10"/>
  <c r="AY216" i="10"/>
  <c r="BG216" i="10" s="1"/>
  <c r="BF216" i="10"/>
  <c r="BJ216" i="10"/>
  <c r="E215" i="10"/>
  <c r="H215" i="10"/>
  <c r="BH215" i="10" s="1"/>
  <c r="I215" i="10"/>
  <c r="J215" i="10"/>
  <c r="K215" i="10"/>
  <c r="L215" i="10"/>
  <c r="M215" i="10" s="1"/>
  <c r="P215" i="10"/>
  <c r="U215" i="10" s="1"/>
  <c r="Q215" i="10"/>
  <c r="AK215" i="10" s="1"/>
  <c r="Z215" i="10"/>
  <c r="AA215" i="10"/>
  <c r="AS215" i="10" s="1"/>
  <c r="AB215" i="10"/>
  <c r="AT215" i="10" s="1"/>
  <c r="AH215" i="10"/>
  <c r="AI215" i="10" s="1"/>
  <c r="AW215" i="10" s="1"/>
  <c r="AM215" i="10"/>
  <c r="AQ215" i="10"/>
  <c r="AU215" i="10"/>
  <c r="AY215" i="10"/>
  <c r="BG215" i="10" s="1"/>
  <c r="BF215" i="10"/>
  <c r="BJ215" i="10"/>
  <c r="E214" i="10"/>
  <c r="H214" i="10"/>
  <c r="BH214" i="10" s="1"/>
  <c r="I214" i="10"/>
  <c r="J214" i="10"/>
  <c r="K214" i="10"/>
  <c r="L214" i="10"/>
  <c r="M214" i="10" s="1"/>
  <c r="P214" i="10"/>
  <c r="U214" i="10" s="1"/>
  <c r="V214" i="10" s="1"/>
  <c r="AO214" i="10" s="1"/>
  <c r="Q214" i="10"/>
  <c r="AK214" i="10" s="1"/>
  <c r="Z214" i="10"/>
  <c r="AA214" i="10" s="1"/>
  <c r="AS214" i="10" s="1"/>
  <c r="AH214" i="10"/>
  <c r="AI214" i="10" s="1"/>
  <c r="AW214" i="10" s="1"/>
  <c r="AM214" i="10"/>
  <c r="AQ214" i="10"/>
  <c r="AU214" i="10"/>
  <c r="AY214" i="10"/>
  <c r="BG214" i="10" s="1"/>
  <c r="BF214" i="10"/>
  <c r="BJ214" i="10"/>
  <c r="F381" i="13"/>
  <c r="G381" i="13"/>
  <c r="H381" i="13"/>
  <c r="I381" i="13"/>
  <c r="F171" i="13"/>
  <c r="E213" i="10"/>
  <c r="H213" i="10"/>
  <c r="BH213" i="10" s="1"/>
  <c r="I213" i="10"/>
  <c r="J213" i="10"/>
  <c r="K213" i="10"/>
  <c r="L213" i="10"/>
  <c r="M213" i="10" s="1"/>
  <c r="P213" i="10" s="1"/>
  <c r="Z213" i="10"/>
  <c r="AA213" i="10" s="1"/>
  <c r="AS213" i="10" s="1"/>
  <c r="AH213" i="10"/>
  <c r="AI213" i="10" s="1"/>
  <c r="AM213" i="10"/>
  <c r="AQ213" i="10"/>
  <c r="AU213" i="10"/>
  <c r="AY213" i="10"/>
  <c r="BG213" i="10" s="1"/>
  <c r="BF213" i="10"/>
  <c r="BJ213" i="10"/>
  <c r="AD211" i="10"/>
  <c r="E212" i="10"/>
  <c r="H212" i="10"/>
  <c r="BH212" i="10" s="1"/>
  <c r="I212" i="10"/>
  <c r="J212" i="10"/>
  <c r="K212" i="10"/>
  <c r="L212" i="10"/>
  <c r="M212" i="10" s="1"/>
  <c r="P212" i="10"/>
  <c r="U212" i="10" s="1"/>
  <c r="V212" i="10" s="1"/>
  <c r="AO212" i="10" s="1"/>
  <c r="Q212" i="10"/>
  <c r="AK212" i="10" s="1"/>
  <c r="Z212" i="10"/>
  <c r="AA212" i="10"/>
  <c r="AS212" i="10" s="1"/>
  <c r="AB212" i="10"/>
  <c r="AT212" i="10" s="1"/>
  <c r="AH212" i="10"/>
  <c r="AI212" i="10" s="1"/>
  <c r="AW212" i="10" s="1"/>
  <c r="AM212" i="10"/>
  <c r="AQ212" i="10"/>
  <c r="AU212" i="10"/>
  <c r="AY212" i="10"/>
  <c r="BG212" i="10" s="1"/>
  <c r="BF212" i="10"/>
  <c r="BJ212" i="10"/>
  <c r="BE232" i="10" l="1"/>
  <c r="BM232" i="10"/>
  <c r="BE233" i="10"/>
  <c r="BM233" i="10"/>
  <c r="BE231" i="10"/>
  <c r="BM231" i="10"/>
  <c r="BE230" i="10"/>
  <c r="BM230" i="10"/>
  <c r="BE236" i="10"/>
  <c r="BM236" i="10"/>
  <c r="BE235" i="10"/>
  <c r="BM235" i="10"/>
  <c r="BE234" i="10"/>
  <c r="BM234" i="10"/>
  <c r="W225" i="10"/>
  <c r="AP225" i="10" s="1"/>
  <c r="AR225" i="10" s="1"/>
  <c r="BA225" i="10" s="1"/>
  <c r="AB217" i="10"/>
  <c r="AT217" i="10" s="1"/>
  <c r="AV217" i="10" s="1"/>
  <c r="BB228" i="10"/>
  <c r="AZ228" i="10"/>
  <c r="AZ225" i="10"/>
  <c r="BB227" i="10"/>
  <c r="BD227" i="10" s="1"/>
  <c r="BB229" i="10"/>
  <c r="BD229" i="10" s="1"/>
  <c r="AZ229" i="10"/>
  <c r="BA229" i="10"/>
  <c r="W219" i="10"/>
  <c r="AP219" i="10" s="1"/>
  <c r="AR219" i="10" s="1"/>
  <c r="W222" i="10"/>
  <c r="AP222" i="10" s="1"/>
  <c r="AR222" i="10" s="1"/>
  <c r="W224" i="10"/>
  <c r="AP224" i="10" s="1"/>
  <c r="AR224" i="10" s="1"/>
  <c r="W221" i="10"/>
  <c r="AP221" i="10" s="1"/>
  <c r="AR221" i="10" s="1"/>
  <c r="W223" i="10"/>
  <c r="AP223" i="10" s="1"/>
  <c r="AR223" i="10" s="1"/>
  <c r="BA228" i="10"/>
  <c r="BB226" i="10"/>
  <c r="BD226" i="10" s="1"/>
  <c r="BA227" i="10"/>
  <c r="BA226" i="10"/>
  <c r="M220" i="10"/>
  <c r="W212" i="10"/>
  <c r="AP212" i="10" s="1"/>
  <c r="AR212" i="10" s="1"/>
  <c r="AJ223" i="10"/>
  <c r="AX223" i="10" s="1"/>
  <c r="U220" i="10"/>
  <c r="V220" i="10" s="1"/>
  <c r="AO220" i="10" s="1"/>
  <c r="AV221" i="10"/>
  <c r="AJ221" i="10"/>
  <c r="AX221" i="10" s="1"/>
  <c r="AZ221" i="10" s="1"/>
  <c r="R219" i="10"/>
  <c r="AL219" i="10" s="1"/>
  <c r="AN219" i="10" s="1"/>
  <c r="R220" i="10"/>
  <c r="AL220" i="10" s="1"/>
  <c r="AN220" i="10" s="1"/>
  <c r="AJ224" i="10"/>
  <c r="AX224" i="10" s="1"/>
  <c r="R222" i="10"/>
  <c r="AL222" i="10" s="1"/>
  <c r="AN222" i="10" s="1"/>
  <c r="R224" i="10"/>
  <c r="AL224" i="10" s="1"/>
  <c r="AN224" i="10" s="1"/>
  <c r="AV222" i="10"/>
  <c r="AV224" i="10"/>
  <c r="AJ219" i="10"/>
  <c r="AX219" i="10" s="1"/>
  <c r="AZ219" i="10" s="1"/>
  <c r="R221" i="10"/>
  <c r="AL221" i="10" s="1"/>
  <c r="AN221" i="10" s="1"/>
  <c r="AJ220" i="10"/>
  <c r="AX220" i="10" s="1"/>
  <c r="AZ220" i="10" s="1"/>
  <c r="R223" i="10"/>
  <c r="AL223" i="10" s="1"/>
  <c r="AN223" i="10" s="1"/>
  <c r="AV220" i="10"/>
  <c r="AV223" i="10"/>
  <c r="AV219" i="10"/>
  <c r="AW224" i="10"/>
  <c r="AJ222" i="10"/>
  <c r="AX222" i="10" s="1"/>
  <c r="AW223" i="10"/>
  <c r="W214" i="10"/>
  <c r="AP214" i="10" s="1"/>
  <c r="AR214" i="10" s="1"/>
  <c r="W216" i="10"/>
  <c r="AP216" i="10" s="1"/>
  <c r="AR216" i="10" s="1"/>
  <c r="W217" i="10"/>
  <c r="AP217" i="10" s="1"/>
  <c r="AR217" i="10" s="1"/>
  <c r="AB214" i="10"/>
  <c r="AT214" i="10" s="1"/>
  <c r="AV214" i="10" s="1"/>
  <c r="W218" i="10"/>
  <c r="AP218" i="10" s="1"/>
  <c r="AR218" i="10" s="1"/>
  <c r="AB213" i="10"/>
  <c r="AT213" i="10" s="1"/>
  <c r="AV213" i="10" s="1"/>
  <c r="V216" i="10"/>
  <c r="AO216" i="10" s="1"/>
  <c r="R216" i="10"/>
  <c r="AL216" i="10" s="1"/>
  <c r="AN216" i="10" s="1"/>
  <c r="V215" i="10"/>
  <c r="AO215" i="10" s="1"/>
  <c r="W215" i="10"/>
  <c r="AP215" i="10" s="1"/>
  <c r="AR215" i="10" s="1"/>
  <c r="AV216" i="10"/>
  <c r="AJ218" i="10"/>
  <c r="AX218" i="10" s="1"/>
  <c r="R218" i="10"/>
  <c r="AL218" i="10" s="1"/>
  <c r="AN218" i="10" s="1"/>
  <c r="AV218" i="10"/>
  <c r="AJ214" i="10"/>
  <c r="AX214" i="10" s="1"/>
  <c r="R215" i="10"/>
  <c r="AL215" i="10" s="1"/>
  <c r="AN215" i="10" s="1"/>
  <c r="AJ217" i="10"/>
  <c r="AX217" i="10" s="1"/>
  <c r="R217" i="10"/>
  <c r="AL217" i="10" s="1"/>
  <c r="AN217" i="10" s="1"/>
  <c r="AV215" i="10"/>
  <c r="R214" i="10"/>
  <c r="AL214" i="10" s="1"/>
  <c r="AN214" i="10" s="1"/>
  <c r="AJ216" i="10"/>
  <c r="AX216" i="10" s="1"/>
  <c r="AJ215" i="10"/>
  <c r="AX215" i="10" s="1"/>
  <c r="AJ213" i="10"/>
  <c r="AX213" i="10" s="1"/>
  <c r="AZ213" i="10" s="1"/>
  <c r="U213" i="10"/>
  <c r="Q213" i="10"/>
  <c r="AK213" i="10" s="1"/>
  <c r="AW213" i="10"/>
  <c r="AV212" i="10"/>
  <c r="R212" i="10"/>
  <c r="AL212" i="10" s="1"/>
  <c r="AN212" i="10" s="1"/>
  <c r="AJ212" i="10"/>
  <c r="AX212" i="10" s="1"/>
  <c r="BE229" i="10" l="1"/>
  <c r="BM229" i="10"/>
  <c r="BE226" i="10"/>
  <c r="BM226" i="10"/>
  <c r="BE227" i="10"/>
  <c r="BM227" i="10"/>
  <c r="BB225" i="10"/>
  <c r="BD225" i="10" s="1"/>
  <c r="BB222" i="10"/>
  <c r="BD222" i="10" s="1"/>
  <c r="BB221" i="10"/>
  <c r="BD221" i="10" s="1"/>
  <c r="BB224" i="10"/>
  <c r="BD224" i="10" s="1"/>
  <c r="BB212" i="10"/>
  <c r="BD212" i="10" s="1"/>
  <c r="W220" i="10"/>
  <c r="AP220" i="10" s="1"/>
  <c r="AR220" i="10" s="1"/>
  <c r="BA220" i="10" s="1"/>
  <c r="BB223" i="10"/>
  <c r="BD223" i="10" s="1"/>
  <c r="BA221" i="10"/>
  <c r="AZ223" i="10"/>
  <c r="AZ224" i="10"/>
  <c r="AZ222" i="10"/>
  <c r="BA224" i="10"/>
  <c r="BA223" i="10"/>
  <c r="BB219" i="10"/>
  <c r="BD219" i="10" s="1"/>
  <c r="BA222" i="10"/>
  <c r="BA219" i="10"/>
  <c r="BB214" i="10"/>
  <c r="BD214" i="10" s="1"/>
  <c r="BB217" i="10"/>
  <c r="BD217" i="10" s="1"/>
  <c r="BB218" i="10"/>
  <c r="BD218" i="10" s="1"/>
  <c r="BA212" i="10"/>
  <c r="AZ214" i="10"/>
  <c r="AZ217" i="10"/>
  <c r="AZ218" i="10"/>
  <c r="BB215" i="10"/>
  <c r="BD215" i="10" s="1"/>
  <c r="BA215" i="10"/>
  <c r="AZ215" i="10"/>
  <c r="BA217" i="10"/>
  <c r="AZ216" i="10"/>
  <c r="BB216" i="10"/>
  <c r="BD216" i="10" s="1"/>
  <c r="BA216" i="10"/>
  <c r="BA218" i="10"/>
  <c r="BA214" i="10"/>
  <c r="R213" i="10"/>
  <c r="AL213" i="10" s="1"/>
  <c r="AN213" i="10" s="1"/>
  <c r="V213" i="10"/>
  <c r="AO213" i="10" s="1"/>
  <c r="W213" i="10"/>
  <c r="AP213" i="10" s="1"/>
  <c r="AZ212" i="10"/>
  <c r="BE215" i="10" l="1"/>
  <c r="BM215" i="10"/>
  <c r="BE217" i="10"/>
  <c r="BM217" i="10"/>
  <c r="BE214" i="10"/>
  <c r="BM214" i="10"/>
  <c r="BE212" i="10"/>
  <c r="BM212" i="10"/>
  <c r="BE216" i="10"/>
  <c r="BM216" i="10"/>
  <c r="BE224" i="10"/>
  <c r="BM224" i="10"/>
  <c r="BE221" i="10"/>
  <c r="BM221" i="10"/>
  <c r="BE219" i="10"/>
  <c r="BM219" i="10"/>
  <c r="BE222" i="10"/>
  <c r="BM222" i="10"/>
  <c r="BE218" i="10"/>
  <c r="BM218" i="10"/>
  <c r="BE223" i="10"/>
  <c r="BM223" i="10"/>
  <c r="BE225" i="10"/>
  <c r="BM225" i="10"/>
  <c r="BB220" i="10"/>
  <c r="BD220" i="10" s="1"/>
  <c r="AR213" i="10"/>
  <c r="BA213" i="10" s="1"/>
  <c r="BB213" i="10"/>
  <c r="BD213" i="10" s="1"/>
  <c r="E207" i="10"/>
  <c r="H207" i="10"/>
  <c r="BH207" i="10" s="1"/>
  <c r="I207" i="10"/>
  <c r="J207" i="10"/>
  <c r="K207" i="10"/>
  <c r="L207" i="10"/>
  <c r="M207" i="10" s="1"/>
  <c r="P207" i="10"/>
  <c r="U207" i="10" s="1"/>
  <c r="V207" i="10" s="1"/>
  <c r="AO207" i="10" s="1"/>
  <c r="Q207" i="10"/>
  <c r="AK207" i="10" s="1"/>
  <c r="Z207" i="10"/>
  <c r="AA207" i="10"/>
  <c r="AS207" i="10" s="1"/>
  <c r="AB207" i="10"/>
  <c r="AT207" i="10" s="1"/>
  <c r="AH207" i="10"/>
  <c r="AI207" i="10" s="1"/>
  <c r="AM207" i="10"/>
  <c r="AQ207" i="10"/>
  <c r="AU207" i="10"/>
  <c r="AY207" i="10"/>
  <c r="BG207" i="10" s="1"/>
  <c r="BF207" i="10"/>
  <c r="BJ207" i="10"/>
  <c r="BE213" i="10" l="1"/>
  <c r="BM213" i="10"/>
  <c r="BE220" i="10"/>
  <c r="BM220" i="10"/>
  <c r="AJ207" i="10"/>
  <c r="AX207" i="10" s="1"/>
  <c r="AZ207" i="10" s="1"/>
  <c r="W207" i="10"/>
  <c r="AP207" i="10" s="1"/>
  <c r="AR207" i="10" s="1"/>
  <c r="AV207" i="10"/>
  <c r="R207" i="10"/>
  <c r="AL207" i="10" s="1"/>
  <c r="AN207" i="10" s="1"/>
  <c r="AW207" i="10"/>
  <c r="E211" i="10"/>
  <c r="H211" i="10"/>
  <c r="BH211" i="10" s="1"/>
  <c r="I211" i="10"/>
  <c r="J211" i="10"/>
  <c r="K211" i="10"/>
  <c r="L211" i="10"/>
  <c r="M211" i="10" s="1"/>
  <c r="P211" i="10"/>
  <c r="U211" i="10" s="1"/>
  <c r="Q211" i="10"/>
  <c r="AK211" i="10" s="1"/>
  <c r="Z211" i="10"/>
  <c r="AA211" i="10"/>
  <c r="AS211" i="10" s="1"/>
  <c r="AB211" i="10"/>
  <c r="AT211" i="10" s="1"/>
  <c r="AH211" i="10"/>
  <c r="AI211" i="10" s="1"/>
  <c r="AW211" i="10" s="1"/>
  <c r="AM211" i="10"/>
  <c r="AQ211" i="10"/>
  <c r="AU211" i="10"/>
  <c r="AY211" i="10"/>
  <c r="BG211" i="10" s="1"/>
  <c r="BF211" i="10"/>
  <c r="BJ211" i="10"/>
  <c r="E210" i="10"/>
  <c r="H210" i="10"/>
  <c r="BH210" i="10" s="1"/>
  <c r="I210" i="10"/>
  <c r="J210" i="10"/>
  <c r="K210" i="10"/>
  <c r="L210" i="10"/>
  <c r="M210" i="10" s="1"/>
  <c r="P210" i="10"/>
  <c r="U210" i="10" s="1"/>
  <c r="V210" i="10" s="1"/>
  <c r="AO210" i="10" s="1"/>
  <c r="Q210" i="10"/>
  <c r="AK210" i="10" s="1"/>
  <c r="Z210" i="10"/>
  <c r="AA210" i="10"/>
  <c r="AS210" i="10" s="1"/>
  <c r="AB210" i="10"/>
  <c r="AT210" i="10" s="1"/>
  <c r="AH210" i="10"/>
  <c r="AI210" i="10" s="1"/>
  <c r="AW210" i="10" s="1"/>
  <c r="AM210" i="10"/>
  <c r="AQ210" i="10"/>
  <c r="AU210" i="10"/>
  <c r="AY210" i="10"/>
  <c r="BG210" i="10" s="1"/>
  <c r="BF210" i="10"/>
  <c r="BJ210" i="10"/>
  <c r="E209" i="10"/>
  <c r="H209" i="10"/>
  <c r="BH209" i="10" s="1"/>
  <c r="I209" i="10"/>
  <c r="J209" i="10"/>
  <c r="K209" i="10"/>
  <c r="L209" i="10"/>
  <c r="M209" i="10" s="1"/>
  <c r="P209" i="10"/>
  <c r="U209" i="10" s="1"/>
  <c r="V209" i="10" s="1"/>
  <c r="AO209" i="10" s="1"/>
  <c r="Q209" i="10"/>
  <c r="AK209" i="10" s="1"/>
  <c r="Z209" i="10"/>
  <c r="AA209" i="10"/>
  <c r="AS209" i="10" s="1"/>
  <c r="AB209" i="10"/>
  <c r="AT209" i="10" s="1"/>
  <c r="AH209" i="10"/>
  <c r="AI209" i="10" s="1"/>
  <c r="AM209" i="10"/>
  <c r="AQ209" i="10"/>
  <c r="AU209" i="10"/>
  <c r="AY209" i="10"/>
  <c r="BG209" i="10" s="1"/>
  <c r="BF209" i="10"/>
  <c r="BJ209" i="10"/>
  <c r="E208" i="10"/>
  <c r="H208" i="10"/>
  <c r="BH208" i="10" s="1"/>
  <c r="I208" i="10"/>
  <c r="J208" i="10"/>
  <c r="K208" i="10"/>
  <c r="L208" i="10"/>
  <c r="M208" i="10" s="1"/>
  <c r="P208" i="10" s="1"/>
  <c r="U208" i="10" s="1"/>
  <c r="V208" i="10" s="1"/>
  <c r="AO208" i="10" s="1"/>
  <c r="Z208" i="10"/>
  <c r="AA208" i="10"/>
  <c r="AS208" i="10" s="1"/>
  <c r="AB208" i="10"/>
  <c r="AT208" i="10" s="1"/>
  <c r="AH208" i="10"/>
  <c r="AI208" i="10" s="1"/>
  <c r="AW208" i="10" s="1"/>
  <c r="AM208" i="10"/>
  <c r="AQ208" i="10"/>
  <c r="AU208" i="10"/>
  <c r="AY208" i="10"/>
  <c r="BG208" i="10" s="1"/>
  <c r="BF208" i="10"/>
  <c r="BJ208" i="10"/>
  <c r="BA207" i="10" l="1"/>
  <c r="W211" i="10"/>
  <c r="AP211" i="10" s="1"/>
  <c r="AR211" i="10" s="1"/>
  <c r="BB207" i="10"/>
  <c r="BD207" i="10" s="1"/>
  <c r="Q208" i="10"/>
  <c r="AK208" i="10" s="1"/>
  <c r="V211" i="10"/>
  <c r="AO211" i="10" s="1"/>
  <c r="W210" i="10"/>
  <c r="AP210" i="10" s="1"/>
  <c r="AR210" i="10" s="1"/>
  <c r="AV208" i="10"/>
  <c r="AV211" i="10"/>
  <c r="R211" i="10"/>
  <c r="AL211" i="10" s="1"/>
  <c r="AN211" i="10" s="1"/>
  <c r="R209" i="10"/>
  <c r="AL209" i="10" s="1"/>
  <c r="AN209" i="10" s="1"/>
  <c r="AJ211" i="10"/>
  <c r="AX211" i="10" s="1"/>
  <c r="AZ211" i="10" s="1"/>
  <c r="AW209" i="10"/>
  <c r="AJ209" i="10"/>
  <c r="AX209" i="10" s="1"/>
  <c r="AZ209" i="10" s="1"/>
  <c r="W209" i="10"/>
  <c r="AP209" i="10" s="1"/>
  <c r="AR209" i="10" s="1"/>
  <c r="AV210" i="10"/>
  <c r="R210" i="10"/>
  <c r="AL210" i="10" s="1"/>
  <c r="AN210" i="10" s="1"/>
  <c r="W208" i="10"/>
  <c r="AP208" i="10" s="1"/>
  <c r="AR208" i="10" s="1"/>
  <c r="AJ210" i="10"/>
  <c r="AX210" i="10" s="1"/>
  <c r="AZ210" i="10" s="1"/>
  <c r="AJ208" i="10"/>
  <c r="AX208" i="10" s="1"/>
  <c r="AV209" i="10"/>
  <c r="AD206" i="10"/>
  <c r="AH206" i="10" s="1"/>
  <c r="AI206" i="10" s="1"/>
  <c r="AW206" i="10" s="1"/>
  <c r="E206" i="10"/>
  <c r="H206" i="10"/>
  <c r="BH206" i="10" s="1"/>
  <c r="I206" i="10"/>
  <c r="J206" i="10"/>
  <c r="K206" i="10"/>
  <c r="L206" i="10"/>
  <c r="M206" i="10" s="1"/>
  <c r="P206" i="10"/>
  <c r="U206" i="10" s="1"/>
  <c r="V206" i="10" s="1"/>
  <c r="AO206" i="10" s="1"/>
  <c r="Q206" i="10"/>
  <c r="AK206" i="10" s="1"/>
  <c r="Z206" i="10"/>
  <c r="AA206" i="10"/>
  <c r="AS206" i="10" s="1"/>
  <c r="AB206" i="10"/>
  <c r="AT206" i="10" s="1"/>
  <c r="AM206" i="10"/>
  <c r="AQ206" i="10"/>
  <c r="AU206" i="10"/>
  <c r="AY206" i="10"/>
  <c r="BG206" i="10" s="1"/>
  <c r="BF206" i="10"/>
  <c r="BJ206" i="10"/>
  <c r="E205" i="10"/>
  <c r="H205" i="10"/>
  <c r="BH205" i="10" s="1"/>
  <c r="I205" i="10"/>
  <c r="J205" i="10"/>
  <c r="K205" i="10"/>
  <c r="L205" i="10"/>
  <c r="M205" i="10" s="1"/>
  <c r="P205" i="10" s="1"/>
  <c r="U205" i="10" s="1"/>
  <c r="Z205" i="10"/>
  <c r="AA205" i="10"/>
  <c r="AS205" i="10" s="1"/>
  <c r="AB205" i="10"/>
  <c r="AT205" i="10" s="1"/>
  <c r="AH205" i="10"/>
  <c r="AI205" i="10" s="1"/>
  <c r="AM205" i="10"/>
  <c r="AQ205" i="10"/>
  <c r="AU205" i="10"/>
  <c r="AY205" i="10"/>
  <c r="BG205" i="10" s="1"/>
  <c r="BF205" i="10"/>
  <c r="BJ205" i="10"/>
  <c r="E204" i="10"/>
  <c r="H204" i="10"/>
  <c r="BH204" i="10" s="1"/>
  <c r="I204" i="10"/>
  <c r="J204" i="10"/>
  <c r="K204" i="10"/>
  <c r="L204" i="10"/>
  <c r="M204" i="10" s="1"/>
  <c r="P204" i="10"/>
  <c r="U204" i="10" s="1"/>
  <c r="Q204" i="10"/>
  <c r="AK204" i="10" s="1"/>
  <c r="Z204" i="10"/>
  <c r="AA204" i="10"/>
  <c r="AS204" i="10" s="1"/>
  <c r="AB204" i="10"/>
  <c r="AT204" i="10" s="1"/>
  <c r="AH204" i="10"/>
  <c r="AI204" i="10" s="1"/>
  <c r="AM204" i="10"/>
  <c r="AQ204" i="10"/>
  <c r="AU204" i="10"/>
  <c r="AY204" i="10"/>
  <c r="BG204" i="10" s="1"/>
  <c r="BF204" i="10"/>
  <c r="BJ204" i="10"/>
  <c r="AD203" i="10"/>
  <c r="AH203" i="10" s="1"/>
  <c r="AI203" i="10" s="1"/>
  <c r="AW203" i="10" s="1"/>
  <c r="E203" i="10"/>
  <c r="H203" i="10"/>
  <c r="BH203" i="10" s="1"/>
  <c r="I203" i="10"/>
  <c r="J203" i="10"/>
  <c r="K203" i="10"/>
  <c r="L203" i="10"/>
  <c r="M203" i="10" s="1"/>
  <c r="P203" i="10"/>
  <c r="U203" i="10" s="1"/>
  <c r="Q203" i="10"/>
  <c r="AK203" i="10" s="1"/>
  <c r="Z203" i="10"/>
  <c r="AA203" i="10"/>
  <c r="AS203" i="10" s="1"/>
  <c r="AB203" i="10"/>
  <c r="AT203" i="10" s="1"/>
  <c r="AM203" i="10"/>
  <c r="AQ203" i="10"/>
  <c r="AU203" i="10"/>
  <c r="AY203" i="10"/>
  <c r="BG203" i="10" s="1"/>
  <c r="BF203" i="10"/>
  <c r="BJ203" i="10"/>
  <c r="AD202" i="10"/>
  <c r="BE207" i="10" l="1"/>
  <c r="BM207" i="10"/>
  <c r="BA209" i="10"/>
  <c r="BA210" i="10"/>
  <c r="BA211" i="10"/>
  <c r="R208" i="10"/>
  <c r="AL208" i="10" s="1"/>
  <c r="AN208" i="10" s="1"/>
  <c r="BA208" i="10" s="1"/>
  <c r="BB208" i="10"/>
  <c r="BD208" i="10" s="1"/>
  <c r="BB211" i="10"/>
  <c r="BD211" i="10" s="1"/>
  <c r="AZ208" i="10"/>
  <c r="AJ205" i="10"/>
  <c r="AX205" i="10" s="1"/>
  <c r="AZ205" i="10" s="1"/>
  <c r="R206" i="10"/>
  <c r="AL206" i="10" s="1"/>
  <c r="AN206" i="10" s="1"/>
  <c r="BB210" i="10"/>
  <c r="BD210" i="10" s="1"/>
  <c r="BB209" i="10"/>
  <c r="BD209" i="10" s="1"/>
  <c r="AV206" i="10"/>
  <c r="AV204" i="10"/>
  <c r="Q205" i="10"/>
  <c r="AK205" i="10" s="1"/>
  <c r="AJ206" i="10"/>
  <c r="AX206" i="10" s="1"/>
  <c r="AZ206" i="10" s="1"/>
  <c r="AW205" i="10"/>
  <c r="W206" i="10"/>
  <c r="AP206" i="10" s="1"/>
  <c r="V205" i="10"/>
  <c r="AO205" i="10" s="1"/>
  <c r="W205" i="10"/>
  <c r="AP205" i="10" s="1"/>
  <c r="AV203" i="10"/>
  <c r="AV205" i="10"/>
  <c r="V204" i="10"/>
  <c r="AO204" i="10" s="1"/>
  <c r="W204" i="10"/>
  <c r="AP204" i="10" s="1"/>
  <c r="AR204" i="10" s="1"/>
  <c r="AJ204" i="10"/>
  <c r="AX204" i="10" s="1"/>
  <c r="AZ204" i="10" s="1"/>
  <c r="AW204" i="10"/>
  <c r="W203" i="10"/>
  <c r="AP203" i="10" s="1"/>
  <c r="AR203" i="10" s="1"/>
  <c r="V203" i="10"/>
  <c r="AO203" i="10" s="1"/>
  <c r="R203" i="10"/>
  <c r="AL203" i="10" s="1"/>
  <c r="AN203" i="10" s="1"/>
  <c r="R204" i="10"/>
  <c r="AL204" i="10" s="1"/>
  <c r="AN204" i="10" s="1"/>
  <c r="AJ203" i="10"/>
  <c r="AX203" i="10" s="1"/>
  <c r="E202" i="10"/>
  <c r="H202" i="10"/>
  <c r="BH202" i="10" s="1"/>
  <c r="I202" i="10"/>
  <c r="J202" i="10"/>
  <c r="K202" i="10"/>
  <c r="L202" i="10"/>
  <c r="M202" i="10" s="1"/>
  <c r="P202" i="10"/>
  <c r="U202" i="10" s="1"/>
  <c r="V202" i="10" s="1"/>
  <c r="AO202" i="10" s="1"/>
  <c r="Q202" i="10"/>
  <c r="AK202" i="10" s="1"/>
  <c r="Z202" i="10"/>
  <c r="AA202" i="10"/>
  <c r="AS202" i="10" s="1"/>
  <c r="AB202" i="10"/>
  <c r="AT202" i="10" s="1"/>
  <c r="AH202" i="10"/>
  <c r="AI202" i="10" s="1"/>
  <c r="AM202" i="10"/>
  <c r="AQ202" i="10"/>
  <c r="AU202" i="10"/>
  <c r="AY202" i="10"/>
  <c r="BG202" i="10" s="1"/>
  <c r="BF202" i="10"/>
  <c r="BJ202" i="10"/>
  <c r="E201" i="10"/>
  <c r="H201" i="10"/>
  <c r="BH201" i="10" s="1"/>
  <c r="I201" i="10"/>
  <c r="J201" i="10"/>
  <c r="K201" i="10"/>
  <c r="L201" i="10"/>
  <c r="M201" i="10" s="1"/>
  <c r="P201" i="10"/>
  <c r="U201" i="10" s="1"/>
  <c r="Q201" i="10"/>
  <c r="AK201" i="10" s="1"/>
  <c r="Z201" i="10"/>
  <c r="AA201" i="10"/>
  <c r="AS201" i="10" s="1"/>
  <c r="AB201" i="10"/>
  <c r="AT201" i="10" s="1"/>
  <c r="AH201" i="10"/>
  <c r="AI201" i="10" s="1"/>
  <c r="AW201" i="10" s="1"/>
  <c r="AM201" i="10"/>
  <c r="AQ201" i="10"/>
  <c r="AU201" i="10"/>
  <c r="AY201" i="10"/>
  <c r="BG201" i="10" s="1"/>
  <c r="BF201" i="10"/>
  <c r="BJ201" i="10"/>
  <c r="I171" i="13"/>
  <c r="H171" i="13"/>
  <c r="G171" i="13"/>
  <c r="F299" i="13"/>
  <c r="G299" i="13"/>
  <c r="H299" i="13"/>
  <c r="I299" i="13"/>
  <c r="F100" i="13"/>
  <c r="G100" i="13"/>
  <c r="H100" i="13"/>
  <c r="I100" i="13"/>
  <c r="BE210" i="10" l="1"/>
  <c r="BM210" i="10"/>
  <c r="BE211" i="10"/>
  <c r="BM211" i="10"/>
  <c r="BE209" i="10"/>
  <c r="BM209" i="10"/>
  <c r="BE208" i="10"/>
  <c r="BM208" i="10"/>
  <c r="BA203" i="10"/>
  <c r="BA204" i="10"/>
  <c r="BB205" i="10"/>
  <c r="BD205" i="10" s="1"/>
  <c r="R205" i="10"/>
  <c r="AL205" i="10" s="1"/>
  <c r="AN205" i="10" s="1"/>
  <c r="BB206" i="10"/>
  <c r="BD206" i="10" s="1"/>
  <c r="AV202" i="10"/>
  <c r="AR206" i="10"/>
  <c r="BA206" i="10" s="1"/>
  <c r="AR205" i="10"/>
  <c r="BB204" i="10"/>
  <c r="BD204" i="10" s="1"/>
  <c r="BB203" i="10"/>
  <c r="BD203" i="10" s="1"/>
  <c r="V201" i="10"/>
  <c r="AO201" i="10" s="1"/>
  <c r="W201" i="10"/>
  <c r="AP201" i="10" s="1"/>
  <c r="AR201" i="10" s="1"/>
  <c r="AV201" i="10"/>
  <c r="R201" i="10"/>
  <c r="AL201" i="10" s="1"/>
  <c r="AN201" i="10" s="1"/>
  <c r="AJ201" i="10"/>
  <c r="AX201" i="10" s="1"/>
  <c r="R202" i="10"/>
  <c r="AL202" i="10" s="1"/>
  <c r="AN202" i="10" s="1"/>
  <c r="AJ202" i="10"/>
  <c r="AX202" i="10" s="1"/>
  <c r="AZ202" i="10" s="1"/>
  <c r="AZ203" i="10"/>
  <c r="W202" i="10"/>
  <c r="AP202" i="10" s="1"/>
  <c r="AR202" i="10" s="1"/>
  <c r="AW202" i="10"/>
  <c r="AD199" i="10"/>
  <c r="E200" i="10"/>
  <c r="H200" i="10"/>
  <c r="BH200" i="10" s="1"/>
  <c r="I200" i="10"/>
  <c r="J200" i="10"/>
  <c r="K200" i="10"/>
  <c r="L200" i="10"/>
  <c r="M200" i="10" s="1"/>
  <c r="P200" i="10"/>
  <c r="U200" i="10" s="1"/>
  <c r="V200" i="10" s="1"/>
  <c r="AO200" i="10" s="1"/>
  <c r="Q200" i="10"/>
  <c r="AK200" i="10" s="1"/>
  <c r="Z200" i="10"/>
  <c r="AA200" i="10" s="1"/>
  <c r="AS200" i="10" s="1"/>
  <c r="AH200" i="10"/>
  <c r="AI200" i="10" s="1"/>
  <c r="AW200" i="10" s="1"/>
  <c r="AM200" i="10"/>
  <c r="AQ200" i="10"/>
  <c r="AU200" i="10"/>
  <c r="AY200" i="10"/>
  <c r="BG200" i="10" s="1"/>
  <c r="BF200" i="10"/>
  <c r="BJ200" i="10"/>
  <c r="BE203" i="10" l="1"/>
  <c r="BM203" i="10"/>
  <c r="BE204" i="10"/>
  <c r="BM204" i="10"/>
  <c r="BE205" i="10"/>
  <c r="BM205" i="10"/>
  <c r="BE206" i="10"/>
  <c r="BM206" i="10"/>
  <c r="AB200" i="10"/>
  <c r="AT200" i="10" s="1"/>
  <c r="AV200" i="10" s="1"/>
  <c r="BA205" i="10"/>
  <c r="BA201" i="10"/>
  <c r="BA202" i="10"/>
  <c r="BB201" i="10"/>
  <c r="BD201" i="10" s="1"/>
  <c r="AZ201" i="10"/>
  <c r="BB202" i="10"/>
  <c r="BD202" i="10" s="1"/>
  <c r="W200" i="10"/>
  <c r="AP200" i="10" s="1"/>
  <c r="AR200" i="10" s="1"/>
  <c r="R200" i="10"/>
  <c r="AL200" i="10" s="1"/>
  <c r="AN200" i="10" s="1"/>
  <c r="AJ200" i="10"/>
  <c r="AX200" i="10" s="1"/>
  <c r="BE202" i="10" l="1"/>
  <c r="BM202" i="10"/>
  <c r="BE201" i="10"/>
  <c r="BM201" i="10"/>
  <c r="BA200" i="10"/>
  <c r="BB200" i="10"/>
  <c r="BD200" i="10" s="1"/>
  <c r="AZ200" i="10"/>
  <c r="E199" i="10"/>
  <c r="H199" i="10"/>
  <c r="BH199" i="10" s="1"/>
  <c r="I199" i="10"/>
  <c r="J199" i="10"/>
  <c r="K199" i="10"/>
  <c r="L199" i="10"/>
  <c r="M199" i="10" s="1"/>
  <c r="P199" i="10"/>
  <c r="U199" i="10" s="1"/>
  <c r="V199" i="10" s="1"/>
  <c r="AO199" i="10" s="1"/>
  <c r="Q199" i="10"/>
  <c r="AK199" i="10" s="1"/>
  <c r="Z199" i="10"/>
  <c r="AA199" i="10"/>
  <c r="AS199" i="10" s="1"/>
  <c r="AB199" i="10"/>
  <c r="AT199" i="10" s="1"/>
  <c r="AH199" i="10"/>
  <c r="AI199" i="10" s="1"/>
  <c r="AW199" i="10" s="1"/>
  <c r="AM199" i="10"/>
  <c r="AQ199" i="10"/>
  <c r="AU199" i="10"/>
  <c r="AY199" i="10"/>
  <c r="BG199" i="10" s="1"/>
  <c r="BF199" i="10"/>
  <c r="BJ199" i="10"/>
  <c r="E198" i="10"/>
  <c r="H198" i="10"/>
  <c r="BH198" i="10" s="1"/>
  <c r="I198" i="10"/>
  <c r="J198" i="10"/>
  <c r="K198" i="10"/>
  <c r="L198" i="10"/>
  <c r="M198" i="10" s="1"/>
  <c r="P198" i="10" s="1"/>
  <c r="Z198" i="10"/>
  <c r="AA198" i="10"/>
  <c r="AS198" i="10" s="1"/>
  <c r="AB198" i="10"/>
  <c r="AT198" i="10" s="1"/>
  <c r="AH198" i="10"/>
  <c r="AI198" i="10" s="1"/>
  <c r="AM198" i="10"/>
  <c r="AQ198" i="10"/>
  <c r="AU198" i="10"/>
  <c r="AY198" i="10"/>
  <c r="BG198" i="10" s="1"/>
  <c r="BF198" i="10"/>
  <c r="BJ198" i="10"/>
  <c r="E197" i="10"/>
  <c r="H197" i="10"/>
  <c r="BH197" i="10" s="1"/>
  <c r="I197" i="10"/>
  <c r="J197" i="10"/>
  <c r="K197" i="10"/>
  <c r="L197" i="10"/>
  <c r="M197" i="10" s="1"/>
  <c r="P197" i="10"/>
  <c r="U197" i="10" s="1"/>
  <c r="V197" i="10" s="1"/>
  <c r="AO197" i="10" s="1"/>
  <c r="Q197" i="10"/>
  <c r="AK197" i="10" s="1"/>
  <c r="Z197" i="10"/>
  <c r="AA197" i="10"/>
  <c r="AS197" i="10" s="1"/>
  <c r="AB197" i="10"/>
  <c r="AT197" i="10" s="1"/>
  <c r="AH197" i="10"/>
  <c r="AI197" i="10" s="1"/>
  <c r="AM197" i="10"/>
  <c r="AQ197" i="10"/>
  <c r="AU197" i="10"/>
  <c r="AY197" i="10"/>
  <c r="BG197" i="10" s="1"/>
  <c r="BF197" i="10"/>
  <c r="BJ197" i="10"/>
  <c r="E196" i="10"/>
  <c r="H196" i="10"/>
  <c r="BH196" i="10" s="1"/>
  <c r="I196" i="10"/>
  <c r="J196" i="10"/>
  <c r="K196" i="10"/>
  <c r="L196" i="10"/>
  <c r="M196" i="10" s="1"/>
  <c r="P196" i="10"/>
  <c r="U196" i="10" s="1"/>
  <c r="Q196" i="10"/>
  <c r="AK196" i="10" s="1"/>
  <c r="Z196" i="10"/>
  <c r="AA196" i="10"/>
  <c r="AS196" i="10" s="1"/>
  <c r="AB196" i="10"/>
  <c r="AT196" i="10" s="1"/>
  <c r="AH196" i="10"/>
  <c r="AI196" i="10" s="1"/>
  <c r="AW196" i="10" s="1"/>
  <c r="AM196" i="10"/>
  <c r="AQ196" i="10"/>
  <c r="AU196" i="10"/>
  <c r="AY196" i="10"/>
  <c r="BG196" i="10" s="1"/>
  <c r="BF196" i="10"/>
  <c r="BJ196" i="10"/>
  <c r="E195" i="10"/>
  <c r="H195" i="10"/>
  <c r="BH195" i="10" s="1"/>
  <c r="I195" i="10"/>
  <c r="J195" i="10"/>
  <c r="K195" i="10"/>
  <c r="L195" i="10"/>
  <c r="M195" i="10" s="1"/>
  <c r="P195" i="10"/>
  <c r="U195" i="10" s="1"/>
  <c r="V195" i="10" s="1"/>
  <c r="AO195" i="10" s="1"/>
  <c r="Q195" i="10"/>
  <c r="AK195" i="10" s="1"/>
  <c r="Z195" i="10"/>
  <c r="AA195" i="10"/>
  <c r="AS195" i="10" s="1"/>
  <c r="AB195" i="10"/>
  <c r="AT195" i="10" s="1"/>
  <c r="AH195" i="10"/>
  <c r="AI195" i="10" s="1"/>
  <c r="AW195" i="10" s="1"/>
  <c r="AM195" i="10"/>
  <c r="AQ195" i="10"/>
  <c r="AU195" i="10"/>
  <c r="AY195" i="10"/>
  <c r="BG195" i="10" s="1"/>
  <c r="BF195" i="10"/>
  <c r="BJ195" i="10"/>
  <c r="BE200" i="10" l="1"/>
  <c r="BM200" i="10"/>
  <c r="W199" i="10"/>
  <c r="AP199" i="10" s="1"/>
  <c r="AR199" i="10" s="1"/>
  <c r="U198" i="10"/>
  <c r="V198" i="10" s="1"/>
  <c r="AO198" i="10" s="1"/>
  <c r="Q198" i="10"/>
  <c r="AK198" i="10" s="1"/>
  <c r="AV199" i="10"/>
  <c r="AJ199" i="10"/>
  <c r="AX199" i="10" s="1"/>
  <c r="AV198" i="10"/>
  <c r="R199" i="10"/>
  <c r="AL199" i="10" s="1"/>
  <c r="AN199" i="10" s="1"/>
  <c r="AJ198" i="10"/>
  <c r="AX198" i="10" s="1"/>
  <c r="AW198" i="10"/>
  <c r="AJ197" i="10"/>
  <c r="AX197" i="10" s="1"/>
  <c r="AZ197" i="10" s="1"/>
  <c r="W197" i="10"/>
  <c r="AP197" i="10" s="1"/>
  <c r="AR197" i="10" s="1"/>
  <c r="R197" i="10"/>
  <c r="AL197" i="10" s="1"/>
  <c r="AN197" i="10" s="1"/>
  <c r="AV197" i="10"/>
  <c r="AW197" i="10"/>
  <c r="W196" i="10"/>
  <c r="AP196" i="10" s="1"/>
  <c r="AR196" i="10" s="1"/>
  <c r="V196" i="10"/>
  <c r="AO196" i="10" s="1"/>
  <c r="W195" i="10"/>
  <c r="AP195" i="10" s="1"/>
  <c r="AR195" i="10" s="1"/>
  <c r="R196" i="10"/>
  <c r="AL196" i="10" s="1"/>
  <c r="AN196" i="10" s="1"/>
  <c r="AV196" i="10"/>
  <c r="AJ196" i="10"/>
  <c r="AX196" i="10" s="1"/>
  <c r="AZ196" i="10" s="1"/>
  <c r="AV195" i="10"/>
  <c r="AJ195" i="10"/>
  <c r="AX195" i="10" s="1"/>
  <c r="AZ195" i="10" s="1"/>
  <c r="R195" i="10"/>
  <c r="AL195" i="10" s="1"/>
  <c r="AN195" i="10" s="1"/>
  <c r="BA196" i="10" l="1"/>
  <c r="BA197" i="10"/>
  <c r="BA199" i="10"/>
  <c r="BA195" i="10"/>
  <c r="BB199" i="10"/>
  <c r="BD199" i="10" s="1"/>
  <c r="R198" i="10"/>
  <c r="AL198" i="10" s="1"/>
  <c r="AN198" i="10" s="1"/>
  <c r="W198" i="10"/>
  <c r="AP198" i="10" s="1"/>
  <c r="AR198" i="10" s="1"/>
  <c r="AZ198" i="10"/>
  <c r="AZ199" i="10"/>
  <c r="BB197" i="10"/>
  <c r="BD197" i="10" s="1"/>
  <c r="BB196" i="10"/>
  <c r="BD196" i="10" s="1"/>
  <c r="BB195" i="10"/>
  <c r="BD195" i="10" s="1"/>
  <c r="BE195" i="10" l="1"/>
  <c r="BM195" i="10"/>
  <c r="BE199" i="10"/>
  <c r="BM199" i="10"/>
  <c r="BE196" i="10"/>
  <c r="BM196" i="10"/>
  <c r="BE197" i="10"/>
  <c r="BM197" i="10"/>
  <c r="BA198" i="10"/>
  <c r="BB198" i="10"/>
  <c r="BD198" i="10" s="1"/>
  <c r="P123" i="4"/>
  <c r="K123" i="5" s="1"/>
  <c r="E194" i="10"/>
  <c r="H194" i="10"/>
  <c r="BH194" i="10" s="1"/>
  <c r="I194" i="10"/>
  <c r="J194" i="10"/>
  <c r="K194" i="10"/>
  <c r="L194" i="10"/>
  <c r="M194" i="10" s="1"/>
  <c r="P194" i="10"/>
  <c r="U194" i="10" s="1"/>
  <c r="V194" i="10" s="1"/>
  <c r="AO194" i="10" s="1"/>
  <c r="Q194" i="10"/>
  <c r="AK194" i="10" s="1"/>
  <c r="Z194" i="10"/>
  <c r="AA194" i="10"/>
  <c r="AS194" i="10" s="1"/>
  <c r="AB194" i="10"/>
  <c r="AT194" i="10" s="1"/>
  <c r="AH194" i="10"/>
  <c r="AI194" i="10" s="1"/>
  <c r="AM194" i="10"/>
  <c r="AQ194" i="10"/>
  <c r="AU194" i="10"/>
  <c r="AY194" i="10"/>
  <c r="BG194" i="10" s="1"/>
  <c r="BF194" i="10"/>
  <c r="BJ194" i="10"/>
  <c r="E193" i="10"/>
  <c r="H193" i="10"/>
  <c r="BH193" i="10" s="1"/>
  <c r="I193" i="10"/>
  <c r="J193" i="10"/>
  <c r="K193" i="10"/>
  <c r="L193" i="10"/>
  <c r="M193" i="10" s="1"/>
  <c r="P193" i="10"/>
  <c r="U193" i="10" s="1"/>
  <c r="V193" i="10" s="1"/>
  <c r="AO193" i="10" s="1"/>
  <c r="Q193" i="10"/>
  <c r="AK193" i="10" s="1"/>
  <c r="Z193" i="10"/>
  <c r="AA193" i="10"/>
  <c r="AS193" i="10" s="1"/>
  <c r="AB193" i="10"/>
  <c r="AT193" i="10" s="1"/>
  <c r="AH193" i="10"/>
  <c r="AI193" i="10" s="1"/>
  <c r="AW193" i="10" s="1"/>
  <c r="AM193" i="10"/>
  <c r="AQ193" i="10"/>
  <c r="AU193" i="10"/>
  <c r="AY193" i="10"/>
  <c r="BG193" i="10" s="1"/>
  <c r="BF193" i="10"/>
  <c r="BJ193" i="10"/>
  <c r="E192" i="10"/>
  <c r="H192" i="10"/>
  <c r="BH192" i="10" s="1"/>
  <c r="I192" i="10"/>
  <c r="J192" i="10"/>
  <c r="K192" i="10"/>
  <c r="L192" i="10"/>
  <c r="M192" i="10" s="1"/>
  <c r="P192" i="10" s="1"/>
  <c r="U192" i="10" s="1"/>
  <c r="V192" i="10" s="1"/>
  <c r="AO192" i="10" s="1"/>
  <c r="Z192" i="10"/>
  <c r="AA192" i="10"/>
  <c r="AS192" i="10" s="1"/>
  <c r="AB192" i="10"/>
  <c r="AT192" i="10" s="1"/>
  <c r="AH192" i="10"/>
  <c r="AI192" i="10" s="1"/>
  <c r="AW192" i="10" s="1"/>
  <c r="AM192" i="10"/>
  <c r="AQ192" i="10"/>
  <c r="AU192" i="10"/>
  <c r="AY192" i="10"/>
  <c r="BG192" i="10" s="1"/>
  <c r="BF192" i="10"/>
  <c r="BJ192" i="10"/>
  <c r="E191" i="10"/>
  <c r="H191" i="10"/>
  <c r="BH191" i="10" s="1"/>
  <c r="I191" i="10"/>
  <c r="J191" i="10"/>
  <c r="K191" i="10"/>
  <c r="L191" i="10"/>
  <c r="M191" i="10" s="1"/>
  <c r="P191" i="10"/>
  <c r="U191" i="10" s="1"/>
  <c r="V191" i="10" s="1"/>
  <c r="AO191" i="10" s="1"/>
  <c r="Q191" i="10"/>
  <c r="AK191" i="10" s="1"/>
  <c r="Z191" i="10"/>
  <c r="AA191" i="10"/>
  <c r="AS191" i="10" s="1"/>
  <c r="AB191" i="10"/>
  <c r="AT191" i="10" s="1"/>
  <c r="AH191" i="10"/>
  <c r="AI191" i="10" s="1"/>
  <c r="AW191" i="10" s="1"/>
  <c r="AM191" i="10"/>
  <c r="AQ191" i="10"/>
  <c r="AU191" i="10"/>
  <c r="AY191" i="10"/>
  <c r="BG191" i="10" s="1"/>
  <c r="BF191" i="10"/>
  <c r="BJ191" i="10"/>
  <c r="E190" i="10"/>
  <c r="H190" i="10"/>
  <c r="BH190" i="10" s="1"/>
  <c r="I190" i="10"/>
  <c r="J190" i="10"/>
  <c r="K190" i="10"/>
  <c r="L190" i="10"/>
  <c r="M190" i="10" s="1"/>
  <c r="P190" i="10"/>
  <c r="U190" i="10" s="1"/>
  <c r="V190" i="10" s="1"/>
  <c r="AO190" i="10" s="1"/>
  <c r="Q190" i="10"/>
  <c r="AK190" i="10" s="1"/>
  <c r="Z190" i="10"/>
  <c r="AA190" i="10"/>
  <c r="AS190" i="10" s="1"/>
  <c r="AB190" i="10"/>
  <c r="AT190" i="10" s="1"/>
  <c r="AH190" i="10"/>
  <c r="AI190" i="10" s="1"/>
  <c r="AM190" i="10"/>
  <c r="AQ190" i="10"/>
  <c r="AU190" i="10"/>
  <c r="AY190" i="10"/>
  <c r="BG190" i="10" s="1"/>
  <c r="BF190" i="10"/>
  <c r="BJ190" i="10"/>
  <c r="E189" i="10"/>
  <c r="H189" i="10"/>
  <c r="BH189" i="10" s="1"/>
  <c r="I189" i="10"/>
  <c r="J189" i="10"/>
  <c r="K189" i="10"/>
  <c r="L189" i="10"/>
  <c r="M189" i="10" s="1"/>
  <c r="P189" i="10"/>
  <c r="U189" i="10" s="1"/>
  <c r="V189" i="10" s="1"/>
  <c r="AO189" i="10" s="1"/>
  <c r="Q189" i="10"/>
  <c r="AK189" i="10" s="1"/>
  <c r="Z189" i="10"/>
  <c r="AA189" i="10"/>
  <c r="AS189" i="10" s="1"/>
  <c r="AB189" i="10"/>
  <c r="AT189" i="10" s="1"/>
  <c r="AH189" i="10"/>
  <c r="AI189" i="10" s="1"/>
  <c r="AW189" i="10" s="1"/>
  <c r="AM189" i="10"/>
  <c r="AQ189" i="10"/>
  <c r="AU189" i="10"/>
  <c r="AY189" i="10"/>
  <c r="BG189" i="10" s="1"/>
  <c r="BF189" i="10"/>
  <c r="BJ189" i="10"/>
  <c r="AH188" i="10"/>
  <c r="AI188" i="10" s="1"/>
  <c r="AW188" i="10" s="1"/>
  <c r="E188" i="10"/>
  <c r="H188" i="10"/>
  <c r="BH188" i="10" s="1"/>
  <c r="I188" i="10"/>
  <c r="J188" i="10"/>
  <c r="K188" i="10"/>
  <c r="L188" i="10"/>
  <c r="M188" i="10" s="1"/>
  <c r="P188" i="10"/>
  <c r="U188" i="10" s="1"/>
  <c r="Q188" i="10"/>
  <c r="Z188" i="10"/>
  <c r="AA188" i="10"/>
  <c r="AS188" i="10" s="1"/>
  <c r="AB188" i="10"/>
  <c r="AT188" i="10" s="1"/>
  <c r="AM188" i="10"/>
  <c r="AQ188" i="10"/>
  <c r="AU188" i="10"/>
  <c r="AY188" i="10"/>
  <c r="BG188" i="10" s="1"/>
  <c r="BF188" i="10"/>
  <c r="BJ188" i="10"/>
  <c r="E187" i="10"/>
  <c r="H187" i="10"/>
  <c r="BH187" i="10" s="1"/>
  <c r="I187" i="10"/>
  <c r="J187" i="10"/>
  <c r="K187" i="10"/>
  <c r="L187" i="10"/>
  <c r="M187" i="10" s="1"/>
  <c r="P187" i="10" s="1"/>
  <c r="U187" i="10" s="1"/>
  <c r="Z187" i="10"/>
  <c r="AA187" i="10"/>
  <c r="AS187" i="10" s="1"/>
  <c r="AB187" i="10"/>
  <c r="AT187" i="10" s="1"/>
  <c r="AH187" i="10"/>
  <c r="AI187" i="10" s="1"/>
  <c r="AM187" i="10"/>
  <c r="AQ187" i="10"/>
  <c r="AU187" i="10"/>
  <c r="AY187" i="10"/>
  <c r="BG187" i="10" s="1"/>
  <c r="BF187" i="10"/>
  <c r="BJ187" i="10"/>
  <c r="AD186" i="10"/>
  <c r="AH186" i="10" s="1"/>
  <c r="AI186" i="10" s="1"/>
  <c r="AW186" i="10" s="1"/>
  <c r="E186" i="10"/>
  <c r="H186" i="10"/>
  <c r="BH186" i="10" s="1"/>
  <c r="I186" i="10"/>
  <c r="J186" i="10"/>
  <c r="K186" i="10"/>
  <c r="L186" i="10"/>
  <c r="M186" i="10" s="1"/>
  <c r="P186" i="10"/>
  <c r="U186" i="10" s="1"/>
  <c r="Q186" i="10"/>
  <c r="AK186" i="10" s="1"/>
  <c r="Z186" i="10"/>
  <c r="AA186" i="10"/>
  <c r="AS186" i="10" s="1"/>
  <c r="AB186" i="10"/>
  <c r="AT186" i="10" s="1"/>
  <c r="AM186" i="10"/>
  <c r="AQ186" i="10"/>
  <c r="AU186" i="10"/>
  <c r="AY186" i="10"/>
  <c r="BG186" i="10" s="1"/>
  <c r="BF186" i="10"/>
  <c r="BJ186" i="10"/>
  <c r="E185" i="10"/>
  <c r="H185" i="10"/>
  <c r="BH185" i="10" s="1"/>
  <c r="I185" i="10"/>
  <c r="J185" i="10"/>
  <c r="K185" i="10"/>
  <c r="L185" i="10"/>
  <c r="M185" i="10" s="1"/>
  <c r="P185" i="10"/>
  <c r="U185" i="10" s="1"/>
  <c r="V185" i="10" s="1"/>
  <c r="AO185" i="10" s="1"/>
  <c r="Q185" i="10"/>
  <c r="AK185" i="10" s="1"/>
  <c r="Z185" i="10"/>
  <c r="AA185" i="10"/>
  <c r="AS185" i="10" s="1"/>
  <c r="AB185" i="10"/>
  <c r="AT185" i="10" s="1"/>
  <c r="AH185" i="10"/>
  <c r="AI185" i="10" s="1"/>
  <c r="AW185" i="10" s="1"/>
  <c r="AM185" i="10"/>
  <c r="AQ185" i="10"/>
  <c r="AU185" i="10"/>
  <c r="AY185" i="10"/>
  <c r="BG185" i="10" s="1"/>
  <c r="BF185" i="10"/>
  <c r="BJ185" i="10"/>
  <c r="AD184" i="10"/>
  <c r="BE198" i="10" l="1"/>
  <c r="BM198" i="10"/>
  <c r="W194" i="10"/>
  <c r="AP194" i="10" s="1"/>
  <c r="AR194" i="10" s="1"/>
  <c r="Q192" i="10"/>
  <c r="AK192" i="10" s="1"/>
  <c r="W192" i="10"/>
  <c r="AP192" i="10" s="1"/>
  <c r="AR192" i="10" s="1"/>
  <c r="W193" i="10"/>
  <c r="AP193" i="10" s="1"/>
  <c r="AR193" i="10" s="1"/>
  <c r="W190" i="10"/>
  <c r="AP190" i="10" s="1"/>
  <c r="AR190" i="10" s="1"/>
  <c r="AV194" i="10"/>
  <c r="AV190" i="10"/>
  <c r="AJ193" i="10"/>
  <c r="AX193" i="10" s="1"/>
  <c r="AJ191" i="10"/>
  <c r="AX191" i="10" s="1"/>
  <c r="AV192" i="10"/>
  <c r="R189" i="10"/>
  <c r="AL189" i="10" s="1"/>
  <c r="AN189" i="10" s="1"/>
  <c r="W191" i="10"/>
  <c r="AP191" i="10" s="1"/>
  <c r="AR191" i="10" s="1"/>
  <c r="AV191" i="10"/>
  <c r="AV193" i="10"/>
  <c r="R194" i="10"/>
  <c r="AL194" i="10" s="1"/>
  <c r="AN194" i="10" s="1"/>
  <c r="R193" i="10"/>
  <c r="AL193" i="10" s="1"/>
  <c r="AN193" i="10" s="1"/>
  <c r="R191" i="10"/>
  <c r="AL191" i="10" s="1"/>
  <c r="AN191" i="10" s="1"/>
  <c r="AJ194" i="10"/>
  <c r="AX194" i="10" s="1"/>
  <c r="AJ192" i="10"/>
  <c r="AX192" i="10" s="1"/>
  <c r="AZ192" i="10" s="1"/>
  <c r="AW194" i="10"/>
  <c r="W189" i="10"/>
  <c r="AP189" i="10" s="1"/>
  <c r="AR189" i="10" s="1"/>
  <c r="AJ189" i="10"/>
  <c r="AX189" i="10" s="1"/>
  <c r="AZ189" i="10" s="1"/>
  <c r="R190" i="10"/>
  <c r="AL190" i="10" s="1"/>
  <c r="AN190" i="10" s="1"/>
  <c r="AJ190" i="10"/>
  <c r="AX190" i="10" s="1"/>
  <c r="AZ190" i="10" s="1"/>
  <c r="Q187" i="10"/>
  <c r="AK187" i="10" s="1"/>
  <c r="AV189" i="10"/>
  <c r="AW190" i="10"/>
  <c r="AV187" i="10"/>
  <c r="W188" i="10"/>
  <c r="AP188" i="10" s="1"/>
  <c r="AR188" i="10" s="1"/>
  <c r="R188" i="10"/>
  <c r="AL188" i="10" s="1"/>
  <c r="AN188" i="10" s="1"/>
  <c r="AK188" i="10"/>
  <c r="AJ187" i="10"/>
  <c r="AX187" i="10" s="1"/>
  <c r="AZ187" i="10" s="1"/>
  <c r="AW187" i="10"/>
  <c r="V188" i="10"/>
  <c r="AO188" i="10" s="1"/>
  <c r="AJ188" i="10"/>
  <c r="AX188" i="10" s="1"/>
  <c r="AZ188" i="10" s="1"/>
  <c r="AV188" i="10"/>
  <c r="V187" i="10"/>
  <c r="AO187" i="10" s="1"/>
  <c r="W187" i="10"/>
  <c r="AP187" i="10" s="1"/>
  <c r="AR187" i="10" s="1"/>
  <c r="W185" i="10"/>
  <c r="AP185" i="10" s="1"/>
  <c r="AR185" i="10" s="1"/>
  <c r="W186" i="10"/>
  <c r="AP186" i="10" s="1"/>
  <c r="AR186" i="10" s="1"/>
  <c r="V186" i="10"/>
  <c r="AO186" i="10" s="1"/>
  <c r="AV186" i="10"/>
  <c r="R186" i="10"/>
  <c r="AL186" i="10" s="1"/>
  <c r="AN186" i="10" s="1"/>
  <c r="AV185" i="10"/>
  <c r="AJ186" i="10"/>
  <c r="AX186" i="10" s="1"/>
  <c r="AZ186" i="10" s="1"/>
  <c r="R185" i="10"/>
  <c r="AL185" i="10" s="1"/>
  <c r="AN185" i="10" s="1"/>
  <c r="AJ185" i="10"/>
  <c r="AX185" i="10" s="1"/>
  <c r="E184" i="10"/>
  <c r="H184" i="10"/>
  <c r="BH184" i="10" s="1"/>
  <c r="I184" i="10"/>
  <c r="J184" i="10"/>
  <c r="K184" i="10"/>
  <c r="L184" i="10"/>
  <c r="M184" i="10" s="1"/>
  <c r="P184" i="10"/>
  <c r="U184" i="10" s="1"/>
  <c r="V184" i="10" s="1"/>
  <c r="AO184" i="10" s="1"/>
  <c r="Q184" i="10"/>
  <c r="AK184" i="10" s="1"/>
  <c r="Z184" i="10"/>
  <c r="AA184" i="10"/>
  <c r="AS184" i="10" s="1"/>
  <c r="AB184" i="10"/>
  <c r="AT184" i="10" s="1"/>
  <c r="AH184" i="10"/>
  <c r="AI184" i="10" s="1"/>
  <c r="AW184" i="10" s="1"/>
  <c r="AM184" i="10"/>
  <c r="AQ184" i="10"/>
  <c r="AU184" i="10"/>
  <c r="AY184" i="10"/>
  <c r="BG184" i="10" s="1"/>
  <c r="BF184" i="10"/>
  <c r="BJ184" i="10"/>
  <c r="E183" i="10"/>
  <c r="H183" i="10"/>
  <c r="BH183" i="10" s="1"/>
  <c r="I183" i="10"/>
  <c r="J183" i="10"/>
  <c r="K183" i="10"/>
  <c r="L183" i="10"/>
  <c r="M183" i="10" s="1"/>
  <c r="P183" i="10"/>
  <c r="U183" i="10" s="1"/>
  <c r="V183" i="10" s="1"/>
  <c r="AO183" i="10" s="1"/>
  <c r="Q183" i="10"/>
  <c r="AK183" i="10" s="1"/>
  <c r="Z183" i="10"/>
  <c r="AA183" i="10"/>
  <c r="AS183" i="10" s="1"/>
  <c r="AB183" i="10"/>
  <c r="AT183" i="10" s="1"/>
  <c r="AH183" i="10"/>
  <c r="AI183" i="10" s="1"/>
  <c r="AM183" i="10"/>
  <c r="AQ183" i="10"/>
  <c r="AU183" i="10"/>
  <c r="AY183" i="10"/>
  <c r="BG183" i="10" s="1"/>
  <c r="BF183" i="10"/>
  <c r="BJ183" i="10"/>
  <c r="AH182" i="10"/>
  <c r="AI182" i="10" s="1"/>
  <c r="E182" i="10"/>
  <c r="H182" i="10"/>
  <c r="BH182" i="10" s="1"/>
  <c r="I182" i="10"/>
  <c r="J182" i="10"/>
  <c r="K182" i="10"/>
  <c r="L182" i="10"/>
  <c r="M182" i="10" s="1"/>
  <c r="P182" i="10"/>
  <c r="U182" i="10" s="1"/>
  <c r="V182" i="10" s="1"/>
  <c r="AO182" i="10" s="1"/>
  <c r="Q182" i="10"/>
  <c r="AK182" i="10" s="1"/>
  <c r="Z182" i="10"/>
  <c r="AA182" i="10"/>
  <c r="AS182" i="10" s="1"/>
  <c r="AB182" i="10"/>
  <c r="AT182" i="10" s="1"/>
  <c r="AM182" i="10"/>
  <c r="AQ182" i="10"/>
  <c r="AU182" i="10"/>
  <c r="AY182" i="10"/>
  <c r="BG182" i="10" s="1"/>
  <c r="BF182" i="10"/>
  <c r="BJ182" i="10"/>
  <c r="AD181" i="10"/>
  <c r="AH181" i="10" s="1"/>
  <c r="AI181" i="10" s="1"/>
  <c r="AW181" i="10" s="1"/>
  <c r="AC179" i="10"/>
  <c r="AH179" i="10" s="1"/>
  <c r="AI179" i="10" s="1"/>
  <c r="H180" i="10"/>
  <c r="BH180" i="10" s="1"/>
  <c r="E181" i="10"/>
  <c r="H181" i="10"/>
  <c r="BH181" i="10" s="1"/>
  <c r="I181" i="10"/>
  <c r="J181" i="10"/>
  <c r="K181" i="10"/>
  <c r="L181" i="10"/>
  <c r="M181" i="10" s="1"/>
  <c r="P181" i="10"/>
  <c r="U181" i="10" s="1"/>
  <c r="V181" i="10" s="1"/>
  <c r="AO181" i="10" s="1"/>
  <c r="Q181" i="10"/>
  <c r="AK181" i="10" s="1"/>
  <c r="Z181" i="10"/>
  <c r="AA181" i="10"/>
  <c r="AS181" i="10" s="1"/>
  <c r="AB181" i="10"/>
  <c r="AT181" i="10" s="1"/>
  <c r="AM181" i="10"/>
  <c r="AQ181" i="10"/>
  <c r="AU181" i="10"/>
  <c r="AY181" i="10"/>
  <c r="BG181" i="10" s="1"/>
  <c r="BF181" i="10"/>
  <c r="BJ181" i="10"/>
  <c r="H179" i="10"/>
  <c r="BH179" i="10" s="1"/>
  <c r="H178" i="10"/>
  <c r="AC175" i="10"/>
  <c r="AC172" i="10"/>
  <c r="E180" i="10"/>
  <c r="I180" i="10"/>
  <c r="J180" i="10"/>
  <c r="K180" i="10"/>
  <c r="L180" i="10"/>
  <c r="M180" i="10" s="1"/>
  <c r="P180" i="10"/>
  <c r="U180" i="10" s="1"/>
  <c r="Q180" i="10"/>
  <c r="AK180" i="10" s="1"/>
  <c r="Z180" i="10"/>
  <c r="AA180" i="10"/>
  <c r="AS180" i="10" s="1"/>
  <c r="AB180" i="10"/>
  <c r="AT180" i="10" s="1"/>
  <c r="AH180" i="10"/>
  <c r="AI180" i="10" s="1"/>
  <c r="AW180" i="10" s="1"/>
  <c r="AM180" i="10"/>
  <c r="AQ180" i="10"/>
  <c r="AU180" i="10"/>
  <c r="AY180" i="10"/>
  <c r="BG180" i="10" s="1"/>
  <c r="BF180" i="10"/>
  <c r="BJ180" i="10"/>
  <c r="E179" i="10"/>
  <c r="I179" i="10"/>
  <c r="J179" i="10"/>
  <c r="K179" i="10"/>
  <c r="L179" i="10"/>
  <c r="M179" i="10" s="1"/>
  <c r="P179" i="10"/>
  <c r="U179" i="10" s="1"/>
  <c r="V179" i="10" s="1"/>
  <c r="AO179" i="10" s="1"/>
  <c r="Q179" i="10"/>
  <c r="AK179" i="10" s="1"/>
  <c r="Z179" i="10"/>
  <c r="AA179" i="10"/>
  <c r="AS179" i="10" s="1"/>
  <c r="AB179" i="10"/>
  <c r="AT179" i="10" s="1"/>
  <c r="AM179" i="10"/>
  <c r="AQ179" i="10"/>
  <c r="AU179" i="10"/>
  <c r="AY179" i="10"/>
  <c r="BG179" i="10" s="1"/>
  <c r="BF179" i="10"/>
  <c r="BJ179" i="10"/>
  <c r="BA186" i="10" l="1"/>
  <c r="BA188" i="10"/>
  <c r="BA194" i="10"/>
  <c r="BA185" i="10"/>
  <c r="BA189" i="10"/>
  <c r="BA193" i="10"/>
  <c r="BA191" i="10"/>
  <c r="BA190" i="10"/>
  <c r="BB194" i="10"/>
  <c r="BD194" i="10" s="1"/>
  <c r="BB191" i="10"/>
  <c r="BD191" i="10" s="1"/>
  <c r="R192" i="10"/>
  <c r="AL192" i="10" s="1"/>
  <c r="AN192" i="10" s="1"/>
  <c r="BA192" i="10" s="1"/>
  <c r="BB192" i="10"/>
  <c r="BD192" i="10" s="1"/>
  <c r="AZ191" i="10"/>
  <c r="BB193" i="10"/>
  <c r="BD193" i="10" s="1"/>
  <c r="AZ193" i="10"/>
  <c r="AZ194" i="10"/>
  <c r="BB190" i="10"/>
  <c r="BD190" i="10" s="1"/>
  <c r="BB189" i="10"/>
  <c r="BD189" i="10" s="1"/>
  <c r="R187" i="10"/>
  <c r="AL187" i="10" s="1"/>
  <c r="AN187" i="10" s="1"/>
  <c r="BA187" i="10" s="1"/>
  <c r="BB185" i="10"/>
  <c r="BD185" i="10" s="1"/>
  <c r="BB188" i="10"/>
  <c r="BD188" i="10" s="1"/>
  <c r="BB187" i="10"/>
  <c r="BD187" i="10" s="1"/>
  <c r="R181" i="10"/>
  <c r="AL181" i="10" s="1"/>
  <c r="AN181" i="10" s="1"/>
  <c r="W183" i="10"/>
  <c r="AP183" i="10" s="1"/>
  <c r="AR183" i="10" s="1"/>
  <c r="BB186" i="10"/>
  <c r="BD186" i="10" s="1"/>
  <c r="W182" i="10"/>
  <c r="AP182" i="10" s="1"/>
  <c r="AR182" i="10" s="1"/>
  <c r="R184" i="10"/>
  <c r="AL184" i="10" s="1"/>
  <c r="AN184" i="10" s="1"/>
  <c r="AV183" i="10"/>
  <c r="W180" i="10"/>
  <c r="AP180" i="10" s="1"/>
  <c r="AR180" i="10" s="1"/>
  <c r="R182" i="10"/>
  <c r="AL182" i="10" s="1"/>
  <c r="AN182" i="10" s="1"/>
  <c r="W184" i="10"/>
  <c r="AP184" i="10" s="1"/>
  <c r="AR184" i="10" s="1"/>
  <c r="AJ182" i="10"/>
  <c r="AX182" i="10" s="1"/>
  <c r="AZ182" i="10" s="1"/>
  <c r="AW182" i="10"/>
  <c r="AZ185" i="10"/>
  <c r="W181" i="10"/>
  <c r="AP181" i="10" s="1"/>
  <c r="AR181" i="10" s="1"/>
  <c r="AV184" i="10"/>
  <c r="AV182" i="10"/>
  <c r="AJ183" i="10"/>
  <c r="AX183" i="10" s="1"/>
  <c r="AW183" i="10"/>
  <c r="AJ184" i="10"/>
  <c r="AX184" i="10" s="1"/>
  <c r="R183" i="10"/>
  <c r="AL183" i="10" s="1"/>
  <c r="AN183" i="10" s="1"/>
  <c r="V180" i="10"/>
  <c r="AO180" i="10" s="1"/>
  <c r="W179" i="10"/>
  <c r="AP179" i="10" s="1"/>
  <c r="AR179" i="10" s="1"/>
  <c r="AJ181" i="10"/>
  <c r="AX181" i="10" s="1"/>
  <c r="AZ181" i="10" s="1"/>
  <c r="AV181" i="10"/>
  <c r="R180" i="10"/>
  <c r="AL180" i="10" s="1"/>
  <c r="AN180" i="10" s="1"/>
  <c r="R179" i="10"/>
  <c r="AL179" i="10" s="1"/>
  <c r="AN179" i="10" s="1"/>
  <c r="AV179" i="10"/>
  <c r="AJ180" i="10"/>
  <c r="AX180" i="10" s="1"/>
  <c r="AZ180" i="10" s="1"/>
  <c r="AV180" i="10"/>
  <c r="AJ179" i="10"/>
  <c r="AX179" i="10" s="1"/>
  <c r="AZ179" i="10" s="1"/>
  <c r="AW179" i="10"/>
  <c r="BE192" i="10" l="1"/>
  <c r="BM192" i="10"/>
  <c r="BE190" i="10"/>
  <c r="BM190" i="10"/>
  <c r="BE187" i="10"/>
  <c r="BM187" i="10"/>
  <c r="BE191" i="10"/>
  <c r="BM191" i="10"/>
  <c r="BE189" i="10"/>
  <c r="BM189" i="10"/>
  <c r="BE188" i="10"/>
  <c r="BM188" i="10"/>
  <c r="BE194" i="10"/>
  <c r="BM194" i="10"/>
  <c r="BE185" i="10"/>
  <c r="BM185" i="10"/>
  <c r="BE193" i="10"/>
  <c r="BM193" i="10"/>
  <c r="BE186" i="10"/>
  <c r="BM186" i="10"/>
  <c r="BA182" i="10"/>
  <c r="BA184" i="10"/>
  <c r="BA180" i="10"/>
  <c r="BA179" i="10"/>
  <c r="BA181" i="10"/>
  <c r="BA183" i="10"/>
  <c r="BB183" i="10"/>
  <c r="BD183" i="10" s="1"/>
  <c r="BB182" i="10"/>
  <c r="BD182" i="10" s="1"/>
  <c r="AZ183" i="10"/>
  <c r="BB184" i="10"/>
  <c r="BD184" i="10" s="1"/>
  <c r="AZ184" i="10"/>
  <c r="BB181" i="10"/>
  <c r="BD181" i="10" s="1"/>
  <c r="BB180" i="10"/>
  <c r="BD180" i="10" s="1"/>
  <c r="BB179" i="10"/>
  <c r="BD179" i="10" s="1"/>
  <c r="BE179" i="10" l="1"/>
  <c r="BM179" i="10"/>
  <c r="BE180" i="10"/>
  <c r="BM180" i="10"/>
  <c r="BE184" i="10"/>
  <c r="BM184" i="10"/>
  <c r="BE181" i="10"/>
  <c r="BM181" i="10"/>
  <c r="BE182" i="10"/>
  <c r="BM182" i="10"/>
  <c r="BE183" i="10"/>
  <c r="BM183" i="10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178" i="10"/>
  <c r="BH178" i="10"/>
  <c r="I178" i="10"/>
  <c r="J178" i="10"/>
  <c r="K178" i="10"/>
  <c r="L178" i="10"/>
  <c r="M178" i="10" s="1"/>
  <c r="P178" i="10"/>
  <c r="U178" i="10" s="1"/>
  <c r="V178" i="10" s="1"/>
  <c r="AO178" i="10" s="1"/>
  <c r="Q178" i="10"/>
  <c r="AK178" i="10" s="1"/>
  <c r="Z178" i="10"/>
  <c r="AA178" i="10"/>
  <c r="AS178" i="10" s="1"/>
  <c r="AB178" i="10"/>
  <c r="AT178" i="10" s="1"/>
  <c r="AH178" i="10"/>
  <c r="AI178" i="10" s="1"/>
  <c r="AW178" i="10" s="1"/>
  <c r="AM178" i="10"/>
  <c r="AQ178" i="10"/>
  <c r="AU178" i="10"/>
  <c r="AY178" i="10"/>
  <c r="BG178" i="10" s="1"/>
  <c r="BF178" i="10"/>
  <c r="BJ178" i="10"/>
  <c r="E177" i="10"/>
  <c r="H177" i="10"/>
  <c r="BH177" i="10" s="1"/>
  <c r="I177" i="10"/>
  <c r="J177" i="10"/>
  <c r="K177" i="10"/>
  <c r="L177" i="10"/>
  <c r="M177" i="10" s="1"/>
  <c r="P177" i="10"/>
  <c r="U177" i="10" s="1"/>
  <c r="V177" i="10" s="1"/>
  <c r="AO177" i="10" s="1"/>
  <c r="Q177" i="10"/>
  <c r="AK177" i="10" s="1"/>
  <c r="Z177" i="10"/>
  <c r="AA177" i="10"/>
  <c r="AS177" i="10" s="1"/>
  <c r="AB177" i="10"/>
  <c r="AT177" i="10" s="1"/>
  <c r="AH177" i="10"/>
  <c r="AI177" i="10" s="1"/>
  <c r="AM177" i="10"/>
  <c r="AQ177" i="10"/>
  <c r="AU177" i="10"/>
  <c r="AY177" i="10"/>
  <c r="BG177" i="10" s="1"/>
  <c r="BF177" i="10"/>
  <c r="BJ177" i="10"/>
  <c r="E176" i="10"/>
  <c r="H176" i="10"/>
  <c r="BH176" i="10" s="1"/>
  <c r="I176" i="10"/>
  <c r="J176" i="10"/>
  <c r="K176" i="10"/>
  <c r="L176" i="10"/>
  <c r="M176" i="10"/>
  <c r="P176" i="10"/>
  <c r="U176" i="10" s="1"/>
  <c r="Q176" i="10"/>
  <c r="AK176" i="10" s="1"/>
  <c r="V176" i="10"/>
  <c r="AO176" i="10" s="1"/>
  <c r="W176" i="10"/>
  <c r="AP176" i="10" s="1"/>
  <c r="Z176" i="10"/>
  <c r="AA176" i="10"/>
  <c r="AS176" i="10" s="1"/>
  <c r="AB176" i="10"/>
  <c r="AT176" i="10" s="1"/>
  <c r="AH176" i="10"/>
  <c r="AI176" i="10" s="1"/>
  <c r="AM176" i="10"/>
  <c r="AQ176" i="10"/>
  <c r="AU176" i="10"/>
  <c r="AY176" i="10"/>
  <c r="BG176" i="10" s="1"/>
  <c r="BF176" i="10"/>
  <c r="BJ176" i="10"/>
  <c r="E175" i="10"/>
  <c r="H175" i="10"/>
  <c r="BH175" i="10" s="1"/>
  <c r="I175" i="10"/>
  <c r="J175" i="10"/>
  <c r="K175" i="10"/>
  <c r="L175" i="10"/>
  <c r="M175" i="10" s="1"/>
  <c r="P175" i="10"/>
  <c r="U175" i="10" s="1"/>
  <c r="V175" i="10" s="1"/>
  <c r="AO175" i="10" s="1"/>
  <c r="Q175" i="10"/>
  <c r="AK175" i="10" s="1"/>
  <c r="Z175" i="10"/>
  <c r="AA175" i="10"/>
  <c r="AS175" i="10" s="1"/>
  <c r="AB175" i="10"/>
  <c r="AT175" i="10" s="1"/>
  <c r="AH175" i="10"/>
  <c r="AI175" i="10" s="1"/>
  <c r="AW175" i="10" s="1"/>
  <c r="AM175" i="10"/>
  <c r="AQ175" i="10"/>
  <c r="AU175" i="10"/>
  <c r="AY175" i="10"/>
  <c r="BG175" i="10" s="1"/>
  <c r="BF175" i="10"/>
  <c r="BJ175" i="10"/>
  <c r="E174" i="10"/>
  <c r="H174" i="10"/>
  <c r="BH174" i="10" s="1"/>
  <c r="I174" i="10"/>
  <c r="J174" i="10"/>
  <c r="K174" i="10"/>
  <c r="L174" i="10"/>
  <c r="M174" i="10" s="1"/>
  <c r="P174" i="10" s="1"/>
  <c r="U174" i="10" s="1"/>
  <c r="V174" i="10" s="1"/>
  <c r="AO174" i="10" s="1"/>
  <c r="Z174" i="10"/>
  <c r="AA174" i="10"/>
  <c r="AS174" i="10" s="1"/>
  <c r="AB174" i="10"/>
  <c r="AT174" i="10" s="1"/>
  <c r="AH174" i="10"/>
  <c r="AI174" i="10" s="1"/>
  <c r="AW174" i="10" s="1"/>
  <c r="AM174" i="10"/>
  <c r="AQ174" i="10"/>
  <c r="AU174" i="10"/>
  <c r="AY174" i="10"/>
  <c r="BG174" i="10" s="1"/>
  <c r="BF174" i="10"/>
  <c r="BJ174" i="10"/>
  <c r="E173" i="10"/>
  <c r="H173" i="10"/>
  <c r="BH173" i="10" s="1"/>
  <c r="I173" i="10"/>
  <c r="J173" i="10"/>
  <c r="K173" i="10"/>
  <c r="L173" i="10"/>
  <c r="M173" i="10" s="1"/>
  <c r="P173" i="10" s="1"/>
  <c r="U173" i="10" s="1"/>
  <c r="V173" i="10" s="1"/>
  <c r="AO173" i="10" s="1"/>
  <c r="Q173" i="10"/>
  <c r="AK173" i="10" s="1"/>
  <c r="Z173" i="10"/>
  <c r="AA173" i="10"/>
  <c r="AS173" i="10" s="1"/>
  <c r="AB173" i="10"/>
  <c r="AT173" i="10" s="1"/>
  <c r="AH173" i="10"/>
  <c r="AI173" i="10" s="1"/>
  <c r="AW173" i="10" s="1"/>
  <c r="AM173" i="10"/>
  <c r="AQ173" i="10"/>
  <c r="AU173" i="10"/>
  <c r="AY173" i="10"/>
  <c r="BG173" i="10" s="1"/>
  <c r="BF173" i="10"/>
  <c r="BJ173" i="10"/>
  <c r="E172" i="10"/>
  <c r="H172" i="10"/>
  <c r="BH172" i="10" s="1"/>
  <c r="I172" i="10"/>
  <c r="J172" i="10"/>
  <c r="K172" i="10"/>
  <c r="L172" i="10"/>
  <c r="M172" i="10" s="1"/>
  <c r="P172" i="10"/>
  <c r="U172" i="10" s="1"/>
  <c r="V172" i="10" s="1"/>
  <c r="AO172" i="10" s="1"/>
  <c r="Q172" i="10"/>
  <c r="AK172" i="10" s="1"/>
  <c r="Z172" i="10"/>
  <c r="AA172" i="10"/>
  <c r="AS172" i="10" s="1"/>
  <c r="AB172" i="10"/>
  <c r="AT172" i="10" s="1"/>
  <c r="AH172" i="10"/>
  <c r="AI172" i="10" s="1"/>
  <c r="AW172" i="10" s="1"/>
  <c r="AM172" i="10"/>
  <c r="AQ172" i="10"/>
  <c r="AU172" i="10"/>
  <c r="AY172" i="10"/>
  <c r="BG172" i="10" s="1"/>
  <c r="BF172" i="10"/>
  <c r="BJ172" i="10"/>
  <c r="AC171" i="10"/>
  <c r="AH171" i="10" s="1"/>
  <c r="AI171" i="10" s="1"/>
  <c r="AW171" i="10" s="1"/>
  <c r="E171" i="10"/>
  <c r="H171" i="10"/>
  <c r="BH171" i="10" s="1"/>
  <c r="I171" i="10"/>
  <c r="J171" i="10"/>
  <c r="K171" i="10"/>
  <c r="L171" i="10"/>
  <c r="M171" i="10" s="1"/>
  <c r="P171" i="10"/>
  <c r="U171" i="10" s="1"/>
  <c r="V171" i="10" s="1"/>
  <c r="AO171" i="10" s="1"/>
  <c r="Q171" i="10"/>
  <c r="AK171" i="10" s="1"/>
  <c r="Z171" i="10"/>
  <c r="AA171" i="10"/>
  <c r="AS171" i="10" s="1"/>
  <c r="AB171" i="10"/>
  <c r="AT171" i="10" s="1"/>
  <c r="AM171" i="10"/>
  <c r="AQ171" i="10"/>
  <c r="AU171" i="10"/>
  <c r="AY171" i="10"/>
  <c r="BG171" i="10" s="1"/>
  <c r="BF171" i="10"/>
  <c r="BJ171" i="10"/>
  <c r="E170" i="10"/>
  <c r="H170" i="10"/>
  <c r="BH170" i="10" s="1"/>
  <c r="I170" i="10"/>
  <c r="J170" i="10"/>
  <c r="K170" i="10"/>
  <c r="L170" i="10"/>
  <c r="M170" i="10" s="1"/>
  <c r="P170" i="10"/>
  <c r="U170" i="10" s="1"/>
  <c r="Q170" i="10"/>
  <c r="Z170" i="10"/>
  <c r="AA170" i="10"/>
  <c r="AS170" i="10" s="1"/>
  <c r="AB170" i="10"/>
  <c r="AT170" i="10" s="1"/>
  <c r="AH170" i="10"/>
  <c r="AI170" i="10" s="1"/>
  <c r="AM170" i="10"/>
  <c r="AQ170" i="10"/>
  <c r="AU170" i="10"/>
  <c r="AY170" i="10"/>
  <c r="BG170" i="10" s="1"/>
  <c r="BF170" i="10"/>
  <c r="BJ170" i="10"/>
  <c r="E169" i="10"/>
  <c r="H169" i="10"/>
  <c r="BH169" i="10" s="1"/>
  <c r="I169" i="10"/>
  <c r="J169" i="10"/>
  <c r="K169" i="10"/>
  <c r="L169" i="10"/>
  <c r="M169" i="10" s="1"/>
  <c r="P169" i="10"/>
  <c r="U169" i="10" s="1"/>
  <c r="Q169" i="10"/>
  <c r="AK169" i="10" s="1"/>
  <c r="Z169" i="10"/>
  <c r="AA169" i="10"/>
  <c r="AS169" i="10" s="1"/>
  <c r="AB169" i="10"/>
  <c r="AT169" i="10" s="1"/>
  <c r="AH169" i="10"/>
  <c r="AI169" i="10" s="1"/>
  <c r="AW169" i="10" s="1"/>
  <c r="AM169" i="10"/>
  <c r="AQ169" i="10"/>
  <c r="AU169" i="10"/>
  <c r="AY169" i="10"/>
  <c r="BG169" i="10" s="1"/>
  <c r="BF169" i="10"/>
  <c r="BJ169" i="10"/>
  <c r="E168" i="10"/>
  <c r="H168" i="10"/>
  <c r="BH168" i="10" s="1"/>
  <c r="I168" i="10"/>
  <c r="J168" i="10"/>
  <c r="K168" i="10"/>
  <c r="L168" i="10"/>
  <c r="M168" i="10" s="1"/>
  <c r="P168" i="10"/>
  <c r="U168" i="10" s="1"/>
  <c r="V168" i="10" s="1"/>
  <c r="AO168" i="10" s="1"/>
  <c r="Q168" i="10"/>
  <c r="AK168" i="10" s="1"/>
  <c r="Z168" i="10"/>
  <c r="AA168" i="10"/>
  <c r="AS168" i="10" s="1"/>
  <c r="AB168" i="10"/>
  <c r="AT168" i="10" s="1"/>
  <c r="AH168" i="10"/>
  <c r="AI168" i="10" s="1"/>
  <c r="AW168" i="10" s="1"/>
  <c r="AM168" i="10"/>
  <c r="AQ168" i="10"/>
  <c r="AU168" i="10"/>
  <c r="AY168" i="10"/>
  <c r="BG168" i="10" s="1"/>
  <c r="BF168" i="10"/>
  <c r="BJ168" i="10"/>
  <c r="E167" i="10"/>
  <c r="H167" i="10"/>
  <c r="BH167" i="10" s="1"/>
  <c r="I167" i="10"/>
  <c r="J167" i="10"/>
  <c r="K167" i="10"/>
  <c r="L167" i="10"/>
  <c r="M167" i="10" s="1"/>
  <c r="P167" i="10"/>
  <c r="U167" i="10" s="1"/>
  <c r="Q167" i="10"/>
  <c r="AK167" i="10" s="1"/>
  <c r="Z167" i="10"/>
  <c r="AA167" i="10"/>
  <c r="AS167" i="10" s="1"/>
  <c r="AB167" i="10"/>
  <c r="AT167" i="10" s="1"/>
  <c r="AH167" i="10"/>
  <c r="AI167" i="10" s="1"/>
  <c r="AW167" i="10" s="1"/>
  <c r="AM167" i="10"/>
  <c r="AQ167" i="10"/>
  <c r="AU167" i="10"/>
  <c r="AY167" i="10"/>
  <c r="BG167" i="10" s="1"/>
  <c r="BF167" i="10"/>
  <c r="BJ167" i="10"/>
  <c r="AY163" i="10"/>
  <c r="BG163" i="10" s="1"/>
  <c r="AQ163" i="10"/>
  <c r="E166" i="10"/>
  <c r="H166" i="10"/>
  <c r="BH166" i="10" s="1"/>
  <c r="I166" i="10"/>
  <c r="J166" i="10"/>
  <c r="K166" i="10"/>
  <c r="L166" i="10"/>
  <c r="M166" i="10" s="1"/>
  <c r="P166" i="10"/>
  <c r="U166" i="10" s="1"/>
  <c r="V166" i="10" s="1"/>
  <c r="AO166" i="10" s="1"/>
  <c r="Q166" i="10"/>
  <c r="AK166" i="10" s="1"/>
  <c r="Z166" i="10"/>
  <c r="AA166" i="10"/>
  <c r="AS166" i="10" s="1"/>
  <c r="AB166" i="10"/>
  <c r="AT166" i="10" s="1"/>
  <c r="AH166" i="10"/>
  <c r="AI166" i="10" s="1"/>
  <c r="AW166" i="10" s="1"/>
  <c r="AM166" i="10"/>
  <c r="AQ166" i="10"/>
  <c r="AU166" i="10"/>
  <c r="AY166" i="10"/>
  <c r="BG166" i="10" s="1"/>
  <c r="BF166" i="10"/>
  <c r="BJ166" i="10"/>
  <c r="E165" i="10"/>
  <c r="H165" i="10"/>
  <c r="BH165" i="10" s="1"/>
  <c r="I165" i="10"/>
  <c r="J165" i="10"/>
  <c r="K165" i="10"/>
  <c r="L165" i="10"/>
  <c r="M165" i="10" s="1"/>
  <c r="P165" i="10"/>
  <c r="U165" i="10" s="1"/>
  <c r="V165" i="10" s="1"/>
  <c r="AO165" i="10" s="1"/>
  <c r="Q165" i="10"/>
  <c r="AK165" i="10" s="1"/>
  <c r="Z165" i="10"/>
  <c r="AA165" i="10"/>
  <c r="AS165" i="10" s="1"/>
  <c r="AB165" i="10"/>
  <c r="AT165" i="10" s="1"/>
  <c r="AH165" i="10"/>
  <c r="AI165" i="10" s="1"/>
  <c r="AW165" i="10" s="1"/>
  <c r="AM165" i="10"/>
  <c r="AQ165" i="10"/>
  <c r="AU165" i="10"/>
  <c r="AY165" i="10"/>
  <c r="BG165" i="10" s="1"/>
  <c r="BF165" i="10"/>
  <c r="BJ165" i="10"/>
  <c r="E164" i="10"/>
  <c r="H164" i="10"/>
  <c r="BH164" i="10" s="1"/>
  <c r="I164" i="10"/>
  <c r="J164" i="10"/>
  <c r="K164" i="10"/>
  <c r="L164" i="10"/>
  <c r="M164" i="10" s="1"/>
  <c r="P164" i="10"/>
  <c r="U164" i="10" s="1"/>
  <c r="V164" i="10" s="1"/>
  <c r="AO164" i="10" s="1"/>
  <c r="Q164" i="10"/>
  <c r="AK164" i="10" s="1"/>
  <c r="Z164" i="10"/>
  <c r="AA164" i="10"/>
  <c r="AS164" i="10" s="1"/>
  <c r="AB164" i="10"/>
  <c r="AT164" i="10" s="1"/>
  <c r="AH164" i="10"/>
  <c r="AI164" i="10" s="1"/>
  <c r="AW164" i="10" s="1"/>
  <c r="AM164" i="10"/>
  <c r="AQ164" i="10"/>
  <c r="AU164" i="10"/>
  <c r="AY164" i="10"/>
  <c r="BG164" i="10" s="1"/>
  <c r="BF164" i="10"/>
  <c r="BJ164" i="10"/>
  <c r="E163" i="10"/>
  <c r="H163" i="10"/>
  <c r="BH163" i="10" s="1"/>
  <c r="I163" i="10"/>
  <c r="J163" i="10"/>
  <c r="K163" i="10"/>
  <c r="L163" i="10"/>
  <c r="M163" i="10" s="1"/>
  <c r="P163" i="10"/>
  <c r="U163" i="10" s="1"/>
  <c r="V163" i="10" s="1"/>
  <c r="AO163" i="10" s="1"/>
  <c r="Q163" i="10"/>
  <c r="AK163" i="10" s="1"/>
  <c r="Z163" i="10"/>
  <c r="AA163" i="10"/>
  <c r="AS163" i="10" s="1"/>
  <c r="AB163" i="10"/>
  <c r="AT163" i="10" s="1"/>
  <c r="AH163" i="10"/>
  <c r="AI163" i="10" s="1"/>
  <c r="AW163" i="10" s="1"/>
  <c r="AM163" i="10"/>
  <c r="AU163" i="10"/>
  <c r="BF163" i="10"/>
  <c r="BJ163" i="10"/>
  <c r="E162" i="10"/>
  <c r="H162" i="10"/>
  <c r="BH162" i="10" s="1"/>
  <c r="I162" i="10"/>
  <c r="J162" i="10"/>
  <c r="K162" i="10"/>
  <c r="L162" i="10"/>
  <c r="M162" i="10" s="1"/>
  <c r="P162" i="10"/>
  <c r="U162" i="10" s="1"/>
  <c r="V162" i="10" s="1"/>
  <c r="AO162" i="10" s="1"/>
  <c r="Q162" i="10"/>
  <c r="AK162" i="10" s="1"/>
  <c r="Z162" i="10"/>
  <c r="AA162" i="10"/>
  <c r="AS162" i="10" s="1"/>
  <c r="AB162" i="10"/>
  <c r="AT162" i="10" s="1"/>
  <c r="AH162" i="10"/>
  <c r="AI162" i="10" s="1"/>
  <c r="AW162" i="10" s="1"/>
  <c r="AM162" i="10"/>
  <c r="AQ162" i="10"/>
  <c r="AU162" i="10"/>
  <c r="AY162" i="10"/>
  <c r="BG162" i="10" s="1"/>
  <c r="BF162" i="10"/>
  <c r="BJ162" i="10"/>
  <c r="E161" i="10"/>
  <c r="H161" i="10"/>
  <c r="BH161" i="10" s="1"/>
  <c r="I161" i="10"/>
  <c r="J161" i="10"/>
  <c r="K161" i="10"/>
  <c r="L161" i="10"/>
  <c r="M161" i="10" s="1"/>
  <c r="P161" i="10"/>
  <c r="U161" i="10" s="1"/>
  <c r="V161" i="10" s="1"/>
  <c r="AO161" i="10" s="1"/>
  <c r="Q161" i="10"/>
  <c r="AK161" i="10" s="1"/>
  <c r="Z161" i="10"/>
  <c r="AA161" i="10"/>
  <c r="AS161" i="10" s="1"/>
  <c r="AB161" i="10"/>
  <c r="AT161" i="10" s="1"/>
  <c r="AH161" i="10"/>
  <c r="AI161" i="10" s="1"/>
  <c r="AW161" i="10" s="1"/>
  <c r="AM161" i="10"/>
  <c r="AQ161" i="10"/>
  <c r="AU161" i="10"/>
  <c r="AY161" i="10"/>
  <c r="BG161" i="10" s="1"/>
  <c r="BF161" i="10"/>
  <c r="BJ161" i="10"/>
  <c r="W178" i="10" l="1"/>
  <c r="AP178" i="10" s="1"/>
  <c r="AR178" i="10" s="1"/>
  <c r="R178" i="10"/>
  <c r="AL178" i="10" s="1"/>
  <c r="AN178" i="10" s="1"/>
  <c r="Q174" i="10"/>
  <c r="AK174" i="10" s="1"/>
  <c r="W173" i="10"/>
  <c r="AP173" i="10" s="1"/>
  <c r="AR173" i="10" s="1"/>
  <c r="W175" i="10"/>
  <c r="AP175" i="10" s="1"/>
  <c r="AR175" i="10" s="1"/>
  <c r="AJ177" i="10"/>
  <c r="AX177" i="10" s="1"/>
  <c r="AZ177" i="10" s="1"/>
  <c r="AW177" i="10"/>
  <c r="AJ172" i="10"/>
  <c r="AX172" i="10" s="1"/>
  <c r="AZ172" i="10" s="1"/>
  <c r="W177" i="10"/>
  <c r="AP177" i="10" s="1"/>
  <c r="AV177" i="10"/>
  <c r="W172" i="10"/>
  <c r="AP172" i="10" s="1"/>
  <c r="AR172" i="10" s="1"/>
  <c r="W174" i="10"/>
  <c r="AP174" i="10" s="1"/>
  <c r="AR174" i="10" s="1"/>
  <c r="AJ178" i="10"/>
  <c r="AX178" i="10" s="1"/>
  <c r="AZ178" i="10" s="1"/>
  <c r="AV178" i="10"/>
  <c r="AJ170" i="10"/>
  <c r="AX170" i="10" s="1"/>
  <c r="AZ170" i="10" s="1"/>
  <c r="AJ176" i="10"/>
  <c r="AX176" i="10" s="1"/>
  <c r="BB176" i="10" s="1"/>
  <c r="BD176" i="10" s="1"/>
  <c r="R177" i="10"/>
  <c r="AL177" i="10" s="1"/>
  <c r="AN177" i="10" s="1"/>
  <c r="AR176" i="10"/>
  <c r="AV176" i="10"/>
  <c r="AJ173" i="10"/>
  <c r="AX173" i="10" s="1"/>
  <c r="AZ173" i="10" s="1"/>
  <c r="W167" i="10"/>
  <c r="AP167" i="10" s="1"/>
  <c r="AR167" i="10" s="1"/>
  <c r="R172" i="10"/>
  <c r="AL172" i="10" s="1"/>
  <c r="AN172" i="10" s="1"/>
  <c r="R176" i="10"/>
  <c r="AL176" i="10" s="1"/>
  <c r="AN176" i="10" s="1"/>
  <c r="AW176" i="10"/>
  <c r="R170" i="10"/>
  <c r="AL170" i="10" s="1"/>
  <c r="AN170" i="10" s="1"/>
  <c r="AV175" i="10"/>
  <c r="AJ175" i="10"/>
  <c r="AX175" i="10" s="1"/>
  <c r="W169" i="10"/>
  <c r="AP169" i="10" s="1"/>
  <c r="AR169" i="10" s="1"/>
  <c r="W170" i="10"/>
  <c r="AP170" i="10" s="1"/>
  <c r="AR170" i="10" s="1"/>
  <c r="AJ174" i="10"/>
  <c r="AX174" i="10" s="1"/>
  <c r="R173" i="10"/>
  <c r="AL173" i="10" s="1"/>
  <c r="AN173" i="10" s="1"/>
  <c r="R175" i="10"/>
  <c r="AL175" i="10" s="1"/>
  <c r="AN175" i="10" s="1"/>
  <c r="AV173" i="10"/>
  <c r="AV174" i="10"/>
  <c r="AV172" i="10"/>
  <c r="V170" i="10"/>
  <c r="AO170" i="10" s="1"/>
  <c r="V167" i="10"/>
  <c r="AO167" i="10" s="1"/>
  <c r="W168" i="10"/>
  <c r="AP168" i="10" s="1"/>
  <c r="AR168" i="10" s="1"/>
  <c r="V169" i="10"/>
  <c r="AO169" i="10" s="1"/>
  <c r="AW170" i="10"/>
  <c r="AJ168" i="10"/>
  <c r="AX168" i="10" s="1"/>
  <c r="AZ168" i="10" s="1"/>
  <c r="W171" i="10"/>
  <c r="AP171" i="10" s="1"/>
  <c r="AR171" i="10" s="1"/>
  <c r="R167" i="10"/>
  <c r="AL167" i="10" s="1"/>
  <c r="AN167" i="10" s="1"/>
  <c r="R168" i="10"/>
  <c r="AL168" i="10" s="1"/>
  <c r="AN168" i="10" s="1"/>
  <c r="AV171" i="10"/>
  <c r="AV170" i="10"/>
  <c r="R169" i="10"/>
  <c r="AL169" i="10" s="1"/>
  <c r="AN169" i="10" s="1"/>
  <c r="AV169" i="10"/>
  <c r="AJ171" i="10"/>
  <c r="AX171" i="10" s="1"/>
  <c r="AZ171" i="10" s="1"/>
  <c r="R171" i="10"/>
  <c r="AL171" i="10" s="1"/>
  <c r="AN171" i="10" s="1"/>
  <c r="AK170" i="10"/>
  <c r="AJ169" i="10"/>
  <c r="AX169" i="10" s="1"/>
  <c r="AJ167" i="10"/>
  <c r="AX167" i="10" s="1"/>
  <c r="AZ167" i="10" s="1"/>
  <c r="AV167" i="10"/>
  <c r="AV168" i="10"/>
  <c r="W165" i="10"/>
  <c r="AP165" i="10" s="1"/>
  <c r="AR165" i="10" s="1"/>
  <c r="W164" i="10"/>
  <c r="AP164" i="10" s="1"/>
  <c r="AR164" i="10" s="1"/>
  <c r="R162" i="10"/>
  <c r="AL162" i="10" s="1"/>
  <c r="AN162" i="10" s="1"/>
  <c r="W163" i="10"/>
  <c r="AP163" i="10" s="1"/>
  <c r="AR163" i="10" s="1"/>
  <c r="W166" i="10"/>
  <c r="AP166" i="10" s="1"/>
  <c r="AR166" i="10" s="1"/>
  <c r="W162" i="10"/>
  <c r="AP162" i="10" s="1"/>
  <c r="AR162" i="10" s="1"/>
  <c r="R163" i="10"/>
  <c r="AL163" i="10" s="1"/>
  <c r="AN163" i="10" s="1"/>
  <c r="AJ165" i="10"/>
  <c r="AX165" i="10" s="1"/>
  <c r="AZ165" i="10" s="1"/>
  <c r="AJ163" i="10"/>
  <c r="AX163" i="10" s="1"/>
  <c r="AV162" i="10"/>
  <c r="R166" i="10"/>
  <c r="AL166" i="10" s="1"/>
  <c r="AN166" i="10" s="1"/>
  <c r="AJ162" i="10"/>
  <c r="AX162" i="10" s="1"/>
  <c r="AZ162" i="10" s="1"/>
  <c r="AV165" i="10"/>
  <c r="R165" i="10"/>
  <c r="AL165" i="10" s="1"/>
  <c r="AN165" i="10" s="1"/>
  <c r="AV166" i="10"/>
  <c r="R164" i="10"/>
  <c r="AL164" i="10" s="1"/>
  <c r="AN164" i="10" s="1"/>
  <c r="AJ166" i="10"/>
  <c r="AX166" i="10" s="1"/>
  <c r="AZ166" i="10" s="1"/>
  <c r="AV163" i="10"/>
  <c r="AV164" i="10"/>
  <c r="AJ164" i="10"/>
  <c r="AX164" i="10" s="1"/>
  <c r="R161" i="10"/>
  <c r="AL161" i="10" s="1"/>
  <c r="AN161" i="10" s="1"/>
  <c r="W161" i="10"/>
  <c r="AP161" i="10" s="1"/>
  <c r="AR161" i="10" s="1"/>
  <c r="AV161" i="10"/>
  <c r="AJ161" i="10"/>
  <c r="AX161" i="10" s="1"/>
  <c r="BE176" i="10" l="1"/>
  <c r="BM176" i="10"/>
  <c r="R174" i="10"/>
  <c r="AL174" i="10" s="1"/>
  <c r="AN174" i="10" s="1"/>
  <c r="BA174" i="10" s="1"/>
  <c r="BA171" i="10"/>
  <c r="BA173" i="10"/>
  <c r="BA166" i="10"/>
  <c r="BA170" i="10"/>
  <c r="BA163" i="10"/>
  <c r="BA168" i="10"/>
  <c r="BA178" i="10"/>
  <c r="BA164" i="10"/>
  <c r="BA175" i="10"/>
  <c r="BA165" i="10"/>
  <c r="BA167" i="10"/>
  <c r="BA169" i="10"/>
  <c r="BA176" i="10"/>
  <c r="BA161" i="10"/>
  <c r="BA162" i="10"/>
  <c r="BA172" i="10"/>
  <c r="BB175" i="10"/>
  <c r="BD175" i="10" s="1"/>
  <c r="BB174" i="10"/>
  <c r="BD174" i="10" s="1"/>
  <c r="BB177" i="10"/>
  <c r="BD177" i="10" s="1"/>
  <c r="BB178" i="10"/>
  <c r="BD178" i="10" s="1"/>
  <c r="AZ176" i="10"/>
  <c r="AR177" i="10"/>
  <c r="BA177" i="10" s="1"/>
  <c r="BB172" i="10"/>
  <c r="BD172" i="10" s="1"/>
  <c r="BB173" i="10"/>
  <c r="BD173" i="10" s="1"/>
  <c r="BB169" i="10"/>
  <c r="BD169" i="10" s="1"/>
  <c r="AZ175" i="10"/>
  <c r="BB170" i="10"/>
  <c r="BD170" i="10" s="1"/>
  <c r="AZ174" i="10"/>
  <c r="BB168" i="10"/>
  <c r="BD168" i="10" s="1"/>
  <c r="BB167" i="10"/>
  <c r="BD167" i="10" s="1"/>
  <c r="BB171" i="10"/>
  <c r="BD171" i="10" s="1"/>
  <c r="AZ169" i="10"/>
  <c r="BB164" i="10"/>
  <c r="BD164" i="10" s="1"/>
  <c r="BB163" i="10"/>
  <c r="BD163" i="10" s="1"/>
  <c r="AZ163" i="10"/>
  <c r="AZ164" i="10"/>
  <c r="BB166" i="10"/>
  <c r="BD166" i="10" s="1"/>
  <c r="BB165" i="10"/>
  <c r="BD165" i="10" s="1"/>
  <c r="BB162" i="10"/>
  <c r="BD162" i="10" s="1"/>
  <c r="BB161" i="10"/>
  <c r="BD161" i="10" s="1"/>
  <c r="AZ161" i="10"/>
  <c r="E160" i="10"/>
  <c r="H160" i="10"/>
  <c r="BH160" i="10" s="1"/>
  <c r="I160" i="10"/>
  <c r="J160" i="10"/>
  <c r="K160" i="10"/>
  <c r="L160" i="10"/>
  <c r="M160" i="10" s="1"/>
  <c r="P160" i="10"/>
  <c r="U160" i="10" s="1"/>
  <c r="Q160" i="10"/>
  <c r="AK160" i="10" s="1"/>
  <c r="Z160" i="10"/>
  <c r="AA160" i="10"/>
  <c r="AS160" i="10" s="1"/>
  <c r="AB160" i="10"/>
  <c r="AT160" i="10" s="1"/>
  <c r="AH160" i="10"/>
  <c r="AI160" i="10" s="1"/>
  <c r="AM160" i="10"/>
  <c r="AQ160" i="10"/>
  <c r="AU160" i="10"/>
  <c r="AY160" i="10"/>
  <c r="BG160" i="10" s="1"/>
  <c r="BF160" i="10"/>
  <c r="BJ160" i="10"/>
  <c r="E159" i="10"/>
  <c r="H159" i="10"/>
  <c r="BH159" i="10" s="1"/>
  <c r="I159" i="10"/>
  <c r="J159" i="10"/>
  <c r="K159" i="10"/>
  <c r="L159" i="10"/>
  <c r="M159" i="10" s="1"/>
  <c r="P159" i="10"/>
  <c r="U159" i="10" s="1"/>
  <c r="V159" i="10" s="1"/>
  <c r="AO159" i="10" s="1"/>
  <c r="Q159" i="10"/>
  <c r="AK159" i="10" s="1"/>
  <c r="Z159" i="10"/>
  <c r="AA159" i="10"/>
  <c r="AS159" i="10" s="1"/>
  <c r="AB159" i="10"/>
  <c r="AT159" i="10" s="1"/>
  <c r="AH159" i="10"/>
  <c r="AI159" i="10" s="1"/>
  <c r="AW159" i="10" s="1"/>
  <c r="AM159" i="10"/>
  <c r="AQ159" i="10"/>
  <c r="AU159" i="10"/>
  <c r="AY159" i="10"/>
  <c r="BG159" i="10" s="1"/>
  <c r="BF159" i="10"/>
  <c r="BJ159" i="10"/>
  <c r="E158" i="10"/>
  <c r="H158" i="10"/>
  <c r="BH158" i="10" s="1"/>
  <c r="I158" i="10"/>
  <c r="J158" i="10"/>
  <c r="K158" i="10"/>
  <c r="L158" i="10"/>
  <c r="M158" i="10" s="1"/>
  <c r="P158" i="10"/>
  <c r="U158" i="10" s="1"/>
  <c r="Q158" i="10"/>
  <c r="AK158" i="10" s="1"/>
  <c r="Z158" i="10"/>
  <c r="AA158" i="10"/>
  <c r="AS158" i="10" s="1"/>
  <c r="AB158" i="10"/>
  <c r="AT158" i="10" s="1"/>
  <c r="AH158" i="10"/>
  <c r="AI158" i="10" s="1"/>
  <c r="AW158" i="10" s="1"/>
  <c r="AM158" i="10"/>
  <c r="AQ158" i="10"/>
  <c r="AU158" i="10"/>
  <c r="AY158" i="10"/>
  <c r="BG158" i="10" s="1"/>
  <c r="BF158" i="10"/>
  <c r="BJ158" i="10"/>
  <c r="E157" i="10"/>
  <c r="H157" i="10"/>
  <c r="BH157" i="10" s="1"/>
  <c r="I157" i="10"/>
  <c r="J157" i="10"/>
  <c r="K157" i="10"/>
  <c r="L157" i="10"/>
  <c r="M157" i="10" s="1"/>
  <c r="P157" i="10"/>
  <c r="U157" i="10" s="1"/>
  <c r="V157" i="10" s="1"/>
  <c r="AO157" i="10" s="1"/>
  <c r="Q157" i="10"/>
  <c r="AK157" i="10" s="1"/>
  <c r="Z157" i="10"/>
  <c r="AA157" i="10"/>
  <c r="AS157" i="10" s="1"/>
  <c r="AB157" i="10"/>
  <c r="AT157" i="10" s="1"/>
  <c r="AH157" i="10"/>
  <c r="AI157" i="10" s="1"/>
  <c r="AW157" i="10" s="1"/>
  <c r="AM157" i="10"/>
  <c r="AQ157" i="10"/>
  <c r="AU157" i="10"/>
  <c r="AY157" i="10"/>
  <c r="BG157" i="10" s="1"/>
  <c r="BF157" i="10"/>
  <c r="BJ157" i="10"/>
  <c r="BE162" i="10" l="1"/>
  <c r="BM162" i="10"/>
  <c r="BE165" i="10"/>
  <c r="BM165" i="10"/>
  <c r="BE178" i="10"/>
  <c r="BM178" i="10"/>
  <c r="BE164" i="10"/>
  <c r="BM164" i="10"/>
  <c r="BE166" i="10"/>
  <c r="BM166" i="10"/>
  <c r="BE171" i="10"/>
  <c r="BM171" i="10"/>
  <c r="BE169" i="10"/>
  <c r="BM169" i="10"/>
  <c r="BE177" i="10"/>
  <c r="BM177" i="10"/>
  <c r="BE167" i="10"/>
  <c r="BM167" i="10"/>
  <c r="BE173" i="10"/>
  <c r="BM173" i="10"/>
  <c r="BE174" i="10"/>
  <c r="BM174" i="10"/>
  <c r="BE170" i="10"/>
  <c r="BM170" i="10"/>
  <c r="BE168" i="10"/>
  <c r="BM168" i="10"/>
  <c r="BE172" i="10"/>
  <c r="BM172" i="10"/>
  <c r="BE175" i="10"/>
  <c r="BM175" i="10"/>
  <c r="BE161" i="10"/>
  <c r="BM161" i="10"/>
  <c r="BE163" i="10"/>
  <c r="BM163" i="10"/>
  <c r="W160" i="10"/>
  <c r="AP160" i="10" s="1"/>
  <c r="AR160" i="10" s="1"/>
  <c r="W158" i="10"/>
  <c r="AP158" i="10" s="1"/>
  <c r="AR158" i="10" s="1"/>
  <c r="V158" i="10"/>
  <c r="AO158" i="10" s="1"/>
  <c r="V160" i="10"/>
  <c r="AO160" i="10" s="1"/>
  <c r="W159" i="10"/>
  <c r="AP159" i="10" s="1"/>
  <c r="AR159" i="10" s="1"/>
  <c r="AV159" i="10"/>
  <c r="AV158" i="10"/>
  <c r="W157" i="10"/>
  <c r="AP157" i="10" s="1"/>
  <c r="AR157" i="10" s="1"/>
  <c r="AJ159" i="10"/>
  <c r="AX159" i="10" s="1"/>
  <c r="AZ159" i="10" s="1"/>
  <c r="R160" i="10"/>
  <c r="AL160" i="10" s="1"/>
  <c r="AN160" i="10" s="1"/>
  <c r="R157" i="10"/>
  <c r="AL157" i="10" s="1"/>
  <c r="AN157" i="10" s="1"/>
  <c r="AJ158" i="10"/>
  <c r="AX158" i="10" s="1"/>
  <c r="AZ158" i="10" s="1"/>
  <c r="AV160" i="10"/>
  <c r="AJ157" i="10"/>
  <c r="AX157" i="10" s="1"/>
  <c r="R159" i="10"/>
  <c r="AL159" i="10" s="1"/>
  <c r="AN159" i="10" s="1"/>
  <c r="AJ160" i="10"/>
  <c r="AX160" i="10" s="1"/>
  <c r="AZ160" i="10" s="1"/>
  <c r="AV157" i="10"/>
  <c r="R158" i="10"/>
  <c r="AL158" i="10" s="1"/>
  <c r="AN158" i="10" s="1"/>
  <c r="AW160" i="10"/>
  <c r="BA157" i="10" l="1"/>
  <c r="BA159" i="10"/>
  <c r="BA160" i="10"/>
  <c r="BA158" i="10"/>
  <c r="BB159" i="10"/>
  <c r="BD159" i="10" s="1"/>
  <c r="BB157" i="10"/>
  <c r="BD157" i="10" s="1"/>
  <c r="BB158" i="10"/>
  <c r="BD158" i="10" s="1"/>
  <c r="AZ157" i="10"/>
  <c r="BB160" i="10"/>
  <c r="BD160" i="10" s="1"/>
  <c r="E156" i="10"/>
  <c r="H156" i="10"/>
  <c r="BH156" i="10" s="1"/>
  <c r="I156" i="10"/>
  <c r="R156" i="10" s="1"/>
  <c r="AL156" i="10" s="1"/>
  <c r="J156" i="10"/>
  <c r="K156" i="10"/>
  <c r="L156" i="10"/>
  <c r="M156" i="10" s="1"/>
  <c r="P156" i="10"/>
  <c r="U156" i="10" s="1"/>
  <c r="V156" i="10" s="1"/>
  <c r="AO156" i="10" s="1"/>
  <c r="AK156" i="10"/>
  <c r="Z156" i="10"/>
  <c r="AA156" i="10"/>
  <c r="AS156" i="10" s="1"/>
  <c r="AB156" i="10"/>
  <c r="AT156" i="10" s="1"/>
  <c r="AH156" i="10"/>
  <c r="AI156" i="10" s="1"/>
  <c r="AW156" i="10" s="1"/>
  <c r="AM156" i="10"/>
  <c r="AQ156" i="10"/>
  <c r="AU156" i="10"/>
  <c r="AY156" i="10"/>
  <c r="BG156" i="10" s="1"/>
  <c r="BF156" i="10"/>
  <c r="BJ156" i="10"/>
  <c r="E155" i="10"/>
  <c r="H155" i="10"/>
  <c r="BH155" i="10" s="1"/>
  <c r="I155" i="10"/>
  <c r="J155" i="10"/>
  <c r="K155" i="10"/>
  <c r="L155" i="10"/>
  <c r="M155" i="10" s="1"/>
  <c r="P155" i="10"/>
  <c r="U155" i="10" s="1"/>
  <c r="Q155" i="10"/>
  <c r="AK155" i="10" s="1"/>
  <c r="Z155" i="10"/>
  <c r="AA155" i="10"/>
  <c r="AS155" i="10" s="1"/>
  <c r="AB155" i="10"/>
  <c r="AT155" i="10" s="1"/>
  <c r="AH155" i="10"/>
  <c r="AI155" i="10" s="1"/>
  <c r="AW155" i="10" s="1"/>
  <c r="AM155" i="10"/>
  <c r="AQ155" i="10"/>
  <c r="AU155" i="10"/>
  <c r="AY155" i="10"/>
  <c r="BG155" i="10" s="1"/>
  <c r="BF155" i="10"/>
  <c r="BJ155" i="10"/>
  <c r="BI154" i="10"/>
  <c r="E154" i="10"/>
  <c r="H154" i="10"/>
  <c r="BH154" i="10" s="1"/>
  <c r="I154" i="10"/>
  <c r="J154" i="10"/>
  <c r="K154" i="10"/>
  <c r="L154" i="10"/>
  <c r="M154" i="10" s="1"/>
  <c r="P154" i="10"/>
  <c r="U154" i="10" s="1"/>
  <c r="Q154" i="10"/>
  <c r="AK154" i="10" s="1"/>
  <c r="Z154" i="10"/>
  <c r="AA154" i="10"/>
  <c r="AS154" i="10" s="1"/>
  <c r="AB154" i="10"/>
  <c r="AT154" i="10" s="1"/>
  <c r="AH154" i="10"/>
  <c r="AI154" i="10" s="1"/>
  <c r="AW154" i="10" s="1"/>
  <c r="AM154" i="10"/>
  <c r="AQ154" i="10"/>
  <c r="AU154" i="10"/>
  <c r="AY154" i="10"/>
  <c r="BG154" i="10" s="1"/>
  <c r="BF154" i="10"/>
  <c r="BJ154" i="10"/>
  <c r="E153" i="10"/>
  <c r="H153" i="10"/>
  <c r="BH153" i="10" s="1"/>
  <c r="I153" i="10"/>
  <c r="J153" i="10"/>
  <c r="K153" i="10"/>
  <c r="L153" i="10"/>
  <c r="M153" i="10" s="1"/>
  <c r="P153" i="10"/>
  <c r="U153" i="10" s="1"/>
  <c r="V153" i="10" s="1"/>
  <c r="AO153" i="10" s="1"/>
  <c r="Q153" i="10"/>
  <c r="AK153" i="10" s="1"/>
  <c r="Z153" i="10"/>
  <c r="AA153" i="10"/>
  <c r="AS153" i="10" s="1"/>
  <c r="AB153" i="10"/>
  <c r="AT153" i="10" s="1"/>
  <c r="AH153" i="10"/>
  <c r="AI153" i="10" s="1"/>
  <c r="AM153" i="10"/>
  <c r="AQ153" i="10"/>
  <c r="AU153" i="10"/>
  <c r="AY153" i="10"/>
  <c r="BG153" i="10" s="1"/>
  <c r="BF153" i="10"/>
  <c r="BJ153" i="10"/>
  <c r="E152" i="10"/>
  <c r="H152" i="10"/>
  <c r="BH152" i="10" s="1"/>
  <c r="I152" i="10"/>
  <c r="J152" i="10"/>
  <c r="K152" i="10"/>
  <c r="L152" i="10"/>
  <c r="M152" i="10" s="1"/>
  <c r="P152" i="10"/>
  <c r="U152" i="10" s="1"/>
  <c r="Q152" i="10"/>
  <c r="AK152" i="10" s="1"/>
  <c r="Z152" i="10"/>
  <c r="AA152" i="10"/>
  <c r="AS152" i="10" s="1"/>
  <c r="AB152" i="10"/>
  <c r="AT152" i="10" s="1"/>
  <c r="AH152" i="10"/>
  <c r="AI152" i="10" s="1"/>
  <c r="AW152" i="10" s="1"/>
  <c r="AM152" i="10"/>
  <c r="AQ152" i="10"/>
  <c r="AU152" i="10"/>
  <c r="AY152" i="10"/>
  <c r="BG152" i="10" s="1"/>
  <c r="BF152" i="10"/>
  <c r="BJ152" i="10"/>
  <c r="E151" i="10"/>
  <c r="H151" i="10"/>
  <c r="BH151" i="10" s="1"/>
  <c r="I151" i="10"/>
  <c r="J151" i="10"/>
  <c r="K151" i="10"/>
  <c r="L151" i="10"/>
  <c r="M151" i="10" s="1"/>
  <c r="P151" i="10" s="1"/>
  <c r="U151" i="10" s="1"/>
  <c r="Z151" i="10"/>
  <c r="AA151" i="10"/>
  <c r="AS151" i="10" s="1"/>
  <c r="AB151" i="10"/>
  <c r="AT151" i="10" s="1"/>
  <c r="AH151" i="10"/>
  <c r="AI151" i="10" s="1"/>
  <c r="AM151" i="10"/>
  <c r="AQ151" i="10"/>
  <c r="AU151" i="10"/>
  <c r="AY151" i="10"/>
  <c r="BG151" i="10" s="1"/>
  <c r="BF151" i="10"/>
  <c r="BJ151" i="10"/>
  <c r="E150" i="10"/>
  <c r="H150" i="10"/>
  <c r="BH150" i="10" s="1"/>
  <c r="I150" i="10"/>
  <c r="J150" i="10"/>
  <c r="K150" i="10"/>
  <c r="L150" i="10"/>
  <c r="M150" i="10" s="1"/>
  <c r="P150" i="10" s="1"/>
  <c r="U150" i="10" s="1"/>
  <c r="V150" i="10" s="1"/>
  <c r="AO150" i="10" s="1"/>
  <c r="Q150" i="10"/>
  <c r="AK150" i="10" s="1"/>
  <c r="Z150" i="10"/>
  <c r="AA150" i="10"/>
  <c r="AS150" i="10" s="1"/>
  <c r="AB150" i="10"/>
  <c r="AT150" i="10" s="1"/>
  <c r="AH150" i="10"/>
  <c r="AI150" i="10" s="1"/>
  <c r="AW150" i="10" s="1"/>
  <c r="AM150" i="10"/>
  <c r="AQ150" i="10"/>
  <c r="AU150" i="10"/>
  <c r="AY150" i="10"/>
  <c r="BG150" i="10" s="1"/>
  <c r="BF150" i="10"/>
  <c r="BJ150" i="10"/>
  <c r="E149" i="10"/>
  <c r="H149" i="10"/>
  <c r="BH149" i="10" s="1"/>
  <c r="I149" i="10"/>
  <c r="J149" i="10"/>
  <c r="K149" i="10"/>
  <c r="L149" i="10"/>
  <c r="M149" i="10" s="1"/>
  <c r="P149" i="10" s="1"/>
  <c r="U149" i="10" s="1"/>
  <c r="Z149" i="10"/>
  <c r="AA149" i="10"/>
  <c r="AS149" i="10" s="1"/>
  <c r="AB149" i="10"/>
  <c r="AT149" i="10" s="1"/>
  <c r="AH149" i="10"/>
  <c r="AI149" i="10" s="1"/>
  <c r="AW149" i="10" s="1"/>
  <c r="AM149" i="10"/>
  <c r="AQ149" i="10"/>
  <c r="AU149" i="10"/>
  <c r="AY149" i="10"/>
  <c r="BG149" i="10" s="1"/>
  <c r="BF149" i="10"/>
  <c r="BJ149" i="10"/>
  <c r="E148" i="10"/>
  <c r="H148" i="10"/>
  <c r="BH148" i="10" s="1"/>
  <c r="I148" i="10"/>
  <c r="J148" i="10"/>
  <c r="K148" i="10"/>
  <c r="L148" i="10"/>
  <c r="M148" i="10" s="1"/>
  <c r="P148" i="10"/>
  <c r="U148" i="10" s="1"/>
  <c r="V148" i="10" s="1"/>
  <c r="AO148" i="10" s="1"/>
  <c r="Q148" i="10"/>
  <c r="AK148" i="10" s="1"/>
  <c r="Z148" i="10"/>
  <c r="AA148" i="10"/>
  <c r="AS148" i="10" s="1"/>
  <c r="AB148" i="10"/>
  <c r="AT148" i="10" s="1"/>
  <c r="AH148" i="10"/>
  <c r="AI148" i="10" s="1"/>
  <c r="AW148" i="10" s="1"/>
  <c r="AM148" i="10"/>
  <c r="AQ148" i="10"/>
  <c r="AU148" i="10"/>
  <c r="AY148" i="10"/>
  <c r="BG148" i="10" s="1"/>
  <c r="BF148" i="10"/>
  <c r="BJ148" i="10"/>
  <c r="S144" i="10"/>
  <c r="S147" i="10"/>
  <c r="L147" i="10" s="1"/>
  <c r="M147" i="10" s="1"/>
  <c r="S146" i="10"/>
  <c r="E147" i="10"/>
  <c r="H147" i="10"/>
  <c r="BH147" i="10" s="1"/>
  <c r="I147" i="10"/>
  <c r="J147" i="10"/>
  <c r="K147" i="10"/>
  <c r="P147" i="10"/>
  <c r="U147" i="10" s="1"/>
  <c r="Q147" i="10"/>
  <c r="AK147" i="10" s="1"/>
  <c r="Z147" i="10"/>
  <c r="AA147" i="10"/>
  <c r="AS147" i="10" s="1"/>
  <c r="AB147" i="10"/>
  <c r="AT147" i="10" s="1"/>
  <c r="AH147" i="10"/>
  <c r="AI147" i="10" s="1"/>
  <c r="AW147" i="10" s="1"/>
  <c r="AM147" i="10"/>
  <c r="AQ147" i="10"/>
  <c r="AU147" i="10"/>
  <c r="AY147" i="10"/>
  <c r="BG147" i="10" s="1"/>
  <c r="BF147" i="10"/>
  <c r="BJ147" i="10"/>
  <c r="AY144" i="10"/>
  <c r="BE159" i="10" l="1"/>
  <c r="BM159" i="10"/>
  <c r="BE160" i="10"/>
  <c r="BM160" i="10"/>
  <c r="BE157" i="10"/>
  <c r="BM157" i="10"/>
  <c r="BE158" i="10"/>
  <c r="BM158" i="10"/>
  <c r="Q151" i="10"/>
  <c r="AK151" i="10" s="1"/>
  <c r="AJ153" i="10"/>
  <c r="AX153" i="10" s="1"/>
  <c r="AZ153" i="10" s="1"/>
  <c r="W154" i="10"/>
  <c r="AP154" i="10" s="1"/>
  <c r="AR154" i="10" s="1"/>
  <c r="R155" i="10"/>
  <c r="AL155" i="10" s="1"/>
  <c r="AN155" i="10" s="1"/>
  <c r="V154" i="10"/>
  <c r="AO154" i="10" s="1"/>
  <c r="W156" i="10"/>
  <c r="AP156" i="10" s="1"/>
  <c r="AR156" i="10" s="1"/>
  <c r="AJ156" i="10"/>
  <c r="AX156" i="10" s="1"/>
  <c r="W155" i="10"/>
  <c r="AP155" i="10" s="1"/>
  <c r="AR155" i="10" s="1"/>
  <c r="V155" i="10"/>
  <c r="AO155" i="10" s="1"/>
  <c r="AN156" i="10"/>
  <c r="R153" i="10"/>
  <c r="AL153" i="10" s="1"/>
  <c r="AN153" i="10" s="1"/>
  <c r="AJ154" i="10"/>
  <c r="AX154" i="10" s="1"/>
  <c r="AZ154" i="10" s="1"/>
  <c r="AJ155" i="10"/>
  <c r="AX155" i="10" s="1"/>
  <c r="AV156" i="10"/>
  <c r="AV155" i="10"/>
  <c r="AV154" i="10"/>
  <c r="W153" i="10"/>
  <c r="AP153" i="10" s="1"/>
  <c r="AR153" i="10" s="1"/>
  <c r="AV153" i="10"/>
  <c r="R154" i="10"/>
  <c r="AL154" i="10" s="1"/>
  <c r="AN154" i="10" s="1"/>
  <c r="AW153" i="10"/>
  <c r="R148" i="10"/>
  <c r="AL148" i="10" s="1"/>
  <c r="AN148" i="10" s="1"/>
  <c r="W148" i="10"/>
  <c r="AP148" i="10" s="1"/>
  <c r="AR148" i="10" s="1"/>
  <c r="Q149" i="10"/>
  <c r="AK149" i="10" s="1"/>
  <c r="W150" i="10"/>
  <c r="AP150" i="10" s="1"/>
  <c r="AR150" i="10" s="1"/>
  <c r="V152" i="10"/>
  <c r="AO152" i="10" s="1"/>
  <c r="W152" i="10"/>
  <c r="AP152" i="10" s="1"/>
  <c r="AR152" i="10" s="1"/>
  <c r="AJ147" i="10"/>
  <c r="AX147" i="10" s="1"/>
  <c r="AZ147" i="10" s="1"/>
  <c r="AV152" i="10"/>
  <c r="V151" i="10"/>
  <c r="AO151" i="10" s="1"/>
  <c r="W151" i="10"/>
  <c r="AP151" i="10" s="1"/>
  <c r="AR151" i="10" s="1"/>
  <c r="V149" i="10"/>
  <c r="AO149" i="10" s="1"/>
  <c r="W149" i="10"/>
  <c r="AP149" i="10" s="1"/>
  <c r="AR149" i="10" s="1"/>
  <c r="AJ152" i="10"/>
  <c r="AX152" i="10" s="1"/>
  <c r="AZ152" i="10" s="1"/>
  <c r="AJ151" i="10"/>
  <c r="AX151" i="10" s="1"/>
  <c r="AW151" i="10"/>
  <c r="AJ148" i="10"/>
  <c r="AX148" i="10" s="1"/>
  <c r="AZ148" i="10" s="1"/>
  <c r="R150" i="10"/>
  <c r="AL150" i="10" s="1"/>
  <c r="AN150" i="10" s="1"/>
  <c r="R152" i="10"/>
  <c r="AL152" i="10" s="1"/>
  <c r="AN152" i="10" s="1"/>
  <c r="AV151" i="10"/>
  <c r="AV150" i="10"/>
  <c r="AV148" i="10"/>
  <c r="AV149" i="10"/>
  <c r="AJ150" i="10"/>
  <c r="AX150" i="10" s="1"/>
  <c r="AJ149" i="10"/>
  <c r="AX149" i="10" s="1"/>
  <c r="AV147" i="10"/>
  <c r="V147" i="10"/>
  <c r="AO147" i="10" s="1"/>
  <c r="W147" i="10"/>
  <c r="AP147" i="10" s="1"/>
  <c r="AR147" i="10" s="1"/>
  <c r="R147" i="10"/>
  <c r="AL147" i="10" s="1"/>
  <c r="AN147" i="10" s="1"/>
  <c r="BA152" i="10" l="1"/>
  <c r="BA150" i="10"/>
  <c r="BA148" i="10"/>
  <c r="BA154" i="10"/>
  <c r="BA155" i="10"/>
  <c r="BA153" i="10"/>
  <c r="BA147" i="10"/>
  <c r="BA156" i="10"/>
  <c r="R151" i="10"/>
  <c r="AL151" i="10" s="1"/>
  <c r="AN151" i="10" s="1"/>
  <c r="BA151" i="10" s="1"/>
  <c r="R149" i="10"/>
  <c r="AL149" i="10" s="1"/>
  <c r="AN149" i="10" s="1"/>
  <c r="BA149" i="10" s="1"/>
  <c r="BB155" i="10"/>
  <c r="BD155" i="10" s="1"/>
  <c r="BB156" i="10"/>
  <c r="BD156" i="10" s="1"/>
  <c r="AZ156" i="10"/>
  <c r="BB153" i="10"/>
  <c r="BD153" i="10" s="1"/>
  <c r="BB154" i="10"/>
  <c r="BD154" i="10" s="1"/>
  <c r="AZ155" i="10"/>
  <c r="BB149" i="10"/>
  <c r="BD149" i="10" s="1"/>
  <c r="BB152" i="10"/>
  <c r="BD152" i="10" s="1"/>
  <c r="BB151" i="10"/>
  <c r="BD151" i="10" s="1"/>
  <c r="BB148" i="10"/>
  <c r="BD148" i="10" s="1"/>
  <c r="BB150" i="10"/>
  <c r="BD150" i="10" s="1"/>
  <c r="AZ149" i="10"/>
  <c r="AZ151" i="10"/>
  <c r="AZ150" i="10"/>
  <c r="BB147" i="10"/>
  <c r="BD147" i="10" s="1"/>
  <c r="F146" i="10"/>
  <c r="BE156" i="10" l="1"/>
  <c r="BM156" i="10"/>
  <c r="BE155" i="10"/>
  <c r="BM155" i="10"/>
  <c r="BE149" i="10"/>
  <c r="BM149" i="10"/>
  <c r="BE150" i="10"/>
  <c r="BM150" i="10"/>
  <c r="BE153" i="10"/>
  <c r="BM153" i="10"/>
  <c r="BE152" i="10"/>
  <c r="BM152" i="10"/>
  <c r="BE154" i="10"/>
  <c r="BM154" i="10"/>
  <c r="BE148" i="10"/>
  <c r="BM148" i="10"/>
  <c r="BE147" i="10"/>
  <c r="BM147" i="10"/>
  <c r="BE151" i="10"/>
  <c r="BM151" i="10"/>
  <c r="AC145" i="10"/>
  <c r="BF143" i="10" l="1"/>
  <c r="AC143" i="10"/>
  <c r="E146" i="10" l="1"/>
  <c r="H146" i="10"/>
  <c r="BH146" i="10" s="1"/>
  <c r="I146" i="10"/>
  <c r="J146" i="10"/>
  <c r="K146" i="10"/>
  <c r="L146" i="10"/>
  <c r="M146" i="10" s="1"/>
  <c r="P146" i="10"/>
  <c r="U146" i="10" s="1"/>
  <c r="Q146" i="10"/>
  <c r="AK146" i="10" s="1"/>
  <c r="Z146" i="10"/>
  <c r="AA146" i="10"/>
  <c r="AS146" i="10" s="1"/>
  <c r="AB146" i="10"/>
  <c r="AT146" i="10" s="1"/>
  <c r="AH146" i="10"/>
  <c r="AI146" i="10" s="1"/>
  <c r="AM146" i="10"/>
  <c r="AQ146" i="10"/>
  <c r="AU146" i="10"/>
  <c r="AY146" i="10"/>
  <c r="BG146" i="10" s="1"/>
  <c r="BF146" i="10"/>
  <c r="BJ146" i="10"/>
  <c r="E145" i="10"/>
  <c r="H145" i="10"/>
  <c r="BH145" i="10" s="1"/>
  <c r="I145" i="10"/>
  <c r="J145" i="10"/>
  <c r="K145" i="10"/>
  <c r="L145" i="10"/>
  <c r="M145" i="10" s="1"/>
  <c r="P145" i="10"/>
  <c r="U145" i="10" s="1"/>
  <c r="V145" i="10" s="1"/>
  <c r="AO145" i="10" s="1"/>
  <c r="Q145" i="10"/>
  <c r="AK145" i="10" s="1"/>
  <c r="Z145" i="10"/>
  <c r="AA145" i="10"/>
  <c r="AS145" i="10" s="1"/>
  <c r="AB145" i="10"/>
  <c r="AT145" i="10" s="1"/>
  <c r="AH145" i="10"/>
  <c r="AI145" i="10" s="1"/>
  <c r="AW145" i="10" s="1"/>
  <c r="AM145" i="10"/>
  <c r="AQ145" i="10"/>
  <c r="AU145" i="10"/>
  <c r="AY145" i="10"/>
  <c r="BG145" i="10" s="1"/>
  <c r="BF145" i="10"/>
  <c r="BJ145" i="10"/>
  <c r="E144" i="10"/>
  <c r="H144" i="10"/>
  <c r="BH144" i="10" s="1"/>
  <c r="I144" i="10"/>
  <c r="J144" i="10"/>
  <c r="K144" i="10"/>
  <c r="L144" i="10"/>
  <c r="M144" i="10" s="1"/>
  <c r="P144" i="10"/>
  <c r="U144" i="10" s="1"/>
  <c r="V144" i="10" s="1"/>
  <c r="AO144" i="10" s="1"/>
  <c r="Q144" i="10"/>
  <c r="AK144" i="10" s="1"/>
  <c r="Z144" i="10"/>
  <c r="AA144" i="10"/>
  <c r="AS144" i="10" s="1"/>
  <c r="AB144" i="10"/>
  <c r="AT144" i="10" s="1"/>
  <c r="AH144" i="10"/>
  <c r="AI144" i="10" s="1"/>
  <c r="AW144" i="10" s="1"/>
  <c r="AM144" i="10"/>
  <c r="AQ144" i="10"/>
  <c r="AU144" i="10"/>
  <c r="BG144" i="10"/>
  <c r="BF144" i="10"/>
  <c r="BJ144" i="10"/>
  <c r="E143" i="10"/>
  <c r="H143" i="10"/>
  <c r="BH143" i="10" s="1"/>
  <c r="I143" i="10"/>
  <c r="J143" i="10"/>
  <c r="K143" i="10"/>
  <c r="L143" i="10"/>
  <c r="M143" i="10" s="1"/>
  <c r="P143" i="10"/>
  <c r="U143" i="10" s="1"/>
  <c r="Q143" i="10"/>
  <c r="AK143" i="10" s="1"/>
  <c r="Z143" i="10"/>
  <c r="AA143" i="10"/>
  <c r="AS143" i="10" s="1"/>
  <c r="AB143" i="10"/>
  <c r="AT143" i="10" s="1"/>
  <c r="AH143" i="10"/>
  <c r="AI143" i="10" s="1"/>
  <c r="AW143" i="10" s="1"/>
  <c r="AM143" i="10"/>
  <c r="AQ143" i="10"/>
  <c r="AU143" i="10"/>
  <c r="AY143" i="10"/>
  <c r="BG143" i="10" s="1"/>
  <c r="BJ143" i="10"/>
  <c r="BI139" i="10"/>
  <c r="R146" i="10" l="1"/>
  <c r="AL146" i="10" s="1"/>
  <c r="AN146" i="10" s="1"/>
  <c r="R143" i="10"/>
  <c r="AL143" i="10" s="1"/>
  <c r="AN143" i="10" s="1"/>
  <c r="W144" i="10"/>
  <c r="AP144" i="10" s="1"/>
  <c r="AR144" i="10" s="1"/>
  <c r="AV145" i="10"/>
  <c r="V143" i="10"/>
  <c r="AO143" i="10" s="1"/>
  <c r="W143" i="10"/>
  <c r="AP143" i="10" s="1"/>
  <c r="AR143" i="10" s="1"/>
  <c r="R144" i="10"/>
  <c r="AL144" i="10" s="1"/>
  <c r="AN144" i="10" s="1"/>
  <c r="AJ146" i="10"/>
  <c r="AX146" i="10" s="1"/>
  <c r="AZ146" i="10" s="1"/>
  <c r="AV146" i="10"/>
  <c r="W145" i="10"/>
  <c r="AP145" i="10" s="1"/>
  <c r="AR145" i="10" s="1"/>
  <c r="W146" i="10"/>
  <c r="AP146" i="10" s="1"/>
  <c r="V146" i="10"/>
  <c r="AO146" i="10" s="1"/>
  <c r="AJ145" i="10"/>
  <c r="AX145" i="10" s="1"/>
  <c r="AZ145" i="10" s="1"/>
  <c r="R145" i="10"/>
  <c r="AL145" i="10" s="1"/>
  <c r="AN145" i="10" s="1"/>
  <c r="AJ143" i="10"/>
  <c r="AX143" i="10" s="1"/>
  <c r="AZ143" i="10" s="1"/>
  <c r="AJ144" i="10"/>
  <c r="AX144" i="10" s="1"/>
  <c r="AV143" i="10"/>
  <c r="AW146" i="10"/>
  <c r="AV144" i="10"/>
  <c r="AC140" i="10"/>
  <c r="BA143" i="10" l="1"/>
  <c r="BA144" i="10"/>
  <c r="BA145" i="10"/>
  <c r="BB144" i="10"/>
  <c r="BD144" i="10" s="1"/>
  <c r="BB146" i="10"/>
  <c r="BD146" i="10" s="1"/>
  <c r="AR146" i="10"/>
  <c r="BA146" i="10" s="1"/>
  <c r="BB145" i="10"/>
  <c r="BD145" i="10" s="1"/>
  <c r="BB143" i="10"/>
  <c r="BD143" i="10" s="1"/>
  <c r="AZ144" i="10"/>
  <c r="S138" i="10"/>
  <c r="BE146" i="10" l="1"/>
  <c r="BM146" i="10"/>
  <c r="BE143" i="10"/>
  <c r="BM143" i="10"/>
  <c r="BE144" i="10"/>
  <c r="BM144" i="10"/>
  <c r="BE145" i="10"/>
  <c r="BM145" i="10"/>
  <c r="AC138" i="10"/>
  <c r="AH138" i="10" s="1"/>
  <c r="AI138" i="10" s="1"/>
  <c r="AW138" i="10" s="1"/>
  <c r="E142" i="10"/>
  <c r="H142" i="10"/>
  <c r="BH142" i="10" s="1"/>
  <c r="I142" i="10"/>
  <c r="J142" i="10"/>
  <c r="K142" i="10"/>
  <c r="L142" i="10"/>
  <c r="M142" i="10" s="1"/>
  <c r="P142" i="10"/>
  <c r="U142" i="10" s="1"/>
  <c r="V142" i="10" s="1"/>
  <c r="AO142" i="10" s="1"/>
  <c r="Q142" i="10"/>
  <c r="AK142" i="10" s="1"/>
  <c r="Z142" i="10"/>
  <c r="AA142" i="10"/>
  <c r="AS142" i="10" s="1"/>
  <c r="AB142" i="10"/>
  <c r="AT142" i="10" s="1"/>
  <c r="AH142" i="10"/>
  <c r="AI142" i="10" s="1"/>
  <c r="AW142" i="10" s="1"/>
  <c r="AM142" i="10"/>
  <c r="AQ142" i="10"/>
  <c r="AU142" i="10"/>
  <c r="AY142" i="10"/>
  <c r="BG142" i="10" s="1"/>
  <c r="BF142" i="10"/>
  <c r="BJ142" i="10"/>
  <c r="E141" i="10"/>
  <c r="H141" i="10"/>
  <c r="BH141" i="10" s="1"/>
  <c r="I141" i="10"/>
  <c r="J141" i="10"/>
  <c r="K141" i="10"/>
  <c r="L141" i="10"/>
  <c r="M141" i="10" s="1"/>
  <c r="P141" i="10"/>
  <c r="U141" i="10" s="1"/>
  <c r="Q141" i="10"/>
  <c r="AK141" i="10" s="1"/>
  <c r="Z141" i="10"/>
  <c r="AA141" i="10"/>
  <c r="AS141" i="10" s="1"/>
  <c r="AB141" i="10"/>
  <c r="AT141" i="10" s="1"/>
  <c r="AH141" i="10"/>
  <c r="AI141" i="10" s="1"/>
  <c r="AW141" i="10" s="1"/>
  <c r="AM141" i="10"/>
  <c r="AQ141" i="10"/>
  <c r="AU141" i="10"/>
  <c r="AY141" i="10"/>
  <c r="BG141" i="10" s="1"/>
  <c r="BF141" i="10"/>
  <c r="BJ141" i="10"/>
  <c r="E140" i="10"/>
  <c r="H140" i="10"/>
  <c r="BH140" i="10" s="1"/>
  <c r="I140" i="10"/>
  <c r="J140" i="10"/>
  <c r="K140" i="10"/>
  <c r="L140" i="10"/>
  <c r="M140" i="10" s="1"/>
  <c r="P140" i="10"/>
  <c r="U140" i="10" s="1"/>
  <c r="V140" i="10" s="1"/>
  <c r="AO140" i="10" s="1"/>
  <c r="Q140" i="10"/>
  <c r="AK140" i="10" s="1"/>
  <c r="Z140" i="10"/>
  <c r="AA140" i="10"/>
  <c r="AS140" i="10" s="1"/>
  <c r="AB140" i="10"/>
  <c r="AT140" i="10" s="1"/>
  <c r="AH140" i="10"/>
  <c r="AI140" i="10" s="1"/>
  <c r="AW140" i="10" s="1"/>
  <c r="AM140" i="10"/>
  <c r="AQ140" i="10"/>
  <c r="AU140" i="10"/>
  <c r="AY140" i="10"/>
  <c r="BG140" i="10" s="1"/>
  <c r="BF140" i="10"/>
  <c r="BJ140" i="10"/>
  <c r="E139" i="10"/>
  <c r="H139" i="10"/>
  <c r="BH139" i="10" s="1"/>
  <c r="I139" i="10"/>
  <c r="J139" i="10"/>
  <c r="K139" i="10"/>
  <c r="L139" i="10"/>
  <c r="M139" i="10" s="1"/>
  <c r="P139" i="10"/>
  <c r="U139" i="10" s="1"/>
  <c r="V139" i="10" s="1"/>
  <c r="AO139" i="10" s="1"/>
  <c r="Q139" i="10"/>
  <c r="AK139" i="10" s="1"/>
  <c r="Z139" i="10"/>
  <c r="AA139" i="10"/>
  <c r="AS139" i="10" s="1"/>
  <c r="AB139" i="10"/>
  <c r="AT139" i="10" s="1"/>
  <c r="AH139" i="10"/>
  <c r="AI139" i="10" s="1"/>
  <c r="AW139" i="10" s="1"/>
  <c r="AM139" i="10"/>
  <c r="AQ139" i="10"/>
  <c r="AU139" i="10"/>
  <c r="AY139" i="10"/>
  <c r="BG139" i="10" s="1"/>
  <c r="BF139" i="10"/>
  <c r="BJ139" i="10"/>
  <c r="E138" i="10"/>
  <c r="H138" i="10"/>
  <c r="BH138" i="10" s="1"/>
  <c r="I138" i="10"/>
  <c r="J138" i="10"/>
  <c r="K138" i="10"/>
  <c r="L138" i="10"/>
  <c r="M138" i="10" s="1"/>
  <c r="P138" i="10" s="1"/>
  <c r="U138" i="10" s="1"/>
  <c r="Z138" i="10"/>
  <c r="AA138" i="10"/>
  <c r="AS138" i="10" s="1"/>
  <c r="AB138" i="10"/>
  <c r="AT138" i="10" s="1"/>
  <c r="AM138" i="10"/>
  <c r="AQ138" i="10"/>
  <c r="AU138" i="10"/>
  <c r="AY138" i="10"/>
  <c r="BG138" i="10" s="1"/>
  <c r="BF138" i="10"/>
  <c r="BJ138" i="10"/>
  <c r="E137" i="10"/>
  <c r="H137" i="10"/>
  <c r="BH137" i="10" s="1"/>
  <c r="I137" i="10"/>
  <c r="J137" i="10"/>
  <c r="K137" i="10"/>
  <c r="L137" i="10"/>
  <c r="M137" i="10" s="1"/>
  <c r="P137" i="10"/>
  <c r="U137" i="10" s="1"/>
  <c r="Q137" i="10"/>
  <c r="AK137" i="10" s="1"/>
  <c r="Z137" i="10"/>
  <c r="AA137" i="10"/>
  <c r="AS137" i="10" s="1"/>
  <c r="AB137" i="10"/>
  <c r="AT137" i="10" s="1"/>
  <c r="AH137" i="10"/>
  <c r="AI137" i="10" s="1"/>
  <c r="AW137" i="10" s="1"/>
  <c r="AM137" i="10"/>
  <c r="AQ137" i="10"/>
  <c r="AU137" i="10"/>
  <c r="AY137" i="10"/>
  <c r="BG137" i="10" s="1"/>
  <c r="BF137" i="10"/>
  <c r="BJ137" i="10"/>
  <c r="AY134" i="10"/>
  <c r="AC135" i="10"/>
  <c r="W140" i="10" l="1"/>
  <c r="AP140" i="10" s="1"/>
  <c r="AR140" i="10" s="1"/>
  <c r="AV141" i="10"/>
  <c r="W139" i="10"/>
  <c r="AP139" i="10" s="1"/>
  <c r="AR139" i="10" s="1"/>
  <c r="AV140" i="10"/>
  <c r="Q138" i="10"/>
  <c r="AK138" i="10" s="1"/>
  <c r="AV142" i="10"/>
  <c r="W142" i="10"/>
  <c r="AP142" i="10" s="1"/>
  <c r="AR142" i="10" s="1"/>
  <c r="V141" i="10"/>
  <c r="AO141" i="10" s="1"/>
  <c r="W141" i="10"/>
  <c r="AP141" i="10" s="1"/>
  <c r="AR141" i="10" s="1"/>
  <c r="AJ141" i="10"/>
  <c r="AX141" i="10" s="1"/>
  <c r="AJ139" i="10"/>
  <c r="AX139" i="10" s="1"/>
  <c r="R141" i="10"/>
  <c r="AL141" i="10" s="1"/>
  <c r="AN141" i="10" s="1"/>
  <c r="AJ140" i="10"/>
  <c r="AX140" i="10" s="1"/>
  <c r="AZ140" i="10" s="1"/>
  <c r="V138" i="10"/>
  <c r="AO138" i="10" s="1"/>
  <c r="W138" i="10"/>
  <c r="AP138" i="10" s="1"/>
  <c r="AR138" i="10" s="1"/>
  <c r="R140" i="10"/>
  <c r="AL140" i="10" s="1"/>
  <c r="AN140" i="10" s="1"/>
  <c r="AJ142" i="10"/>
  <c r="AX142" i="10" s="1"/>
  <c r="AZ142" i="10" s="1"/>
  <c r="R142" i="10"/>
  <c r="AL142" i="10" s="1"/>
  <c r="AN142" i="10" s="1"/>
  <c r="AJ138" i="10"/>
  <c r="AX138" i="10" s="1"/>
  <c r="AV139" i="10"/>
  <c r="R139" i="10"/>
  <c r="AL139" i="10" s="1"/>
  <c r="AN139" i="10" s="1"/>
  <c r="AV138" i="10"/>
  <c r="W137" i="10"/>
  <c r="AP137" i="10" s="1"/>
  <c r="AR137" i="10" s="1"/>
  <c r="AV137" i="10"/>
  <c r="V137" i="10"/>
  <c r="AO137" i="10" s="1"/>
  <c r="AJ137" i="10"/>
  <c r="AX137" i="10" s="1"/>
  <c r="AZ137" i="10" s="1"/>
  <c r="R137" i="10"/>
  <c r="AL137" i="10" s="1"/>
  <c r="AN137" i="10" s="1"/>
  <c r="AC136" i="10"/>
  <c r="AH136" i="10" s="1"/>
  <c r="AI136" i="10" s="1"/>
  <c r="AW136" i="10" s="1"/>
  <c r="AQ134" i="10"/>
  <c r="BG134" i="10"/>
  <c r="E136" i="10"/>
  <c r="H136" i="10"/>
  <c r="BH136" i="10" s="1"/>
  <c r="I136" i="10"/>
  <c r="J136" i="10"/>
  <c r="K136" i="10"/>
  <c r="L136" i="10"/>
  <c r="M136" i="10" s="1"/>
  <c r="P136" i="10"/>
  <c r="U136" i="10" s="1"/>
  <c r="V136" i="10" s="1"/>
  <c r="AO136" i="10" s="1"/>
  <c r="Q136" i="10"/>
  <c r="AK136" i="10" s="1"/>
  <c r="Z136" i="10"/>
  <c r="AA136" i="10"/>
  <c r="AS136" i="10" s="1"/>
  <c r="AB136" i="10"/>
  <c r="AT136" i="10" s="1"/>
  <c r="AM136" i="10"/>
  <c r="AQ136" i="10"/>
  <c r="AU136" i="10"/>
  <c r="AY136" i="10"/>
  <c r="BG136" i="10" s="1"/>
  <c r="BF136" i="10"/>
  <c r="BJ136" i="10"/>
  <c r="E135" i="10"/>
  <c r="H135" i="10"/>
  <c r="BH135" i="10" s="1"/>
  <c r="I135" i="10"/>
  <c r="J135" i="10"/>
  <c r="K135" i="10"/>
  <c r="L135" i="10"/>
  <c r="M135" i="10" s="1"/>
  <c r="P135" i="10"/>
  <c r="U135" i="10" s="1"/>
  <c r="V135" i="10" s="1"/>
  <c r="AO135" i="10" s="1"/>
  <c r="Q135" i="10"/>
  <c r="AK135" i="10" s="1"/>
  <c r="Z135" i="10"/>
  <c r="AA135" i="10"/>
  <c r="AS135" i="10" s="1"/>
  <c r="AB135" i="10"/>
  <c r="AT135" i="10" s="1"/>
  <c r="AH135" i="10"/>
  <c r="AI135" i="10" s="1"/>
  <c r="AW135" i="10" s="1"/>
  <c r="AM135" i="10"/>
  <c r="AQ135" i="10"/>
  <c r="AU135" i="10"/>
  <c r="AY135" i="10"/>
  <c r="BG135" i="10" s="1"/>
  <c r="BF135" i="10"/>
  <c r="BJ135" i="10"/>
  <c r="AC134" i="10"/>
  <c r="AH134" i="10" s="1"/>
  <c r="AI134" i="10" s="1"/>
  <c r="AW134" i="10" s="1"/>
  <c r="E134" i="10"/>
  <c r="H134" i="10"/>
  <c r="BH134" i="10" s="1"/>
  <c r="I134" i="10"/>
  <c r="J134" i="10"/>
  <c r="K134" i="10"/>
  <c r="L134" i="10"/>
  <c r="M134" i="10" s="1"/>
  <c r="P134" i="10" s="1"/>
  <c r="U134" i="10" s="1"/>
  <c r="Z134" i="10"/>
  <c r="AA134" i="10"/>
  <c r="AS134" i="10" s="1"/>
  <c r="AB134" i="10"/>
  <c r="AT134" i="10" s="1"/>
  <c r="AM134" i="10"/>
  <c r="AU134" i="10"/>
  <c r="BF134" i="10"/>
  <c r="BJ134" i="10"/>
  <c r="AC133" i="10"/>
  <c r="AH133" i="10" s="1"/>
  <c r="AI133" i="10" s="1"/>
  <c r="AW133" i="10" s="1"/>
  <c r="E133" i="10"/>
  <c r="H133" i="10"/>
  <c r="BH133" i="10" s="1"/>
  <c r="I133" i="10"/>
  <c r="J133" i="10"/>
  <c r="K133" i="10"/>
  <c r="L133" i="10"/>
  <c r="M133" i="10" s="1"/>
  <c r="P133" i="10"/>
  <c r="U133" i="10" s="1"/>
  <c r="V133" i="10" s="1"/>
  <c r="AO133" i="10" s="1"/>
  <c r="Q133" i="10"/>
  <c r="AK133" i="10" s="1"/>
  <c r="Z133" i="10"/>
  <c r="AA133" i="10"/>
  <c r="AS133" i="10" s="1"/>
  <c r="AB133" i="10"/>
  <c r="AT133" i="10" s="1"/>
  <c r="AM133" i="10"/>
  <c r="AQ133" i="10"/>
  <c r="AU133" i="10"/>
  <c r="AY133" i="10"/>
  <c r="BG133" i="10" s="1"/>
  <c r="BF133" i="10"/>
  <c r="BJ133" i="10"/>
  <c r="AC130" i="10"/>
  <c r="AH130" i="10" s="1"/>
  <c r="AI130" i="10" s="1"/>
  <c r="AW130" i="10" s="1"/>
  <c r="E132" i="10"/>
  <c r="H132" i="10"/>
  <c r="BH132" i="10" s="1"/>
  <c r="I132" i="10"/>
  <c r="J132" i="10"/>
  <c r="K132" i="10"/>
  <c r="L132" i="10"/>
  <c r="M132" i="10" s="1"/>
  <c r="P132" i="10"/>
  <c r="U132" i="10" s="1"/>
  <c r="V132" i="10" s="1"/>
  <c r="AO132" i="10" s="1"/>
  <c r="Q132" i="10"/>
  <c r="AK132" i="10" s="1"/>
  <c r="Z132" i="10"/>
  <c r="AA132" i="10"/>
  <c r="AS132" i="10" s="1"/>
  <c r="AB132" i="10"/>
  <c r="AT132" i="10" s="1"/>
  <c r="AH132" i="10"/>
  <c r="AI132" i="10" s="1"/>
  <c r="AW132" i="10" s="1"/>
  <c r="AM132" i="10"/>
  <c r="AQ132" i="10"/>
  <c r="AU132" i="10"/>
  <c r="AY132" i="10"/>
  <c r="BG132" i="10" s="1"/>
  <c r="BF132" i="10"/>
  <c r="BJ132" i="10"/>
  <c r="E131" i="10"/>
  <c r="H131" i="10"/>
  <c r="BH131" i="10" s="1"/>
  <c r="I131" i="10"/>
  <c r="J131" i="10"/>
  <c r="K131" i="10"/>
  <c r="L131" i="10"/>
  <c r="M131" i="10" s="1"/>
  <c r="P131" i="10"/>
  <c r="U131" i="10" s="1"/>
  <c r="V131" i="10" s="1"/>
  <c r="AO131" i="10" s="1"/>
  <c r="Q131" i="10"/>
  <c r="AK131" i="10" s="1"/>
  <c r="Z131" i="10"/>
  <c r="AA131" i="10"/>
  <c r="AS131" i="10" s="1"/>
  <c r="AB131" i="10"/>
  <c r="AT131" i="10" s="1"/>
  <c r="AH131" i="10"/>
  <c r="AI131" i="10" s="1"/>
  <c r="AW131" i="10" s="1"/>
  <c r="AM131" i="10"/>
  <c r="AQ131" i="10"/>
  <c r="AU131" i="10"/>
  <c r="AY131" i="10"/>
  <c r="BG131" i="10" s="1"/>
  <c r="BF131" i="10"/>
  <c r="BJ131" i="10"/>
  <c r="AC129" i="10"/>
  <c r="AH129" i="10" s="1"/>
  <c r="AI129" i="10" s="1"/>
  <c r="AW129" i="10" s="1"/>
  <c r="E130" i="10"/>
  <c r="H130" i="10"/>
  <c r="BH130" i="10" s="1"/>
  <c r="I130" i="10"/>
  <c r="J130" i="10"/>
  <c r="K130" i="10"/>
  <c r="L130" i="10"/>
  <c r="M130" i="10" s="1"/>
  <c r="P130" i="10"/>
  <c r="U130" i="10" s="1"/>
  <c r="V130" i="10" s="1"/>
  <c r="AO130" i="10" s="1"/>
  <c r="Q130" i="10"/>
  <c r="AK130" i="10" s="1"/>
  <c r="Z130" i="10"/>
  <c r="AA130" i="10"/>
  <c r="AS130" i="10" s="1"/>
  <c r="AB130" i="10"/>
  <c r="AT130" i="10" s="1"/>
  <c r="AM130" i="10"/>
  <c r="AQ130" i="10"/>
  <c r="AU130" i="10"/>
  <c r="AY130" i="10"/>
  <c r="BG130" i="10" s="1"/>
  <c r="BF130" i="10"/>
  <c r="BJ130" i="10"/>
  <c r="E129" i="10"/>
  <c r="H129" i="10"/>
  <c r="BH129" i="10" s="1"/>
  <c r="I129" i="10"/>
  <c r="J129" i="10"/>
  <c r="K129" i="10"/>
  <c r="L129" i="10"/>
  <c r="M129" i="10" s="1"/>
  <c r="P129" i="10"/>
  <c r="U129" i="10" s="1"/>
  <c r="V129" i="10" s="1"/>
  <c r="AO129" i="10" s="1"/>
  <c r="Q129" i="10"/>
  <c r="AK129" i="10" s="1"/>
  <c r="Z129" i="10"/>
  <c r="AA129" i="10"/>
  <c r="AS129" i="10" s="1"/>
  <c r="AB129" i="10"/>
  <c r="AT129" i="10" s="1"/>
  <c r="AM129" i="10"/>
  <c r="AQ129" i="10"/>
  <c r="AU129" i="10"/>
  <c r="AY129" i="10"/>
  <c r="BG129" i="10" s="1"/>
  <c r="BF129" i="10"/>
  <c r="BJ129" i="10"/>
  <c r="AC122" i="10"/>
  <c r="AC128" i="10"/>
  <c r="AC127" i="10"/>
  <c r="BA137" i="10" l="1"/>
  <c r="BA142" i="10"/>
  <c r="BA140" i="10"/>
  <c r="BA139" i="10"/>
  <c r="BA141" i="10"/>
  <c r="R138" i="10"/>
  <c r="AL138" i="10" s="1"/>
  <c r="AN138" i="10" s="1"/>
  <c r="BA138" i="10" s="1"/>
  <c r="BB141" i="10"/>
  <c r="BD141" i="10" s="1"/>
  <c r="BB138" i="10"/>
  <c r="BD138" i="10" s="1"/>
  <c r="BB139" i="10"/>
  <c r="BD139" i="10" s="1"/>
  <c r="AZ138" i="10"/>
  <c r="AZ139" i="10"/>
  <c r="AZ141" i="10"/>
  <c r="BB140" i="10"/>
  <c r="BD140" i="10" s="1"/>
  <c r="BB142" i="10"/>
  <c r="BD142" i="10" s="1"/>
  <c r="BB137" i="10"/>
  <c r="BD137" i="10" s="1"/>
  <c r="W136" i="10"/>
  <c r="AP136" i="10" s="1"/>
  <c r="AR136" i="10" s="1"/>
  <c r="AJ136" i="10"/>
  <c r="AX136" i="10" s="1"/>
  <c r="AZ136" i="10" s="1"/>
  <c r="W135" i="10"/>
  <c r="AP135" i="10" s="1"/>
  <c r="AR135" i="10" s="1"/>
  <c r="AV135" i="10"/>
  <c r="AV136" i="10"/>
  <c r="AJ135" i="10"/>
  <c r="AX135" i="10" s="1"/>
  <c r="R136" i="10"/>
  <c r="AL136" i="10" s="1"/>
  <c r="AN136" i="10" s="1"/>
  <c r="R135" i="10"/>
  <c r="AL135" i="10" s="1"/>
  <c r="AN135" i="10" s="1"/>
  <c r="Q134" i="10"/>
  <c r="AK134" i="10" s="1"/>
  <c r="W134" i="10"/>
  <c r="AP134" i="10" s="1"/>
  <c r="AR134" i="10" s="1"/>
  <c r="V134" i="10"/>
  <c r="AO134" i="10" s="1"/>
  <c r="AJ133" i="10"/>
  <c r="AX133" i="10" s="1"/>
  <c r="AV134" i="10"/>
  <c r="R133" i="10"/>
  <c r="AL133" i="10" s="1"/>
  <c r="AN133" i="10" s="1"/>
  <c r="AJ134" i="10"/>
  <c r="AX134" i="10" s="1"/>
  <c r="AV130" i="10"/>
  <c r="AV133" i="10"/>
  <c r="W133" i="10"/>
  <c r="AP133" i="10" s="1"/>
  <c r="AR133" i="10" s="1"/>
  <c r="W131" i="10"/>
  <c r="AP131" i="10" s="1"/>
  <c r="AR131" i="10" s="1"/>
  <c r="R132" i="10"/>
  <c r="AL132" i="10" s="1"/>
  <c r="AN132" i="10" s="1"/>
  <c r="W130" i="10"/>
  <c r="AP130" i="10" s="1"/>
  <c r="AR130" i="10" s="1"/>
  <c r="W129" i="10"/>
  <c r="AP129" i="10" s="1"/>
  <c r="AR129" i="10" s="1"/>
  <c r="AV129" i="10"/>
  <c r="AV132" i="10"/>
  <c r="W132" i="10"/>
  <c r="AP132" i="10" s="1"/>
  <c r="AR132" i="10" s="1"/>
  <c r="AJ131" i="10"/>
  <c r="AX131" i="10" s="1"/>
  <c r="AZ131" i="10" s="1"/>
  <c r="AJ132" i="10"/>
  <c r="AX132" i="10" s="1"/>
  <c r="AZ132" i="10" s="1"/>
  <c r="AJ129" i="10"/>
  <c r="AX129" i="10" s="1"/>
  <c r="AV131" i="10"/>
  <c r="R131" i="10"/>
  <c r="AL131" i="10" s="1"/>
  <c r="AN131" i="10" s="1"/>
  <c r="R130" i="10"/>
  <c r="AL130" i="10" s="1"/>
  <c r="AN130" i="10" s="1"/>
  <c r="AJ130" i="10"/>
  <c r="AX130" i="10" s="1"/>
  <c r="AZ130" i="10" s="1"/>
  <c r="R129" i="10"/>
  <c r="AL129" i="10" s="1"/>
  <c r="AN129" i="10" s="1"/>
  <c r="E128" i="10"/>
  <c r="H128" i="10"/>
  <c r="BH128" i="10" s="1"/>
  <c r="I128" i="10"/>
  <c r="J128" i="10"/>
  <c r="K128" i="10"/>
  <c r="L128" i="10"/>
  <c r="M128" i="10" s="1"/>
  <c r="P128" i="10"/>
  <c r="U128" i="10" s="1"/>
  <c r="V128" i="10" s="1"/>
  <c r="AO128" i="10" s="1"/>
  <c r="Q128" i="10"/>
  <c r="AK128" i="10" s="1"/>
  <c r="Z128" i="10"/>
  <c r="AA128" i="10"/>
  <c r="AS128" i="10" s="1"/>
  <c r="AB128" i="10"/>
  <c r="AT128" i="10" s="1"/>
  <c r="AH128" i="10"/>
  <c r="AI128" i="10" s="1"/>
  <c r="AW128" i="10" s="1"/>
  <c r="AM128" i="10"/>
  <c r="AQ128" i="10"/>
  <c r="AU128" i="10"/>
  <c r="AY128" i="10"/>
  <c r="BG128" i="10" s="1"/>
  <c r="BF128" i="10"/>
  <c r="BJ128" i="10"/>
  <c r="E127" i="10"/>
  <c r="H127" i="10"/>
  <c r="BH127" i="10" s="1"/>
  <c r="I127" i="10"/>
  <c r="J127" i="10"/>
  <c r="K127" i="10"/>
  <c r="L127" i="10"/>
  <c r="M127" i="10" s="1"/>
  <c r="P127" i="10"/>
  <c r="U127" i="10" s="1"/>
  <c r="V127" i="10" s="1"/>
  <c r="AO127" i="10" s="1"/>
  <c r="Q127" i="10"/>
  <c r="AK127" i="10" s="1"/>
  <c r="Z127" i="10"/>
  <c r="AA127" i="10"/>
  <c r="AS127" i="10" s="1"/>
  <c r="AB127" i="10"/>
  <c r="AT127" i="10" s="1"/>
  <c r="AH127" i="10"/>
  <c r="AI127" i="10" s="1"/>
  <c r="AM127" i="10"/>
  <c r="AQ127" i="10"/>
  <c r="AU127" i="10"/>
  <c r="AY127" i="10"/>
  <c r="BG127" i="10" s="1"/>
  <c r="BF127" i="10"/>
  <c r="BJ127" i="10"/>
  <c r="AH126" i="10"/>
  <c r="AI126" i="10" s="1"/>
  <c r="E126" i="10"/>
  <c r="H126" i="10"/>
  <c r="BH126" i="10" s="1"/>
  <c r="I126" i="10"/>
  <c r="J126" i="10"/>
  <c r="K126" i="10"/>
  <c r="L126" i="10"/>
  <c r="M126" i="10" s="1"/>
  <c r="P126" i="10"/>
  <c r="U126" i="10" s="1"/>
  <c r="V126" i="10" s="1"/>
  <c r="AO126" i="10" s="1"/>
  <c r="Q126" i="10"/>
  <c r="AK126" i="10" s="1"/>
  <c r="Z126" i="10"/>
  <c r="AA126" i="10"/>
  <c r="AS126" i="10" s="1"/>
  <c r="AB126" i="10"/>
  <c r="AT126" i="10" s="1"/>
  <c r="AM126" i="10"/>
  <c r="AQ126" i="10"/>
  <c r="AU126" i="10"/>
  <c r="AY126" i="10"/>
  <c r="BG126" i="10" s="1"/>
  <c r="BF126" i="10"/>
  <c r="BJ126" i="10"/>
  <c r="E125" i="10"/>
  <c r="H125" i="10"/>
  <c r="BH125" i="10" s="1"/>
  <c r="I125" i="10"/>
  <c r="J125" i="10"/>
  <c r="K125" i="10"/>
  <c r="L125" i="10"/>
  <c r="M125" i="10" s="1"/>
  <c r="P125" i="10"/>
  <c r="U125" i="10" s="1"/>
  <c r="V125" i="10" s="1"/>
  <c r="AO125" i="10" s="1"/>
  <c r="Q125" i="10"/>
  <c r="AK125" i="10" s="1"/>
  <c r="Z125" i="10"/>
  <c r="AA125" i="10"/>
  <c r="AS125" i="10" s="1"/>
  <c r="AB125" i="10"/>
  <c r="AT125" i="10" s="1"/>
  <c r="AH125" i="10"/>
  <c r="AI125" i="10" s="1"/>
  <c r="AM125" i="10"/>
  <c r="AQ125" i="10"/>
  <c r="AU125" i="10"/>
  <c r="AY125" i="10"/>
  <c r="BG125" i="10" s="1"/>
  <c r="BF125" i="10"/>
  <c r="BJ125" i="10"/>
  <c r="AC123" i="10"/>
  <c r="BE137" i="10" l="1"/>
  <c r="BM137" i="10"/>
  <c r="BE139" i="10"/>
  <c r="BM139" i="10"/>
  <c r="BE142" i="10"/>
  <c r="BM142" i="10"/>
  <c r="BE138" i="10"/>
  <c r="BM138" i="10"/>
  <c r="BE140" i="10"/>
  <c r="BM140" i="10"/>
  <c r="BE141" i="10"/>
  <c r="BM141" i="10"/>
  <c r="BA132" i="10"/>
  <c r="BA131" i="10"/>
  <c r="BA129" i="10"/>
  <c r="BA133" i="10"/>
  <c r="BA136" i="10"/>
  <c r="BA130" i="10"/>
  <c r="BA135" i="10"/>
  <c r="BB129" i="10"/>
  <c r="BD129" i="10" s="1"/>
  <c r="BB136" i="10"/>
  <c r="BD136" i="10" s="1"/>
  <c r="BB135" i="10"/>
  <c r="BD135" i="10" s="1"/>
  <c r="AZ135" i="10"/>
  <c r="BB133" i="10"/>
  <c r="BD133" i="10" s="1"/>
  <c r="AZ133" i="10"/>
  <c r="AZ129" i="10"/>
  <c r="R134" i="10"/>
  <c r="AL134" i="10" s="1"/>
  <c r="AN134" i="10" s="1"/>
  <c r="BA134" i="10" s="1"/>
  <c r="BB134" i="10"/>
  <c r="BD134" i="10" s="1"/>
  <c r="AZ134" i="10"/>
  <c r="BB131" i="10"/>
  <c r="BD131" i="10" s="1"/>
  <c r="BB132" i="10"/>
  <c r="BD132" i="10" s="1"/>
  <c r="BB130" i="10"/>
  <c r="BD130" i="10" s="1"/>
  <c r="W126" i="10"/>
  <c r="AP126" i="10" s="1"/>
  <c r="AR126" i="10" s="1"/>
  <c r="AV127" i="10"/>
  <c r="W127" i="10"/>
  <c r="AP127" i="10" s="1"/>
  <c r="AR127" i="10" s="1"/>
  <c r="W128" i="10"/>
  <c r="AP128" i="10" s="1"/>
  <c r="AR128" i="10" s="1"/>
  <c r="AV128" i="10"/>
  <c r="W125" i="10"/>
  <c r="AP125" i="10" s="1"/>
  <c r="AR125" i="10" s="1"/>
  <c r="AJ128" i="10"/>
  <c r="AX128" i="10" s="1"/>
  <c r="AZ128" i="10" s="1"/>
  <c r="AV126" i="10"/>
  <c r="R127" i="10"/>
  <c r="AL127" i="10" s="1"/>
  <c r="AN127" i="10" s="1"/>
  <c r="R128" i="10"/>
  <c r="AL128" i="10" s="1"/>
  <c r="AN128" i="10" s="1"/>
  <c r="AJ127" i="10"/>
  <c r="AX127" i="10" s="1"/>
  <c r="AV125" i="10"/>
  <c r="AJ126" i="10"/>
  <c r="AX126" i="10" s="1"/>
  <c r="AZ126" i="10" s="1"/>
  <c r="AW127" i="10"/>
  <c r="AW126" i="10"/>
  <c r="R126" i="10"/>
  <c r="AL126" i="10" s="1"/>
  <c r="AN126" i="10" s="1"/>
  <c r="R125" i="10"/>
  <c r="AL125" i="10" s="1"/>
  <c r="AN125" i="10" s="1"/>
  <c r="AJ125" i="10"/>
  <c r="AX125" i="10" s="1"/>
  <c r="AZ125" i="10" s="1"/>
  <c r="AW125" i="10"/>
  <c r="S120" i="10"/>
  <c r="E124" i="10"/>
  <c r="H124" i="10"/>
  <c r="BH124" i="10" s="1"/>
  <c r="I124" i="10"/>
  <c r="J124" i="10"/>
  <c r="K124" i="10"/>
  <c r="L124" i="10"/>
  <c r="M124" i="10" s="1"/>
  <c r="P124" i="10"/>
  <c r="U124" i="10" s="1"/>
  <c r="V124" i="10" s="1"/>
  <c r="AO124" i="10" s="1"/>
  <c r="Q124" i="10"/>
  <c r="AK124" i="10" s="1"/>
  <c r="Z124" i="10"/>
  <c r="AA124" i="10"/>
  <c r="AS124" i="10" s="1"/>
  <c r="AB124" i="10"/>
  <c r="AT124" i="10" s="1"/>
  <c r="AH124" i="10"/>
  <c r="AI124" i="10" s="1"/>
  <c r="AW124" i="10" s="1"/>
  <c r="AM124" i="10"/>
  <c r="AQ124" i="10"/>
  <c r="AU124" i="10"/>
  <c r="AY124" i="10"/>
  <c r="BG124" i="10" s="1"/>
  <c r="BF124" i="10"/>
  <c r="BJ124" i="10"/>
  <c r="BE131" i="10" l="1"/>
  <c r="BM131" i="10"/>
  <c r="BE133" i="10"/>
  <c r="BM133" i="10"/>
  <c r="BE134" i="10"/>
  <c r="BM134" i="10"/>
  <c r="BE135" i="10"/>
  <c r="BM135" i="10"/>
  <c r="BE136" i="10"/>
  <c r="BM136" i="10"/>
  <c r="BE130" i="10"/>
  <c r="BM130" i="10"/>
  <c r="BE129" i="10"/>
  <c r="BM129" i="10"/>
  <c r="BE132" i="10"/>
  <c r="BM132" i="10"/>
  <c r="BA126" i="10"/>
  <c r="BA125" i="10"/>
  <c r="BA127" i="10"/>
  <c r="BA128" i="10"/>
  <c r="BB127" i="10"/>
  <c r="BD127" i="10" s="1"/>
  <c r="BB126" i="10"/>
  <c r="BD126" i="10" s="1"/>
  <c r="W124" i="10"/>
  <c r="AP124" i="10" s="1"/>
  <c r="AR124" i="10" s="1"/>
  <c r="BB128" i="10"/>
  <c r="BD128" i="10" s="1"/>
  <c r="AZ127" i="10"/>
  <c r="BB125" i="10"/>
  <c r="BD125" i="10" s="1"/>
  <c r="AJ124" i="10"/>
  <c r="AX124" i="10" s="1"/>
  <c r="AV124" i="10"/>
  <c r="R124" i="10"/>
  <c r="AL124" i="10" s="1"/>
  <c r="AN124" i="10" s="1"/>
  <c r="F121" i="10"/>
  <c r="E123" i="10"/>
  <c r="H123" i="10"/>
  <c r="BH123" i="10" s="1"/>
  <c r="I123" i="10"/>
  <c r="J123" i="10"/>
  <c r="K123" i="10"/>
  <c r="L123" i="10"/>
  <c r="M123" i="10" s="1"/>
  <c r="P123" i="10"/>
  <c r="U123" i="10" s="1"/>
  <c r="V123" i="10" s="1"/>
  <c r="AO123" i="10" s="1"/>
  <c r="Q123" i="10"/>
  <c r="AK123" i="10" s="1"/>
  <c r="Z123" i="10"/>
  <c r="AA123" i="10"/>
  <c r="AS123" i="10" s="1"/>
  <c r="AB123" i="10"/>
  <c r="AT123" i="10" s="1"/>
  <c r="AH123" i="10"/>
  <c r="AI123" i="10" s="1"/>
  <c r="AM123" i="10"/>
  <c r="AQ123" i="10"/>
  <c r="AU123" i="10"/>
  <c r="AY123" i="10"/>
  <c r="BG123" i="10" s="1"/>
  <c r="BF123" i="10"/>
  <c r="BJ123" i="10"/>
  <c r="E122" i="10"/>
  <c r="H122" i="10"/>
  <c r="BH122" i="10" s="1"/>
  <c r="I122" i="10"/>
  <c r="J122" i="10"/>
  <c r="K122" i="10"/>
  <c r="L122" i="10"/>
  <c r="M122" i="10" s="1"/>
  <c r="P122" i="10"/>
  <c r="U122" i="10" s="1"/>
  <c r="V122" i="10" s="1"/>
  <c r="AO122" i="10" s="1"/>
  <c r="Q122" i="10"/>
  <c r="AK122" i="10" s="1"/>
  <c r="Z122" i="10"/>
  <c r="AA122" i="10"/>
  <c r="AS122" i="10" s="1"/>
  <c r="AB122" i="10"/>
  <c r="AT122" i="10" s="1"/>
  <c r="AH122" i="10"/>
  <c r="AI122" i="10" s="1"/>
  <c r="AW122" i="10" s="1"/>
  <c r="AM122" i="10"/>
  <c r="AQ122" i="10"/>
  <c r="AU122" i="10"/>
  <c r="AY122" i="10"/>
  <c r="BG122" i="10" s="1"/>
  <c r="BF122" i="10"/>
  <c r="BJ122" i="10"/>
  <c r="E121" i="10"/>
  <c r="H121" i="10"/>
  <c r="BH121" i="10" s="1"/>
  <c r="I121" i="10"/>
  <c r="J121" i="10"/>
  <c r="K121" i="10"/>
  <c r="L121" i="10"/>
  <c r="M121" i="10" s="1"/>
  <c r="P121" i="10"/>
  <c r="Q121" i="10"/>
  <c r="AK121" i="10" s="1"/>
  <c r="Z121" i="10"/>
  <c r="AA121" i="10"/>
  <c r="AS121" i="10" s="1"/>
  <c r="AB121" i="10"/>
  <c r="AT121" i="10" s="1"/>
  <c r="AH121" i="10"/>
  <c r="AI121" i="10" s="1"/>
  <c r="AW121" i="10" s="1"/>
  <c r="AM121" i="10"/>
  <c r="AQ121" i="10"/>
  <c r="AU121" i="10"/>
  <c r="AY121" i="10"/>
  <c r="BG121" i="10" s="1"/>
  <c r="BF121" i="10"/>
  <c r="BJ121" i="10"/>
  <c r="E120" i="10"/>
  <c r="H120" i="10"/>
  <c r="BH120" i="10" s="1"/>
  <c r="I120" i="10"/>
  <c r="J120" i="10"/>
  <c r="K120" i="10"/>
  <c r="L120" i="10"/>
  <c r="M120" i="10" s="1"/>
  <c r="P120" i="10"/>
  <c r="U120" i="10" s="1"/>
  <c r="V120" i="10" s="1"/>
  <c r="AO120" i="10" s="1"/>
  <c r="Q120" i="10"/>
  <c r="AK120" i="10" s="1"/>
  <c r="Z120" i="10"/>
  <c r="AA120" i="10"/>
  <c r="AS120" i="10" s="1"/>
  <c r="AB120" i="10"/>
  <c r="AT120" i="10" s="1"/>
  <c r="AH120" i="10"/>
  <c r="AI120" i="10" s="1"/>
  <c r="AW120" i="10" s="1"/>
  <c r="AM120" i="10"/>
  <c r="AQ120" i="10"/>
  <c r="AU120" i="10"/>
  <c r="AY120" i="10"/>
  <c r="BG120" i="10" s="1"/>
  <c r="BF120" i="10"/>
  <c r="BJ120" i="10"/>
  <c r="BI119" i="10"/>
  <c r="BJ119" i="10" s="1"/>
  <c r="E119" i="10"/>
  <c r="H119" i="10"/>
  <c r="BH119" i="10" s="1"/>
  <c r="I119" i="10"/>
  <c r="J119" i="10"/>
  <c r="K119" i="10"/>
  <c r="L119" i="10"/>
  <c r="M119" i="10" s="1"/>
  <c r="P119" i="10" s="1"/>
  <c r="Z119" i="10"/>
  <c r="AA119" i="10"/>
  <c r="AS119" i="10" s="1"/>
  <c r="AB119" i="10"/>
  <c r="AT119" i="10" s="1"/>
  <c r="AH119" i="10"/>
  <c r="AI119" i="10" s="1"/>
  <c r="AW119" i="10" s="1"/>
  <c r="AM119" i="10"/>
  <c r="AQ119" i="10"/>
  <c r="AU119" i="10"/>
  <c r="AY119" i="10"/>
  <c r="BG119" i="10" s="1"/>
  <c r="BF119" i="10"/>
  <c r="BE128" i="10" l="1"/>
  <c r="BM128" i="10"/>
  <c r="BE126" i="10"/>
  <c r="BM126" i="10"/>
  <c r="BE127" i="10"/>
  <c r="BM127" i="10"/>
  <c r="BE125" i="10"/>
  <c r="BM125" i="10"/>
  <c r="BA124" i="10"/>
  <c r="BB124" i="10"/>
  <c r="BD124" i="10" s="1"/>
  <c r="W120" i="10"/>
  <c r="AP120" i="10" s="1"/>
  <c r="AR120" i="10" s="1"/>
  <c r="W123" i="10"/>
  <c r="AP123" i="10" s="1"/>
  <c r="AR123" i="10" s="1"/>
  <c r="W122" i="10"/>
  <c r="AP122" i="10" s="1"/>
  <c r="AR122" i="10" s="1"/>
  <c r="AZ124" i="10"/>
  <c r="R120" i="10"/>
  <c r="AL120" i="10" s="1"/>
  <c r="AN120" i="10" s="1"/>
  <c r="R122" i="10"/>
  <c r="AL122" i="10" s="1"/>
  <c r="AN122" i="10" s="1"/>
  <c r="U119" i="10"/>
  <c r="V119" i="10" s="1"/>
  <c r="AO119" i="10" s="1"/>
  <c r="Q119" i="10"/>
  <c r="AK119" i="10" s="1"/>
  <c r="AJ122" i="10"/>
  <c r="AX122" i="10" s="1"/>
  <c r="AV122" i="10"/>
  <c r="R123" i="10"/>
  <c r="AL123" i="10" s="1"/>
  <c r="AN123" i="10" s="1"/>
  <c r="AJ120" i="10"/>
  <c r="AX120" i="10" s="1"/>
  <c r="AZ120" i="10" s="1"/>
  <c r="AV123" i="10"/>
  <c r="AJ121" i="10"/>
  <c r="AX121" i="10" s="1"/>
  <c r="U121" i="10"/>
  <c r="AV120" i="10"/>
  <c r="R121" i="10"/>
  <c r="AL121" i="10" s="1"/>
  <c r="AN121" i="10" s="1"/>
  <c r="AJ123" i="10"/>
  <c r="AX123" i="10" s="1"/>
  <c r="AW123" i="10"/>
  <c r="AV121" i="10"/>
  <c r="AJ119" i="10"/>
  <c r="AX119" i="10" s="1"/>
  <c r="AZ119" i="10" s="1"/>
  <c r="AV119" i="10"/>
  <c r="AC118" i="10"/>
  <c r="AH118" i="10" s="1"/>
  <c r="AI118" i="10" s="1"/>
  <c r="AW118" i="10" s="1"/>
  <c r="E118" i="10"/>
  <c r="H118" i="10"/>
  <c r="BH118" i="10" s="1"/>
  <c r="I118" i="10"/>
  <c r="J118" i="10"/>
  <c r="K118" i="10"/>
  <c r="L118" i="10"/>
  <c r="M118" i="10" s="1"/>
  <c r="P118" i="10"/>
  <c r="U118" i="10" s="1"/>
  <c r="Q118" i="10"/>
  <c r="AK118" i="10" s="1"/>
  <c r="Z118" i="10"/>
  <c r="AA118" i="10"/>
  <c r="AS118" i="10" s="1"/>
  <c r="AB118" i="10"/>
  <c r="AT118" i="10" s="1"/>
  <c r="AM118" i="10"/>
  <c r="AQ118" i="10"/>
  <c r="AU118" i="10"/>
  <c r="AY118" i="10"/>
  <c r="BG118" i="10" s="1"/>
  <c r="BF118" i="10"/>
  <c r="BJ118" i="10"/>
  <c r="AH117" i="10"/>
  <c r="AI117" i="10" s="1"/>
  <c r="AW117" i="10" s="1"/>
  <c r="E117" i="10"/>
  <c r="H117" i="10"/>
  <c r="BH117" i="10" s="1"/>
  <c r="I117" i="10"/>
  <c r="J117" i="10"/>
  <c r="K117" i="10"/>
  <c r="L117" i="10"/>
  <c r="M117" i="10" s="1"/>
  <c r="P117" i="10"/>
  <c r="U117" i="10" s="1"/>
  <c r="V117" i="10" s="1"/>
  <c r="AO117" i="10" s="1"/>
  <c r="Q117" i="10"/>
  <c r="AK117" i="10" s="1"/>
  <c r="Z117" i="10"/>
  <c r="AA117" i="10"/>
  <c r="AS117" i="10" s="1"/>
  <c r="AB117" i="10"/>
  <c r="AT117" i="10" s="1"/>
  <c r="AM117" i="10"/>
  <c r="AQ117" i="10"/>
  <c r="AU117" i="10"/>
  <c r="AY117" i="10"/>
  <c r="BG117" i="10" s="1"/>
  <c r="BF117" i="10"/>
  <c r="BJ117" i="10"/>
  <c r="F116" i="10"/>
  <c r="BE124" i="10" l="1"/>
  <c r="BM124" i="10"/>
  <c r="BA123" i="10"/>
  <c r="BA120" i="10"/>
  <c r="BA122" i="10"/>
  <c r="BB122" i="10"/>
  <c r="BD122" i="10" s="1"/>
  <c r="BB123" i="10"/>
  <c r="BD123" i="10" s="1"/>
  <c r="W119" i="10"/>
  <c r="AP119" i="10" s="1"/>
  <c r="AR119" i="10" s="1"/>
  <c r="R119" i="10"/>
  <c r="AL119" i="10" s="1"/>
  <c r="AN119" i="10" s="1"/>
  <c r="AZ122" i="10"/>
  <c r="V121" i="10"/>
  <c r="AO121" i="10" s="1"/>
  <c r="W121" i="10"/>
  <c r="AP121" i="10" s="1"/>
  <c r="AR121" i="10" s="1"/>
  <c r="BA121" i="10" s="1"/>
  <c r="BB120" i="10"/>
  <c r="BD120" i="10" s="1"/>
  <c r="AZ121" i="10"/>
  <c r="AZ123" i="10"/>
  <c r="W117" i="10"/>
  <c r="AP117" i="10" s="1"/>
  <c r="AR117" i="10" s="1"/>
  <c r="AV117" i="10"/>
  <c r="AV118" i="10"/>
  <c r="R117" i="10"/>
  <c r="AL117" i="10" s="1"/>
  <c r="AN117" i="10" s="1"/>
  <c r="V118" i="10"/>
  <c r="AO118" i="10" s="1"/>
  <c r="W118" i="10"/>
  <c r="AP118" i="10" s="1"/>
  <c r="AJ118" i="10"/>
  <c r="AX118" i="10" s="1"/>
  <c r="AZ118" i="10" s="1"/>
  <c r="R118" i="10"/>
  <c r="AL118" i="10" s="1"/>
  <c r="AN118" i="10" s="1"/>
  <c r="AJ117" i="10"/>
  <c r="AX117" i="10" s="1"/>
  <c r="AZ117" i="10" s="1"/>
  <c r="F115" i="10"/>
  <c r="BE122" i="10" l="1"/>
  <c r="BM122" i="10"/>
  <c r="BE120" i="10"/>
  <c r="BM120" i="10"/>
  <c r="BE123" i="10"/>
  <c r="BM123" i="10"/>
  <c r="BA119" i="10"/>
  <c r="BA117" i="10"/>
  <c r="BB119" i="10"/>
  <c r="BD119" i="10" s="1"/>
  <c r="BB121" i="10"/>
  <c r="BD121" i="10" s="1"/>
  <c r="BB118" i="10"/>
  <c r="BD118" i="10" s="1"/>
  <c r="AR118" i="10"/>
  <c r="BA118" i="10" s="1"/>
  <c r="BB117" i="10"/>
  <c r="BD117" i="10" s="1"/>
  <c r="BE119" i="10" l="1"/>
  <c r="BM119" i="10"/>
  <c r="BE118" i="10"/>
  <c r="BM118" i="10"/>
  <c r="BE121" i="10"/>
  <c r="BM121" i="10"/>
  <c r="BE117" i="10"/>
  <c r="BM117" i="10"/>
  <c r="AC115" i="10"/>
  <c r="AC116" i="10"/>
  <c r="AY113" i="10" l="1"/>
  <c r="BG113" i="10" s="1"/>
  <c r="E116" i="10"/>
  <c r="H116" i="10"/>
  <c r="BH116" i="10" s="1"/>
  <c r="I116" i="10"/>
  <c r="J116" i="10"/>
  <c r="K116" i="10"/>
  <c r="L116" i="10"/>
  <c r="M116" i="10" s="1"/>
  <c r="P116" i="10"/>
  <c r="U116" i="10" s="1"/>
  <c r="Q116" i="10"/>
  <c r="AK116" i="10" s="1"/>
  <c r="Z116" i="10"/>
  <c r="AA116" i="10"/>
  <c r="AS116" i="10" s="1"/>
  <c r="AB116" i="10"/>
  <c r="AT116" i="10" s="1"/>
  <c r="AH116" i="10"/>
  <c r="AI116" i="10" s="1"/>
  <c r="AW116" i="10" s="1"/>
  <c r="AM116" i="10"/>
  <c r="AQ116" i="10"/>
  <c r="AU116" i="10"/>
  <c r="AY116" i="10"/>
  <c r="BG116" i="10" s="1"/>
  <c r="BF116" i="10"/>
  <c r="BJ116" i="10"/>
  <c r="E115" i="10"/>
  <c r="H115" i="10"/>
  <c r="BH115" i="10" s="1"/>
  <c r="I115" i="10"/>
  <c r="J115" i="10"/>
  <c r="K115" i="10"/>
  <c r="L115" i="10"/>
  <c r="M115" i="10" s="1"/>
  <c r="P115" i="10"/>
  <c r="U115" i="10" s="1"/>
  <c r="Q115" i="10"/>
  <c r="AK115" i="10" s="1"/>
  <c r="Z115" i="10"/>
  <c r="AA115" i="10"/>
  <c r="AS115" i="10" s="1"/>
  <c r="AB115" i="10"/>
  <c r="AT115" i="10" s="1"/>
  <c r="AH115" i="10"/>
  <c r="AI115" i="10" s="1"/>
  <c r="AW115" i="10" s="1"/>
  <c r="AM115" i="10"/>
  <c r="AQ115" i="10"/>
  <c r="AU115" i="10"/>
  <c r="AY115" i="10"/>
  <c r="BG115" i="10" s="1"/>
  <c r="BF115" i="10"/>
  <c r="BJ115" i="10"/>
  <c r="E114" i="10"/>
  <c r="H114" i="10"/>
  <c r="BH114" i="10" s="1"/>
  <c r="I114" i="10"/>
  <c r="J114" i="10"/>
  <c r="K114" i="10"/>
  <c r="L114" i="10"/>
  <c r="M114" i="10" s="1"/>
  <c r="P114" i="10" s="1"/>
  <c r="U114" i="10" s="1"/>
  <c r="V114" i="10" s="1"/>
  <c r="AO114" i="10" s="1"/>
  <c r="Q114" i="10"/>
  <c r="AK114" i="10" s="1"/>
  <c r="Z114" i="10"/>
  <c r="AA114" i="10"/>
  <c r="AS114" i="10" s="1"/>
  <c r="AB114" i="10"/>
  <c r="AT114" i="10" s="1"/>
  <c r="AH114" i="10"/>
  <c r="AI114" i="10" s="1"/>
  <c r="AW114" i="10" s="1"/>
  <c r="AM114" i="10"/>
  <c r="AQ114" i="10"/>
  <c r="AU114" i="10"/>
  <c r="AY114" i="10"/>
  <c r="BG114" i="10" s="1"/>
  <c r="BF114" i="10"/>
  <c r="BJ114" i="10"/>
  <c r="E113" i="10"/>
  <c r="H113" i="10"/>
  <c r="BH113" i="10" s="1"/>
  <c r="I113" i="10"/>
  <c r="J113" i="10"/>
  <c r="K113" i="10"/>
  <c r="L113" i="10"/>
  <c r="M113" i="10" s="1"/>
  <c r="P113" i="10"/>
  <c r="U113" i="10" s="1"/>
  <c r="V113" i="10" s="1"/>
  <c r="AO113" i="10" s="1"/>
  <c r="Q113" i="10"/>
  <c r="AK113" i="10" s="1"/>
  <c r="Z113" i="10"/>
  <c r="AA113" i="10"/>
  <c r="AS113" i="10" s="1"/>
  <c r="AB113" i="10"/>
  <c r="AT113" i="10" s="1"/>
  <c r="AH113" i="10"/>
  <c r="AI113" i="10" s="1"/>
  <c r="AM113" i="10"/>
  <c r="AQ113" i="10"/>
  <c r="AU113" i="10"/>
  <c r="BF113" i="10"/>
  <c r="BJ113" i="10"/>
  <c r="BJ112" i="10"/>
  <c r="E112" i="10"/>
  <c r="H112" i="10"/>
  <c r="BH112" i="10" s="1"/>
  <c r="I112" i="10"/>
  <c r="J112" i="10"/>
  <c r="K112" i="10"/>
  <c r="L112" i="10"/>
  <c r="M112" i="10" s="1"/>
  <c r="P112" i="10"/>
  <c r="U112" i="10" s="1"/>
  <c r="Q112" i="10"/>
  <c r="AK112" i="10" s="1"/>
  <c r="Z112" i="10"/>
  <c r="AA112" i="10"/>
  <c r="AS112" i="10" s="1"/>
  <c r="AB112" i="10"/>
  <c r="AT112" i="10" s="1"/>
  <c r="AH112" i="10"/>
  <c r="AI112" i="10" s="1"/>
  <c r="AW112" i="10" s="1"/>
  <c r="AM112" i="10"/>
  <c r="AQ112" i="10"/>
  <c r="AU112" i="10"/>
  <c r="AY112" i="10"/>
  <c r="BG112" i="10" s="1"/>
  <c r="BF112" i="10"/>
  <c r="AV115" i="10" l="1"/>
  <c r="W116" i="10"/>
  <c r="AP116" i="10" s="1"/>
  <c r="V116" i="10"/>
  <c r="AO116" i="10" s="1"/>
  <c r="AV116" i="10"/>
  <c r="R116" i="10"/>
  <c r="AL116" i="10" s="1"/>
  <c r="AN116" i="10" s="1"/>
  <c r="AV113" i="10"/>
  <c r="W114" i="10"/>
  <c r="AP114" i="10" s="1"/>
  <c r="AR114" i="10" s="1"/>
  <c r="V115" i="10"/>
  <c r="AO115" i="10" s="1"/>
  <c r="W115" i="10"/>
  <c r="AP115" i="10" s="1"/>
  <c r="AR115" i="10" s="1"/>
  <c r="AJ115" i="10"/>
  <c r="AX115" i="10" s="1"/>
  <c r="AJ116" i="10"/>
  <c r="AX116" i="10" s="1"/>
  <c r="AZ116" i="10" s="1"/>
  <c r="R115" i="10"/>
  <c r="AL115" i="10" s="1"/>
  <c r="AN115" i="10" s="1"/>
  <c r="R113" i="10"/>
  <c r="AL113" i="10" s="1"/>
  <c r="AN113" i="10" s="1"/>
  <c r="W113" i="10"/>
  <c r="AP113" i="10" s="1"/>
  <c r="AR113" i="10" s="1"/>
  <c r="AV114" i="10"/>
  <c r="AJ114" i="10"/>
  <c r="AX114" i="10" s="1"/>
  <c r="R114" i="10"/>
  <c r="AL114" i="10" s="1"/>
  <c r="AN114" i="10" s="1"/>
  <c r="AJ113" i="10"/>
  <c r="AX113" i="10" s="1"/>
  <c r="AZ113" i="10" s="1"/>
  <c r="AW113" i="10"/>
  <c r="V112" i="10"/>
  <c r="AO112" i="10" s="1"/>
  <c r="W112" i="10"/>
  <c r="AP112" i="10" s="1"/>
  <c r="AR112" i="10" s="1"/>
  <c r="AV112" i="10"/>
  <c r="R112" i="10"/>
  <c r="AL112" i="10" s="1"/>
  <c r="AN112" i="10" s="1"/>
  <c r="AJ112" i="10"/>
  <c r="AX112" i="10" s="1"/>
  <c r="S96" i="10"/>
  <c r="AC111" i="10"/>
  <c r="AH111" i="10" s="1"/>
  <c r="AI111" i="10" s="1"/>
  <c r="AW111" i="10" s="1"/>
  <c r="S111" i="10"/>
  <c r="L111" i="10" s="1"/>
  <c r="M111" i="10" s="1"/>
  <c r="L104" i="10"/>
  <c r="E111" i="10"/>
  <c r="H111" i="10"/>
  <c r="BH111" i="10" s="1"/>
  <c r="I111" i="10"/>
  <c r="J111" i="10"/>
  <c r="K111" i="10"/>
  <c r="P111" i="10"/>
  <c r="U111" i="10" s="1"/>
  <c r="Q111" i="10"/>
  <c r="Z111" i="10"/>
  <c r="AA111" i="10"/>
  <c r="AS111" i="10" s="1"/>
  <c r="AB111" i="10"/>
  <c r="AT111" i="10" s="1"/>
  <c r="AM111" i="10"/>
  <c r="AQ111" i="10"/>
  <c r="AU111" i="10"/>
  <c r="AY111" i="10"/>
  <c r="BG111" i="10" s="1"/>
  <c r="BF111" i="10"/>
  <c r="BJ111" i="10"/>
  <c r="E110" i="10"/>
  <c r="H110" i="10"/>
  <c r="BH110" i="10" s="1"/>
  <c r="I110" i="10"/>
  <c r="J110" i="10"/>
  <c r="K110" i="10"/>
  <c r="L110" i="10"/>
  <c r="M110" i="10" s="1"/>
  <c r="P110" i="10"/>
  <c r="U110" i="10" s="1"/>
  <c r="V110" i="10" s="1"/>
  <c r="AO110" i="10" s="1"/>
  <c r="Q110" i="10"/>
  <c r="AK110" i="10" s="1"/>
  <c r="Z110" i="10"/>
  <c r="AA110" i="10"/>
  <c r="AS110" i="10" s="1"/>
  <c r="AB110" i="10"/>
  <c r="AT110" i="10" s="1"/>
  <c r="AH110" i="10"/>
  <c r="AI110" i="10" s="1"/>
  <c r="AW110" i="10" s="1"/>
  <c r="AM110" i="10"/>
  <c r="AQ110" i="10"/>
  <c r="AU110" i="10"/>
  <c r="AY110" i="10"/>
  <c r="BG110" i="10" s="1"/>
  <c r="BF110" i="10"/>
  <c r="BJ110" i="10"/>
  <c r="BA113" i="10" l="1"/>
  <c r="BA112" i="10"/>
  <c r="BA114" i="10"/>
  <c r="BA115" i="10"/>
  <c r="BB115" i="10"/>
  <c r="BD115" i="10" s="1"/>
  <c r="BB116" i="10"/>
  <c r="BD116" i="10" s="1"/>
  <c r="AR116" i="10"/>
  <c r="BA116" i="10" s="1"/>
  <c r="BB114" i="10"/>
  <c r="BD114" i="10" s="1"/>
  <c r="AZ115" i="10"/>
  <c r="BB113" i="10"/>
  <c r="BE113" i="10" s="1"/>
  <c r="AZ114" i="10"/>
  <c r="W110" i="10"/>
  <c r="AP110" i="10" s="1"/>
  <c r="AR110" i="10" s="1"/>
  <c r="AV111" i="10"/>
  <c r="BB112" i="10"/>
  <c r="BD112" i="10" s="1"/>
  <c r="AZ112" i="10"/>
  <c r="AV110" i="10"/>
  <c r="R111" i="10"/>
  <c r="AL111" i="10" s="1"/>
  <c r="AN111" i="10" s="1"/>
  <c r="W111" i="10"/>
  <c r="AP111" i="10" s="1"/>
  <c r="AR111" i="10" s="1"/>
  <c r="AJ110" i="10"/>
  <c r="AX110" i="10" s="1"/>
  <c r="AZ110" i="10" s="1"/>
  <c r="V111" i="10"/>
  <c r="AO111" i="10" s="1"/>
  <c r="AJ111" i="10"/>
  <c r="AX111" i="10" s="1"/>
  <c r="AK111" i="10"/>
  <c r="R110" i="10"/>
  <c r="AL110" i="10" s="1"/>
  <c r="AN110" i="10" s="1"/>
  <c r="E109" i="10"/>
  <c r="H109" i="10"/>
  <c r="BH109" i="10" s="1"/>
  <c r="I109" i="10"/>
  <c r="J109" i="10"/>
  <c r="K109" i="10"/>
  <c r="L109" i="10"/>
  <c r="M109" i="10" s="1"/>
  <c r="P109" i="10"/>
  <c r="U109" i="10" s="1"/>
  <c r="Q109" i="10"/>
  <c r="AK109" i="10" s="1"/>
  <c r="Z109" i="10"/>
  <c r="AA109" i="10"/>
  <c r="AS109" i="10" s="1"/>
  <c r="AB109" i="10"/>
  <c r="AT109" i="10" s="1"/>
  <c r="AH109" i="10"/>
  <c r="AI109" i="10" s="1"/>
  <c r="AW109" i="10" s="1"/>
  <c r="AM109" i="10"/>
  <c r="AQ109" i="10"/>
  <c r="AU109" i="10"/>
  <c r="AY109" i="10"/>
  <c r="BG109" i="10" s="1"/>
  <c r="BF109" i="10"/>
  <c r="BJ109" i="10"/>
  <c r="E108" i="10"/>
  <c r="H108" i="10"/>
  <c r="BH108" i="10" s="1"/>
  <c r="I108" i="10"/>
  <c r="J108" i="10"/>
  <c r="K108" i="10"/>
  <c r="L108" i="10"/>
  <c r="M108" i="10" s="1"/>
  <c r="P108" i="10"/>
  <c r="U108" i="10" s="1"/>
  <c r="V108" i="10" s="1"/>
  <c r="AO108" i="10" s="1"/>
  <c r="Q108" i="10"/>
  <c r="AK108" i="10" s="1"/>
  <c r="Z108" i="10"/>
  <c r="AA108" i="10"/>
  <c r="AS108" i="10" s="1"/>
  <c r="AB108" i="10"/>
  <c r="AT108" i="10" s="1"/>
  <c r="AH108" i="10"/>
  <c r="AI108" i="10" s="1"/>
  <c r="AW108" i="10" s="1"/>
  <c r="AM108" i="10"/>
  <c r="AQ108" i="10"/>
  <c r="AU108" i="10"/>
  <c r="AY108" i="10"/>
  <c r="BG108" i="10" s="1"/>
  <c r="BF108" i="10"/>
  <c r="BJ108" i="10"/>
  <c r="AH104" i="10"/>
  <c r="AI104" i="10" s="1"/>
  <c r="AW104" i="10" s="1"/>
  <c r="E107" i="10"/>
  <c r="H107" i="10"/>
  <c r="BH107" i="10" s="1"/>
  <c r="I107" i="10"/>
  <c r="J107" i="10"/>
  <c r="K107" i="10"/>
  <c r="L107" i="10"/>
  <c r="M107" i="10" s="1"/>
  <c r="P107" i="10"/>
  <c r="U107" i="10" s="1"/>
  <c r="V107" i="10" s="1"/>
  <c r="AO107" i="10" s="1"/>
  <c r="Q107" i="10"/>
  <c r="AK107" i="10" s="1"/>
  <c r="Z107" i="10"/>
  <c r="AA107" i="10"/>
  <c r="AS107" i="10" s="1"/>
  <c r="AB107" i="10"/>
  <c r="AT107" i="10" s="1"/>
  <c r="AH107" i="10"/>
  <c r="AI107" i="10" s="1"/>
  <c r="AW107" i="10" s="1"/>
  <c r="AM107" i="10"/>
  <c r="AQ107" i="10"/>
  <c r="AU107" i="10"/>
  <c r="AY107" i="10"/>
  <c r="E106" i="10"/>
  <c r="H106" i="10"/>
  <c r="BH106" i="10" s="1"/>
  <c r="I106" i="10"/>
  <c r="J106" i="10"/>
  <c r="K106" i="10"/>
  <c r="L106" i="10"/>
  <c r="M106" i="10" s="1"/>
  <c r="P106" i="10"/>
  <c r="U106" i="10" s="1"/>
  <c r="V106" i="10" s="1"/>
  <c r="AO106" i="10" s="1"/>
  <c r="Q106" i="10"/>
  <c r="AK106" i="10" s="1"/>
  <c r="Z106" i="10"/>
  <c r="AA106" i="10"/>
  <c r="AS106" i="10" s="1"/>
  <c r="AB106" i="10"/>
  <c r="AT106" i="10" s="1"/>
  <c r="AH106" i="10"/>
  <c r="AI106" i="10" s="1"/>
  <c r="AW106" i="10" s="1"/>
  <c r="AM106" i="10"/>
  <c r="AQ106" i="10"/>
  <c r="AU106" i="10"/>
  <c r="AY106" i="10"/>
  <c r="BG106" i="10" s="1"/>
  <c r="BF106" i="10"/>
  <c r="BJ106" i="10"/>
  <c r="E105" i="10"/>
  <c r="H105" i="10"/>
  <c r="BH105" i="10" s="1"/>
  <c r="I105" i="10"/>
  <c r="J105" i="10"/>
  <c r="K105" i="10"/>
  <c r="L105" i="10"/>
  <c r="M105" i="10" s="1"/>
  <c r="P105" i="10" s="1"/>
  <c r="Z105" i="10"/>
  <c r="AA105" i="10"/>
  <c r="AS105" i="10" s="1"/>
  <c r="AB105" i="10"/>
  <c r="AT105" i="10" s="1"/>
  <c r="AH105" i="10"/>
  <c r="AI105" i="10" s="1"/>
  <c r="AW105" i="10" s="1"/>
  <c r="AM105" i="10"/>
  <c r="AQ105" i="10"/>
  <c r="AU105" i="10"/>
  <c r="AY105" i="10"/>
  <c r="BG105" i="10" s="1"/>
  <c r="BF105" i="10"/>
  <c r="BJ105" i="10"/>
  <c r="E104" i="10"/>
  <c r="H104" i="10"/>
  <c r="BH104" i="10" s="1"/>
  <c r="I104" i="10"/>
  <c r="J104" i="10"/>
  <c r="K104" i="10"/>
  <c r="M104" i="10"/>
  <c r="P104" i="10" s="1"/>
  <c r="Z104" i="10"/>
  <c r="AA104" i="10"/>
  <c r="AS104" i="10" s="1"/>
  <c r="AB104" i="10"/>
  <c r="AT104" i="10" s="1"/>
  <c r="AM104" i="10"/>
  <c r="AQ104" i="10"/>
  <c r="AU104" i="10"/>
  <c r="AY104" i="10"/>
  <c r="BG104" i="10" s="1"/>
  <c r="BF104" i="10"/>
  <c r="BJ104" i="10"/>
  <c r="BE116" i="10" l="1"/>
  <c r="BM116" i="10"/>
  <c r="BE115" i="10"/>
  <c r="BM115" i="10"/>
  <c r="BE112" i="10"/>
  <c r="BM112" i="10"/>
  <c r="BE114" i="10"/>
  <c r="BM114" i="10"/>
  <c r="BA110" i="10"/>
  <c r="BA111" i="10"/>
  <c r="BB111" i="10"/>
  <c r="BD111" i="10" s="1"/>
  <c r="R109" i="10"/>
  <c r="AL109" i="10" s="1"/>
  <c r="AN109" i="10" s="1"/>
  <c r="AV109" i="10"/>
  <c r="BB110" i="10"/>
  <c r="BD110" i="10" s="1"/>
  <c r="R107" i="10"/>
  <c r="AL107" i="10" s="1"/>
  <c r="AN107" i="10" s="1"/>
  <c r="R106" i="10"/>
  <c r="AL106" i="10" s="1"/>
  <c r="AN106" i="10" s="1"/>
  <c r="W109" i="10"/>
  <c r="AP109" i="10" s="1"/>
  <c r="AR109" i="10" s="1"/>
  <c r="V109" i="10"/>
  <c r="AO109" i="10" s="1"/>
  <c r="W108" i="10"/>
  <c r="AP108" i="10" s="1"/>
  <c r="AR108" i="10" s="1"/>
  <c r="AZ111" i="10"/>
  <c r="R108" i="10"/>
  <c r="AL108" i="10" s="1"/>
  <c r="AN108" i="10" s="1"/>
  <c r="U104" i="10"/>
  <c r="V104" i="10" s="1"/>
  <c r="AO104" i="10" s="1"/>
  <c r="Q104" i="10"/>
  <c r="AK104" i="10" s="1"/>
  <c r="AV106" i="10"/>
  <c r="W107" i="10"/>
  <c r="AP107" i="10" s="1"/>
  <c r="AR107" i="10" s="1"/>
  <c r="AJ109" i="10"/>
  <c r="AX109" i="10" s="1"/>
  <c r="AJ108" i="10"/>
  <c r="AX108" i="10" s="1"/>
  <c r="AV108" i="10"/>
  <c r="AV107" i="10"/>
  <c r="AJ107" i="10"/>
  <c r="AX107" i="10" s="1"/>
  <c r="AZ107" i="10" s="1"/>
  <c r="W106" i="10"/>
  <c r="AP106" i="10" s="1"/>
  <c r="AR106" i="10" s="1"/>
  <c r="AJ106" i="10"/>
  <c r="AX106" i="10" s="1"/>
  <c r="AZ106" i="10" s="1"/>
  <c r="Q105" i="10"/>
  <c r="AK105" i="10" s="1"/>
  <c r="U105" i="10"/>
  <c r="V105" i="10" s="1"/>
  <c r="AO105" i="10" s="1"/>
  <c r="AV104" i="10"/>
  <c r="AJ105" i="10"/>
  <c r="AX105" i="10" s="1"/>
  <c r="AZ105" i="10" s="1"/>
  <c r="AV105" i="10"/>
  <c r="AJ104" i="10"/>
  <c r="AX104" i="10" s="1"/>
  <c r="AZ104" i="10" s="1"/>
  <c r="BE111" i="10" l="1"/>
  <c r="BM111" i="10"/>
  <c r="BE110" i="10"/>
  <c r="BM110" i="10"/>
  <c r="BA109" i="10"/>
  <c r="BA106" i="10"/>
  <c r="BA107" i="10"/>
  <c r="BA108" i="10"/>
  <c r="R105" i="10"/>
  <c r="AL105" i="10" s="1"/>
  <c r="AN105" i="10" s="1"/>
  <c r="R104" i="10"/>
  <c r="AL104" i="10" s="1"/>
  <c r="AN104" i="10" s="1"/>
  <c r="W104" i="10"/>
  <c r="AP104" i="10" s="1"/>
  <c r="AR104" i="10" s="1"/>
  <c r="BB109" i="10"/>
  <c r="BD109" i="10" s="1"/>
  <c r="BB108" i="10"/>
  <c r="BD108" i="10" s="1"/>
  <c r="W105" i="10"/>
  <c r="AP105" i="10" s="1"/>
  <c r="AR105" i="10" s="1"/>
  <c r="AZ109" i="10"/>
  <c r="AZ108" i="10"/>
  <c r="BB106" i="10"/>
  <c r="BD106" i="10" s="1"/>
  <c r="BB107" i="10"/>
  <c r="E103" i="10"/>
  <c r="H103" i="10"/>
  <c r="BH103" i="10" s="1"/>
  <c r="I103" i="10"/>
  <c r="J103" i="10"/>
  <c r="K103" i="10"/>
  <c r="L103" i="10"/>
  <c r="M103" i="10" s="1"/>
  <c r="P103" i="10"/>
  <c r="U103" i="10" s="1"/>
  <c r="V103" i="10" s="1"/>
  <c r="AO103" i="10" s="1"/>
  <c r="Q103" i="10"/>
  <c r="AK103" i="10" s="1"/>
  <c r="Z103" i="10"/>
  <c r="AA103" i="10"/>
  <c r="AS103" i="10" s="1"/>
  <c r="AB103" i="10"/>
  <c r="AT103" i="10" s="1"/>
  <c r="AH103" i="10"/>
  <c r="AI103" i="10" s="1"/>
  <c r="AW103" i="10" s="1"/>
  <c r="AM103" i="10"/>
  <c r="AQ103" i="10"/>
  <c r="AU103" i="10"/>
  <c r="AY103" i="10"/>
  <c r="BG103" i="10" s="1"/>
  <c r="BF103" i="10"/>
  <c r="BJ103" i="10"/>
  <c r="E102" i="10"/>
  <c r="H102" i="10"/>
  <c r="BH102" i="10" s="1"/>
  <c r="I102" i="10"/>
  <c r="J102" i="10"/>
  <c r="K102" i="10"/>
  <c r="L102" i="10"/>
  <c r="M102" i="10" s="1"/>
  <c r="P102" i="10"/>
  <c r="U102" i="10" s="1"/>
  <c r="V102" i="10" s="1"/>
  <c r="AO102" i="10" s="1"/>
  <c r="Q102" i="10"/>
  <c r="AK102" i="10" s="1"/>
  <c r="Z102" i="10"/>
  <c r="AA102" i="10"/>
  <c r="AS102" i="10" s="1"/>
  <c r="AB102" i="10"/>
  <c r="AT102" i="10" s="1"/>
  <c r="AH102" i="10"/>
  <c r="AI102" i="10" s="1"/>
  <c r="AW102" i="10" s="1"/>
  <c r="AM102" i="10"/>
  <c r="AQ102" i="10"/>
  <c r="AU102" i="10"/>
  <c r="AY102" i="10"/>
  <c r="BG102" i="10" s="1"/>
  <c r="BF102" i="10"/>
  <c r="BJ102" i="10"/>
  <c r="E101" i="10"/>
  <c r="H101" i="10"/>
  <c r="BH101" i="10" s="1"/>
  <c r="I101" i="10"/>
  <c r="J101" i="10"/>
  <c r="K101" i="10"/>
  <c r="L101" i="10"/>
  <c r="M101" i="10"/>
  <c r="P101" i="10"/>
  <c r="U101" i="10" s="1"/>
  <c r="V101" i="10" s="1"/>
  <c r="AO101" i="10" s="1"/>
  <c r="Q101" i="10"/>
  <c r="AK101" i="10" s="1"/>
  <c r="Z101" i="10"/>
  <c r="AA101" i="10"/>
  <c r="AS101" i="10" s="1"/>
  <c r="AB101" i="10"/>
  <c r="AT101" i="10" s="1"/>
  <c r="AH101" i="10"/>
  <c r="AI101" i="10" s="1"/>
  <c r="AM101" i="10"/>
  <c r="AQ101" i="10"/>
  <c r="AU101" i="10"/>
  <c r="AY101" i="10"/>
  <c r="BG101" i="10" s="1"/>
  <c r="BF101" i="10"/>
  <c r="BJ101" i="10"/>
  <c r="Q59" i="10"/>
  <c r="E100" i="10"/>
  <c r="H100" i="10"/>
  <c r="BH100" i="10" s="1"/>
  <c r="I100" i="10"/>
  <c r="J100" i="10"/>
  <c r="K100" i="10"/>
  <c r="L100" i="10"/>
  <c r="M100" i="10" s="1"/>
  <c r="P100" i="10"/>
  <c r="U100" i="10" s="1"/>
  <c r="Q100" i="10"/>
  <c r="AK100" i="10" s="1"/>
  <c r="Z100" i="10"/>
  <c r="AA100" i="10"/>
  <c r="AS100" i="10" s="1"/>
  <c r="AB100" i="10"/>
  <c r="AT100" i="10" s="1"/>
  <c r="AH100" i="10"/>
  <c r="AI100" i="10" s="1"/>
  <c r="AW100" i="10" s="1"/>
  <c r="AM100" i="10"/>
  <c r="AQ100" i="10"/>
  <c r="AU100" i="10"/>
  <c r="AY100" i="10"/>
  <c r="BG100" i="10" s="1"/>
  <c r="BF100" i="10"/>
  <c r="BJ100" i="10"/>
  <c r="E99" i="10"/>
  <c r="H99" i="10"/>
  <c r="BH99" i="10" s="1"/>
  <c r="I99" i="10"/>
  <c r="J99" i="10"/>
  <c r="K99" i="10"/>
  <c r="L99" i="10"/>
  <c r="Z99" i="10"/>
  <c r="AA99" i="10"/>
  <c r="AS99" i="10" s="1"/>
  <c r="AB99" i="10"/>
  <c r="AT99" i="10" s="1"/>
  <c r="AH99" i="10"/>
  <c r="AI99" i="10" s="1"/>
  <c r="AW99" i="10" s="1"/>
  <c r="AM99" i="10"/>
  <c r="AQ99" i="10"/>
  <c r="AU99" i="10"/>
  <c r="AY99" i="10"/>
  <c r="BG99" i="10" s="1"/>
  <c r="BF99" i="10"/>
  <c r="BJ99" i="10"/>
  <c r="BE109" i="10" l="1"/>
  <c r="BM109" i="10"/>
  <c r="BE106" i="10"/>
  <c r="BM106" i="10"/>
  <c r="BE108" i="10"/>
  <c r="BM108" i="10"/>
  <c r="BA105" i="10"/>
  <c r="BA104" i="10"/>
  <c r="BB104" i="10"/>
  <c r="BD104" i="10" s="1"/>
  <c r="BB105" i="10"/>
  <c r="BD105" i="10" s="1"/>
  <c r="M99" i="10"/>
  <c r="P99" i="10" s="1"/>
  <c r="W100" i="10"/>
  <c r="AP100" i="10" s="1"/>
  <c r="AR100" i="10" s="1"/>
  <c r="AV103" i="10"/>
  <c r="R100" i="10"/>
  <c r="AL100" i="10" s="1"/>
  <c r="AN100" i="10" s="1"/>
  <c r="V100" i="10"/>
  <c r="AO100" i="10" s="1"/>
  <c r="AJ99" i="10"/>
  <c r="AX99" i="10" s="1"/>
  <c r="R101" i="10"/>
  <c r="AL101" i="10" s="1"/>
  <c r="AN101" i="10" s="1"/>
  <c r="W103" i="10"/>
  <c r="AP103" i="10" s="1"/>
  <c r="AR103" i="10" s="1"/>
  <c r="R103" i="10"/>
  <c r="AL103" i="10" s="1"/>
  <c r="AN103" i="10" s="1"/>
  <c r="W102" i="10"/>
  <c r="AP102" i="10" s="1"/>
  <c r="AR102" i="10" s="1"/>
  <c r="W101" i="10"/>
  <c r="AP101" i="10" s="1"/>
  <c r="AR101" i="10" s="1"/>
  <c r="AJ103" i="10"/>
  <c r="AX103" i="10" s="1"/>
  <c r="AZ103" i="10" s="1"/>
  <c r="AV101" i="10"/>
  <c r="AV102" i="10"/>
  <c r="AV100" i="10"/>
  <c r="AW101" i="10"/>
  <c r="AJ101" i="10"/>
  <c r="AX101" i="10" s="1"/>
  <c r="R102" i="10"/>
  <c r="AL102" i="10" s="1"/>
  <c r="AN102" i="10" s="1"/>
  <c r="AJ102" i="10"/>
  <c r="AX102" i="10" s="1"/>
  <c r="AJ100" i="10"/>
  <c r="AX100" i="10" s="1"/>
  <c r="AV99" i="10"/>
  <c r="BE105" i="10" l="1"/>
  <c r="BM105" i="10"/>
  <c r="BE104" i="10"/>
  <c r="BM104" i="10"/>
  <c r="BA102" i="10"/>
  <c r="BA100" i="10"/>
  <c r="BA103" i="10"/>
  <c r="BA101" i="10"/>
  <c r="U99" i="10"/>
  <c r="Q99" i="10"/>
  <c r="AK99" i="10" s="1"/>
  <c r="BB100" i="10"/>
  <c r="BD100" i="10" s="1"/>
  <c r="AZ99" i="10"/>
  <c r="BB101" i="10"/>
  <c r="BD101" i="10" s="1"/>
  <c r="BB102" i="10"/>
  <c r="BD102" i="10" s="1"/>
  <c r="AZ101" i="10"/>
  <c r="BB103" i="10"/>
  <c r="BD103" i="10" s="1"/>
  <c r="AZ102" i="10"/>
  <c r="AZ100" i="10"/>
  <c r="BE101" i="10" l="1"/>
  <c r="BM101" i="10"/>
  <c r="BE103" i="10"/>
  <c r="BM103" i="10"/>
  <c r="BE100" i="10"/>
  <c r="BM100" i="10"/>
  <c r="BE102" i="10"/>
  <c r="BM102" i="10"/>
  <c r="V99" i="10"/>
  <c r="AO99" i="10" s="1"/>
  <c r="W99" i="10"/>
  <c r="AP99" i="10" s="1"/>
  <c r="R99" i="10"/>
  <c r="AL99" i="10" s="1"/>
  <c r="AN99" i="10" s="1"/>
  <c r="AH98" i="10"/>
  <c r="AI98" i="10" s="1"/>
  <c r="E98" i="10"/>
  <c r="H98" i="10"/>
  <c r="BH98" i="10" s="1"/>
  <c r="I98" i="10"/>
  <c r="J98" i="10"/>
  <c r="K98" i="10"/>
  <c r="L98" i="10"/>
  <c r="M98" i="10" s="1"/>
  <c r="P98" i="10"/>
  <c r="U98" i="10" s="1"/>
  <c r="V98" i="10" s="1"/>
  <c r="AO98" i="10" s="1"/>
  <c r="Q98" i="10"/>
  <c r="AK98" i="10" s="1"/>
  <c r="Z98" i="10"/>
  <c r="AA98" i="10"/>
  <c r="AS98" i="10" s="1"/>
  <c r="AB98" i="10"/>
  <c r="AT98" i="10" s="1"/>
  <c r="AM98" i="10"/>
  <c r="AQ98" i="10"/>
  <c r="AU98" i="10"/>
  <c r="AY98" i="10"/>
  <c r="BG98" i="10" s="1"/>
  <c r="BF98" i="10"/>
  <c r="BJ98" i="10"/>
  <c r="F14" i="10"/>
  <c r="F93" i="10"/>
  <c r="AR99" i="10" l="1"/>
  <c r="BA99" i="10" s="1"/>
  <c r="BB99" i="10"/>
  <c r="BD99" i="10" s="1"/>
  <c r="R98" i="10"/>
  <c r="AL98" i="10" s="1"/>
  <c r="AN98" i="10" s="1"/>
  <c r="AV98" i="10"/>
  <c r="W98" i="10"/>
  <c r="AP98" i="10" s="1"/>
  <c r="AR98" i="10" s="1"/>
  <c r="AW98" i="10"/>
  <c r="AJ98" i="10"/>
  <c r="AX98" i="10" s="1"/>
  <c r="E97" i="10"/>
  <c r="H97" i="10"/>
  <c r="BH97" i="10" s="1"/>
  <c r="I97" i="10"/>
  <c r="J97" i="10"/>
  <c r="K97" i="10"/>
  <c r="L97" i="10"/>
  <c r="M97" i="10" s="1"/>
  <c r="P97" i="10"/>
  <c r="U97" i="10" s="1"/>
  <c r="Q97" i="10"/>
  <c r="AK97" i="10" s="1"/>
  <c r="Z97" i="10"/>
  <c r="AA97" i="10"/>
  <c r="AS97" i="10" s="1"/>
  <c r="AB97" i="10"/>
  <c r="AT97" i="10" s="1"/>
  <c r="AH97" i="10"/>
  <c r="AI97" i="10" s="1"/>
  <c r="AW97" i="10" s="1"/>
  <c r="AM97" i="10"/>
  <c r="AQ97" i="10"/>
  <c r="AU97" i="10"/>
  <c r="AY97" i="10"/>
  <c r="BG97" i="10" s="1"/>
  <c r="BF97" i="10"/>
  <c r="BJ97" i="10"/>
  <c r="E96" i="10"/>
  <c r="H96" i="10"/>
  <c r="BH96" i="10" s="1"/>
  <c r="I96" i="10"/>
  <c r="J96" i="10"/>
  <c r="K96" i="10"/>
  <c r="L96" i="10"/>
  <c r="M96" i="10" s="1"/>
  <c r="P96" i="10"/>
  <c r="U96" i="10" s="1"/>
  <c r="Q96" i="10"/>
  <c r="AK96" i="10" s="1"/>
  <c r="Z96" i="10"/>
  <c r="AA96" i="10"/>
  <c r="AS96" i="10" s="1"/>
  <c r="AB96" i="10"/>
  <c r="AT96" i="10" s="1"/>
  <c r="AH96" i="10"/>
  <c r="AI96" i="10" s="1"/>
  <c r="AW96" i="10" s="1"/>
  <c r="AM96" i="10"/>
  <c r="AQ96" i="10"/>
  <c r="AU96" i="10"/>
  <c r="AY96" i="10"/>
  <c r="BG96" i="10" s="1"/>
  <c r="BF96" i="10"/>
  <c r="BJ96" i="10"/>
  <c r="BE99" i="10" l="1"/>
  <c r="BM99" i="10"/>
  <c r="BA98" i="10"/>
  <c r="BB98" i="10"/>
  <c r="BD98" i="10" s="1"/>
  <c r="AZ98" i="10"/>
  <c r="AV97" i="10"/>
  <c r="AJ97" i="10"/>
  <c r="AX97" i="10" s="1"/>
  <c r="AZ97" i="10" s="1"/>
  <c r="V97" i="10"/>
  <c r="AO97" i="10" s="1"/>
  <c r="W97" i="10"/>
  <c r="AP97" i="10" s="1"/>
  <c r="AR97" i="10" s="1"/>
  <c r="R97" i="10"/>
  <c r="AL97" i="10" s="1"/>
  <c r="AN97" i="10" s="1"/>
  <c r="W96" i="10"/>
  <c r="AP96" i="10" s="1"/>
  <c r="AR96" i="10" s="1"/>
  <c r="V96" i="10"/>
  <c r="AO96" i="10" s="1"/>
  <c r="AV96" i="10"/>
  <c r="R96" i="10"/>
  <c r="AL96" i="10" s="1"/>
  <c r="AN96" i="10" s="1"/>
  <c r="AJ96" i="10"/>
  <c r="AX96" i="10" s="1"/>
  <c r="AZ96" i="10" s="1"/>
  <c r="E95" i="10"/>
  <c r="H95" i="10"/>
  <c r="BH95" i="10" s="1"/>
  <c r="I95" i="10"/>
  <c r="J95" i="10"/>
  <c r="K95" i="10"/>
  <c r="L95" i="10"/>
  <c r="M95" i="10" s="1"/>
  <c r="P95" i="10"/>
  <c r="U95" i="10" s="1"/>
  <c r="Q95" i="10"/>
  <c r="AK95" i="10" s="1"/>
  <c r="Z95" i="10"/>
  <c r="AA95" i="10"/>
  <c r="AS95" i="10" s="1"/>
  <c r="AB95" i="10"/>
  <c r="AT95" i="10" s="1"/>
  <c r="AH95" i="10"/>
  <c r="AI95" i="10" s="1"/>
  <c r="AW95" i="10" s="1"/>
  <c r="AM95" i="10"/>
  <c r="AQ95" i="10"/>
  <c r="AU95" i="10"/>
  <c r="AY95" i="10"/>
  <c r="BG95" i="10" s="1"/>
  <c r="BF95" i="10"/>
  <c r="BJ95" i="10"/>
  <c r="E94" i="10"/>
  <c r="H94" i="10"/>
  <c r="BH94" i="10" s="1"/>
  <c r="I94" i="10"/>
  <c r="J94" i="10"/>
  <c r="K94" i="10"/>
  <c r="L94" i="10"/>
  <c r="M94" i="10" s="1"/>
  <c r="P94" i="10"/>
  <c r="U94" i="10" s="1"/>
  <c r="Q94" i="10"/>
  <c r="AK94" i="10" s="1"/>
  <c r="Z94" i="10"/>
  <c r="AA94" i="10"/>
  <c r="AS94" i="10" s="1"/>
  <c r="AB94" i="10"/>
  <c r="AT94" i="10" s="1"/>
  <c r="AH94" i="10"/>
  <c r="AI94" i="10" s="1"/>
  <c r="AW94" i="10" s="1"/>
  <c r="AM94" i="10"/>
  <c r="AQ94" i="10"/>
  <c r="AU94" i="10"/>
  <c r="AY94" i="10"/>
  <c r="BG94" i="10" s="1"/>
  <c r="BF94" i="10"/>
  <c r="BJ94" i="10"/>
  <c r="E93" i="10"/>
  <c r="H93" i="10"/>
  <c r="BH93" i="10" s="1"/>
  <c r="I93" i="10"/>
  <c r="J93" i="10"/>
  <c r="K93" i="10"/>
  <c r="L93" i="10"/>
  <c r="M93" i="10" s="1"/>
  <c r="P93" i="10"/>
  <c r="U93" i="10" s="1"/>
  <c r="Q93" i="10"/>
  <c r="AK93" i="10" s="1"/>
  <c r="Z93" i="10"/>
  <c r="AA93" i="10"/>
  <c r="AS93" i="10" s="1"/>
  <c r="AB93" i="10"/>
  <c r="AT93" i="10" s="1"/>
  <c r="AH93" i="10"/>
  <c r="AI93" i="10" s="1"/>
  <c r="AM93" i="10"/>
  <c r="AQ93" i="10"/>
  <c r="AU93" i="10"/>
  <c r="AY93" i="10"/>
  <c r="BG93" i="10" s="1"/>
  <c r="BF93" i="10"/>
  <c r="BJ93" i="10"/>
  <c r="E92" i="10"/>
  <c r="H92" i="10"/>
  <c r="BH92" i="10" s="1"/>
  <c r="I92" i="10"/>
  <c r="J92" i="10"/>
  <c r="K92" i="10"/>
  <c r="L92" i="10"/>
  <c r="M92" i="10" s="1"/>
  <c r="P92" i="10"/>
  <c r="U92" i="10" s="1"/>
  <c r="V92" i="10" s="1"/>
  <c r="AO92" i="10" s="1"/>
  <c r="Q92" i="10"/>
  <c r="AK92" i="10" s="1"/>
  <c r="Z92" i="10"/>
  <c r="AA92" i="10"/>
  <c r="AS92" i="10" s="1"/>
  <c r="AB92" i="10"/>
  <c r="AT92" i="10" s="1"/>
  <c r="AH92" i="10"/>
  <c r="AI92" i="10" s="1"/>
  <c r="AW92" i="10" s="1"/>
  <c r="AM92" i="10"/>
  <c r="AQ92" i="10"/>
  <c r="AU92" i="10"/>
  <c r="AY92" i="10"/>
  <c r="BG92" i="10" s="1"/>
  <c r="BF92" i="10"/>
  <c r="BJ92" i="10"/>
  <c r="AC90" i="10"/>
  <c r="AH91" i="10"/>
  <c r="AI91" i="10" s="1"/>
  <c r="AW91" i="10" s="1"/>
  <c r="E91" i="10"/>
  <c r="H91" i="10"/>
  <c r="BH91" i="10" s="1"/>
  <c r="I91" i="10"/>
  <c r="J91" i="10"/>
  <c r="K91" i="10"/>
  <c r="L91" i="10"/>
  <c r="M91" i="10" s="1"/>
  <c r="P91" i="10"/>
  <c r="U91" i="10" s="1"/>
  <c r="Q91" i="10"/>
  <c r="AK91" i="10" s="1"/>
  <c r="Z91" i="10"/>
  <c r="AA91" i="10"/>
  <c r="AS91" i="10" s="1"/>
  <c r="AB91" i="10"/>
  <c r="AT91" i="10" s="1"/>
  <c r="AM91" i="10"/>
  <c r="AQ91" i="10"/>
  <c r="AU91" i="10"/>
  <c r="AY91" i="10"/>
  <c r="BG91" i="10" s="1"/>
  <c r="BF91" i="10"/>
  <c r="BJ91" i="10"/>
  <c r="E90" i="10"/>
  <c r="H90" i="10"/>
  <c r="BH90" i="10" s="1"/>
  <c r="I90" i="10"/>
  <c r="J90" i="10"/>
  <c r="K90" i="10"/>
  <c r="L90" i="10"/>
  <c r="M90" i="10" s="1"/>
  <c r="P90" i="10"/>
  <c r="U90" i="10" s="1"/>
  <c r="Q90" i="10"/>
  <c r="AK90" i="10" s="1"/>
  <c r="Z90" i="10"/>
  <c r="AA90" i="10"/>
  <c r="AS90" i="10" s="1"/>
  <c r="AB90" i="10"/>
  <c r="AT90" i="10" s="1"/>
  <c r="AH90" i="10"/>
  <c r="AI90" i="10" s="1"/>
  <c r="AW90" i="10" s="1"/>
  <c r="AM90" i="10"/>
  <c r="AQ90" i="10"/>
  <c r="AU90" i="10"/>
  <c r="AY90" i="10"/>
  <c r="BG90" i="10" s="1"/>
  <c r="BF90" i="10"/>
  <c r="BJ90" i="10"/>
  <c r="BJ9" i="10"/>
  <c r="BJ10" i="10"/>
  <c r="BJ11" i="10"/>
  <c r="BJ12" i="10"/>
  <c r="BJ13" i="10"/>
  <c r="BJ14" i="10"/>
  <c r="BJ15" i="10"/>
  <c r="BJ16" i="10"/>
  <c r="BJ17" i="10"/>
  <c r="BJ18" i="10"/>
  <c r="BJ19" i="10"/>
  <c r="BJ20" i="10"/>
  <c r="BJ21" i="10"/>
  <c r="BJ22" i="10"/>
  <c r="BJ23" i="10"/>
  <c r="BJ24" i="10"/>
  <c r="BJ25" i="10"/>
  <c r="BJ26" i="10"/>
  <c r="BJ27" i="10"/>
  <c r="BJ28" i="10"/>
  <c r="BJ29" i="10"/>
  <c r="BJ30" i="10"/>
  <c r="BJ31" i="10"/>
  <c r="BJ32" i="10"/>
  <c r="BJ33" i="10"/>
  <c r="BJ34" i="10"/>
  <c r="BJ35" i="10"/>
  <c r="BJ36" i="10"/>
  <c r="BJ37" i="10"/>
  <c r="BJ38" i="10"/>
  <c r="BJ39" i="10"/>
  <c r="BJ40" i="10"/>
  <c r="BJ41" i="10"/>
  <c r="BJ42" i="10"/>
  <c r="BJ43" i="10"/>
  <c r="BJ44" i="10"/>
  <c r="BJ45" i="10"/>
  <c r="BJ46" i="10"/>
  <c r="BJ47" i="10"/>
  <c r="BJ48" i="10"/>
  <c r="BJ49" i="10"/>
  <c r="BJ50" i="10"/>
  <c r="BJ51" i="10"/>
  <c r="BJ52" i="10"/>
  <c r="BJ53" i="10"/>
  <c r="BJ54" i="10"/>
  <c r="BJ55" i="10"/>
  <c r="BJ56" i="10"/>
  <c r="BJ57" i="10"/>
  <c r="BJ58" i="10"/>
  <c r="BJ59" i="10"/>
  <c r="BJ60" i="10"/>
  <c r="BJ61" i="10"/>
  <c r="BJ62" i="10"/>
  <c r="BJ63" i="10"/>
  <c r="BJ64" i="10"/>
  <c r="BJ65" i="10"/>
  <c r="BJ66" i="10"/>
  <c r="BJ67" i="10"/>
  <c r="BJ68" i="10"/>
  <c r="BJ69" i="10"/>
  <c r="BJ70" i="10"/>
  <c r="BJ71" i="10"/>
  <c r="BJ72" i="10"/>
  <c r="BJ73" i="10"/>
  <c r="BJ74" i="10"/>
  <c r="BJ75" i="10"/>
  <c r="BJ76" i="10"/>
  <c r="BJ77" i="10"/>
  <c r="BJ78" i="10"/>
  <c r="BJ79" i="10"/>
  <c r="BJ80" i="10"/>
  <c r="BJ81" i="10"/>
  <c r="BJ82" i="10"/>
  <c r="BJ83" i="10"/>
  <c r="BJ84" i="10"/>
  <c r="BJ85" i="10"/>
  <c r="BJ86" i="10"/>
  <c r="BJ87" i="10"/>
  <c r="BJ88" i="10"/>
  <c r="BJ89" i="10"/>
  <c r="AY89" i="10"/>
  <c r="BG89" i="10" s="1"/>
  <c r="AQ89" i="10"/>
  <c r="E89" i="10"/>
  <c r="H89" i="10"/>
  <c r="BH89" i="10" s="1"/>
  <c r="I89" i="10"/>
  <c r="J89" i="10"/>
  <c r="K89" i="10"/>
  <c r="L89" i="10"/>
  <c r="M89" i="10" s="1"/>
  <c r="P89" i="10"/>
  <c r="U89" i="10" s="1"/>
  <c r="V89" i="10" s="1"/>
  <c r="AO89" i="10" s="1"/>
  <c r="Q89" i="10"/>
  <c r="AK89" i="10" s="1"/>
  <c r="Z89" i="10"/>
  <c r="AA89" i="10"/>
  <c r="AS89" i="10" s="1"/>
  <c r="AB89" i="10"/>
  <c r="AT89" i="10" s="1"/>
  <c r="AH89" i="10"/>
  <c r="AI89" i="10" s="1"/>
  <c r="AW89" i="10" s="1"/>
  <c r="AM89" i="10"/>
  <c r="AU89" i="10"/>
  <c r="BF89" i="10"/>
  <c r="E88" i="10"/>
  <c r="H88" i="10"/>
  <c r="BH88" i="10" s="1"/>
  <c r="I88" i="10"/>
  <c r="J88" i="10"/>
  <c r="K88" i="10"/>
  <c r="L88" i="10"/>
  <c r="M88" i="10" s="1"/>
  <c r="P88" i="10"/>
  <c r="U88" i="10" s="1"/>
  <c r="V88" i="10" s="1"/>
  <c r="AO88" i="10" s="1"/>
  <c r="Q88" i="10"/>
  <c r="AK88" i="10" s="1"/>
  <c r="Z88" i="10"/>
  <c r="AA88" i="10"/>
  <c r="AS88" i="10" s="1"/>
  <c r="AB88" i="10"/>
  <c r="AT88" i="10" s="1"/>
  <c r="AH88" i="10"/>
  <c r="AI88" i="10" s="1"/>
  <c r="AW88" i="10" s="1"/>
  <c r="AM88" i="10"/>
  <c r="AQ88" i="10"/>
  <c r="AU88" i="10"/>
  <c r="AY88" i="10"/>
  <c r="BG88" i="10" s="1"/>
  <c r="BF88" i="10"/>
  <c r="E87" i="10"/>
  <c r="H87" i="10"/>
  <c r="BH87" i="10" s="1"/>
  <c r="I87" i="10"/>
  <c r="J87" i="10"/>
  <c r="K87" i="10"/>
  <c r="L87" i="10"/>
  <c r="M87" i="10" s="1"/>
  <c r="P87" i="10"/>
  <c r="U87" i="10" s="1"/>
  <c r="V87" i="10" s="1"/>
  <c r="AO87" i="10" s="1"/>
  <c r="Q87" i="10"/>
  <c r="AK87" i="10" s="1"/>
  <c r="Z87" i="10"/>
  <c r="AA87" i="10"/>
  <c r="AS87" i="10" s="1"/>
  <c r="AB87" i="10"/>
  <c r="AT87" i="10" s="1"/>
  <c r="AH87" i="10"/>
  <c r="AI87" i="10" s="1"/>
  <c r="AW87" i="10" s="1"/>
  <c r="AM87" i="10"/>
  <c r="AQ87" i="10"/>
  <c r="AU87" i="10"/>
  <c r="AY87" i="10"/>
  <c r="BG87" i="10" s="1"/>
  <c r="BF87" i="10"/>
  <c r="E86" i="10"/>
  <c r="H86" i="10"/>
  <c r="BH86" i="10" s="1"/>
  <c r="I86" i="10"/>
  <c r="J86" i="10"/>
  <c r="K86" i="10"/>
  <c r="L86" i="10"/>
  <c r="M86" i="10" s="1"/>
  <c r="P86" i="10"/>
  <c r="U86" i="10" s="1"/>
  <c r="V86" i="10" s="1"/>
  <c r="AO86" i="10" s="1"/>
  <c r="Q86" i="10"/>
  <c r="AK86" i="10" s="1"/>
  <c r="Z86" i="10"/>
  <c r="AA86" i="10"/>
  <c r="AS86" i="10" s="1"/>
  <c r="AB86" i="10"/>
  <c r="AT86" i="10" s="1"/>
  <c r="AH86" i="10"/>
  <c r="AI86" i="10" s="1"/>
  <c r="AW86" i="10" s="1"/>
  <c r="AM86" i="10"/>
  <c r="AQ86" i="10"/>
  <c r="AU86" i="10"/>
  <c r="AY86" i="10"/>
  <c r="BG86" i="10" s="1"/>
  <c r="BF86" i="10"/>
  <c r="BF9" i="10"/>
  <c r="BF10" i="10"/>
  <c r="BF11" i="10"/>
  <c r="BF12" i="10"/>
  <c r="BF13" i="10"/>
  <c r="BF14" i="10"/>
  <c r="BF15" i="10"/>
  <c r="BF16" i="10"/>
  <c r="BF17" i="10"/>
  <c r="BF18" i="10"/>
  <c r="BF19" i="10"/>
  <c r="BF20" i="10"/>
  <c r="BF21" i="10"/>
  <c r="BF22" i="10"/>
  <c r="BF23" i="10"/>
  <c r="BF24" i="10"/>
  <c r="BF25" i="10"/>
  <c r="BF26" i="10"/>
  <c r="BF27" i="10"/>
  <c r="BF28" i="10"/>
  <c r="BF29" i="10"/>
  <c r="BF30" i="10"/>
  <c r="BF31" i="10"/>
  <c r="BF32" i="10"/>
  <c r="BF33" i="10"/>
  <c r="BF34" i="10"/>
  <c r="BF35" i="10"/>
  <c r="BF36" i="10"/>
  <c r="BF37" i="10"/>
  <c r="BF38" i="10"/>
  <c r="BF39" i="10"/>
  <c r="BF40" i="10"/>
  <c r="BF41" i="10"/>
  <c r="BF42" i="10"/>
  <c r="BF43" i="10"/>
  <c r="BF44" i="10"/>
  <c r="BF45" i="10"/>
  <c r="BF46" i="10"/>
  <c r="BF47" i="10"/>
  <c r="BF48" i="10"/>
  <c r="BF49" i="10"/>
  <c r="BF50" i="10"/>
  <c r="BF51" i="10"/>
  <c r="BF52" i="10"/>
  <c r="BF53" i="10"/>
  <c r="BF54" i="10"/>
  <c r="BF55" i="10"/>
  <c r="BF56" i="10"/>
  <c r="BF57" i="10"/>
  <c r="BF58" i="10"/>
  <c r="BF59" i="10"/>
  <c r="BF60" i="10"/>
  <c r="BF61" i="10"/>
  <c r="BF62" i="10"/>
  <c r="BF63" i="10"/>
  <c r="BF64" i="10"/>
  <c r="BF65" i="10"/>
  <c r="BF66" i="10"/>
  <c r="BF67" i="10"/>
  <c r="BF68" i="10"/>
  <c r="BF69" i="10"/>
  <c r="BF70" i="10"/>
  <c r="BF71" i="10"/>
  <c r="BF72" i="10"/>
  <c r="BF73" i="10"/>
  <c r="BF74" i="10"/>
  <c r="BF75" i="10"/>
  <c r="BF76" i="10"/>
  <c r="BF77" i="10"/>
  <c r="BF78" i="10"/>
  <c r="BF79" i="10"/>
  <c r="BF80" i="10"/>
  <c r="BF81" i="10"/>
  <c r="BF82" i="10"/>
  <c r="BF83" i="10"/>
  <c r="BF84" i="10"/>
  <c r="BF85" i="10"/>
  <c r="BD69" i="10"/>
  <c r="BM69" i="10" s="1"/>
  <c r="BD71" i="10"/>
  <c r="BM71" i="10" s="1"/>
  <c r="BD74" i="10"/>
  <c r="BM74" i="10" s="1"/>
  <c r="BD76" i="10"/>
  <c r="BM76" i="10" s="1"/>
  <c r="E85" i="10"/>
  <c r="H85" i="10"/>
  <c r="BH85" i="10" s="1"/>
  <c r="I85" i="10"/>
  <c r="J85" i="10"/>
  <c r="K85" i="10"/>
  <c r="L85" i="10"/>
  <c r="M85" i="10" s="1"/>
  <c r="P85" i="10"/>
  <c r="U85" i="10" s="1"/>
  <c r="Q85" i="10"/>
  <c r="AK85" i="10" s="1"/>
  <c r="Z85" i="10"/>
  <c r="AA85" i="10"/>
  <c r="AS85" i="10" s="1"/>
  <c r="AB85" i="10"/>
  <c r="AT85" i="10" s="1"/>
  <c r="AH85" i="10"/>
  <c r="AI85" i="10" s="1"/>
  <c r="AM85" i="10"/>
  <c r="AQ85" i="10"/>
  <c r="AU85" i="10"/>
  <c r="AY85" i="10"/>
  <c r="BG85" i="10" s="1"/>
  <c r="F84" i="10"/>
  <c r="E84" i="10"/>
  <c r="H84" i="10"/>
  <c r="BH84" i="10" s="1"/>
  <c r="I84" i="10"/>
  <c r="J84" i="10"/>
  <c r="K84" i="10"/>
  <c r="L84" i="10"/>
  <c r="P84" i="10"/>
  <c r="Q84" i="10"/>
  <c r="AK84" i="10" s="1"/>
  <c r="Z84" i="10"/>
  <c r="AA84" i="10"/>
  <c r="AS84" i="10" s="1"/>
  <c r="AB84" i="10"/>
  <c r="AT84" i="10" s="1"/>
  <c r="AH84" i="10"/>
  <c r="AI84" i="10" s="1"/>
  <c r="AW84" i="10" s="1"/>
  <c r="AM84" i="10"/>
  <c r="AQ84" i="10"/>
  <c r="AU84" i="10"/>
  <c r="AY84" i="10"/>
  <c r="BG84" i="10" s="1"/>
  <c r="E83" i="10"/>
  <c r="H83" i="10"/>
  <c r="BH83" i="10" s="1"/>
  <c r="I83" i="10"/>
  <c r="J83" i="10"/>
  <c r="K83" i="10"/>
  <c r="L83" i="10"/>
  <c r="M83" i="10" s="1"/>
  <c r="P83" i="10"/>
  <c r="U83" i="10" s="1"/>
  <c r="Q83" i="10"/>
  <c r="AK83" i="10" s="1"/>
  <c r="Z83" i="10"/>
  <c r="AA83" i="10"/>
  <c r="AS83" i="10" s="1"/>
  <c r="AB83" i="10"/>
  <c r="AT83" i="10" s="1"/>
  <c r="AH83" i="10"/>
  <c r="AI83" i="10" s="1"/>
  <c r="AW83" i="10" s="1"/>
  <c r="AM83" i="10"/>
  <c r="AQ83" i="10"/>
  <c r="AU83" i="10"/>
  <c r="AY83" i="10"/>
  <c r="BG83" i="10" s="1"/>
  <c r="E82" i="10"/>
  <c r="H82" i="10"/>
  <c r="BH82" i="10" s="1"/>
  <c r="I82" i="10"/>
  <c r="J82" i="10"/>
  <c r="K82" i="10"/>
  <c r="L82" i="10"/>
  <c r="M82" i="10" s="1"/>
  <c r="P82" i="10"/>
  <c r="U82" i="10" s="1"/>
  <c r="V82" i="10" s="1"/>
  <c r="AO82" i="10" s="1"/>
  <c r="Q82" i="10"/>
  <c r="AK82" i="10" s="1"/>
  <c r="Z82" i="10"/>
  <c r="AA82" i="10"/>
  <c r="AS82" i="10" s="1"/>
  <c r="AB82" i="10"/>
  <c r="AT82" i="10" s="1"/>
  <c r="AH82" i="10"/>
  <c r="AI82" i="10" s="1"/>
  <c r="AW82" i="10" s="1"/>
  <c r="AM82" i="10"/>
  <c r="AQ82" i="10"/>
  <c r="AU82" i="10"/>
  <c r="AY82" i="10"/>
  <c r="BG82" i="10" s="1"/>
  <c r="P14" i="9"/>
  <c r="P15" i="9"/>
  <c r="P16" i="9"/>
  <c r="P17" i="9"/>
  <c r="P18" i="9"/>
  <c r="P19" i="9"/>
  <c r="P20" i="9"/>
  <c r="P21" i="9"/>
  <c r="P22" i="9"/>
  <c r="P23" i="9"/>
  <c r="P24" i="9"/>
  <c r="O89" i="8"/>
  <c r="O95" i="8"/>
  <c r="G55" i="9"/>
  <c r="F55" i="9"/>
  <c r="S81" i="10"/>
  <c r="L81" i="10" s="1"/>
  <c r="M81" i="10" s="1"/>
  <c r="E81" i="10"/>
  <c r="H81" i="10"/>
  <c r="BH81" i="10" s="1"/>
  <c r="I81" i="10"/>
  <c r="J81" i="10"/>
  <c r="K81" i="10"/>
  <c r="P81" i="10"/>
  <c r="U81" i="10" s="1"/>
  <c r="V81" i="10" s="1"/>
  <c r="AO81" i="10" s="1"/>
  <c r="Q81" i="10"/>
  <c r="AK81" i="10" s="1"/>
  <c r="Z81" i="10"/>
  <c r="AA81" i="10"/>
  <c r="AS81" i="10" s="1"/>
  <c r="AB81" i="10"/>
  <c r="AT81" i="10" s="1"/>
  <c r="AH81" i="10"/>
  <c r="AI81" i="10" s="1"/>
  <c r="AW81" i="10" s="1"/>
  <c r="AM81" i="10"/>
  <c r="AQ81" i="10"/>
  <c r="AU81" i="10"/>
  <c r="AY81" i="10"/>
  <c r="BG81" i="10" s="1"/>
  <c r="E80" i="10"/>
  <c r="H80" i="10"/>
  <c r="BH80" i="10" s="1"/>
  <c r="I80" i="10"/>
  <c r="J80" i="10"/>
  <c r="K80" i="10"/>
  <c r="L80" i="10"/>
  <c r="M80" i="10" s="1"/>
  <c r="P80" i="10"/>
  <c r="U80" i="10" s="1"/>
  <c r="V80" i="10" s="1"/>
  <c r="AO80" i="10" s="1"/>
  <c r="Q80" i="10"/>
  <c r="AK80" i="10" s="1"/>
  <c r="Z80" i="10"/>
  <c r="AA80" i="10"/>
  <c r="AS80" i="10" s="1"/>
  <c r="AB80" i="10"/>
  <c r="AT80" i="10" s="1"/>
  <c r="AH80" i="10"/>
  <c r="AI80" i="10" s="1"/>
  <c r="AW80" i="10" s="1"/>
  <c r="AM80" i="10"/>
  <c r="AQ80" i="10"/>
  <c r="AU80" i="10"/>
  <c r="AY80" i="10"/>
  <c r="BG80" i="10" s="1"/>
  <c r="E79" i="10"/>
  <c r="H79" i="10"/>
  <c r="BH79" i="10" s="1"/>
  <c r="I79" i="10"/>
  <c r="J79" i="10"/>
  <c r="K79" i="10"/>
  <c r="L79" i="10"/>
  <c r="M79" i="10" s="1"/>
  <c r="P79" i="10"/>
  <c r="U79" i="10" s="1"/>
  <c r="Q79" i="10"/>
  <c r="AK79" i="10" s="1"/>
  <c r="Z79" i="10"/>
  <c r="AA79" i="10"/>
  <c r="AS79" i="10" s="1"/>
  <c r="AB79" i="10"/>
  <c r="AT79" i="10" s="1"/>
  <c r="AH79" i="10"/>
  <c r="AI79" i="10" s="1"/>
  <c r="AW79" i="10" s="1"/>
  <c r="AM79" i="10"/>
  <c r="AQ79" i="10"/>
  <c r="AU79" i="10"/>
  <c r="AY79" i="10"/>
  <c r="BG79" i="10" s="1"/>
  <c r="AM60" i="10"/>
  <c r="AM61" i="10"/>
  <c r="AM62" i="10"/>
  <c r="AM63" i="10"/>
  <c r="AM64" i="10"/>
  <c r="AM65" i="10"/>
  <c r="AM66" i="10"/>
  <c r="AM67" i="10"/>
  <c r="AM68" i="10"/>
  <c r="AM69" i="10"/>
  <c r="AM70" i="10"/>
  <c r="AM71" i="10"/>
  <c r="AM72" i="10"/>
  <c r="AM73" i="10"/>
  <c r="AM74" i="10"/>
  <c r="AM75" i="10"/>
  <c r="AM76" i="10"/>
  <c r="AM77" i="10"/>
  <c r="AM78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8" i="10"/>
  <c r="U78" i="10" s="1"/>
  <c r="BE98" i="10" l="1"/>
  <c r="BM98" i="10"/>
  <c r="BA96" i="10"/>
  <c r="BA97" i="10"/>
  <c r="BB97" i="10"/>
  <c r="BD97" i="10" s="1"/>
  <c r="AV95" i="10"/>
  <c r="R94" i="10"/>
  <c r="AL94" i="10" s="1"/>
  <c r="AN94" i="10" s="1"/>
  <c r="BB96" i="10"/>
  <c r="BD96" i="10" s="1"/>
  <c r="W94" i="10"/>
  <c r="AP94" i="10" s="1"/>
  <c r="AR94" i="10" s="1"/>
  <c r="V95" i="10"/>
  <c r="AO95" i="10" s="1"/>
  <c r="W95" i="10"/>
  <c r="AP95" i="10" s="1"/>
  <c r="AR95" i="10" s="1"/>
  <c r="V94" i="10"/>
  <c r="AO94" i="10" s="1"/>
  <c r="W93" i="10"/>
  <c r="AP93" i="10" s="1"/>
  <c r="AR93" i="10" s="1"/>
  <c r="R95" i="10"/>
  <c r="AL95" i="10" s="1"/>
  <c r="AN95" i="10" s="1"/>
  <c r="AJ94" i="10"/>
  <c r="AX94" i="10" s="1"/>
  <c r="AZ94" i="10" s="1"/>
  <c r="AJ95" i="10"/>
  <c r="AX95" i="10" s="1"/>
  <c r="AZ95" i="10" s="1"/>
  <c r="AV94" i="10"/>
  <c r="V93" i="10"/>
  <c r="AO93" i="10" s="1"/>
  <c r="AJ93" i="10"/>
  <c r="AX93" i="10" s="1"/>
  <c r="W92" i="10"/>
  <c r="AP92" i="10" s="1"/>
  <c r="AR92" i="10" s="1"/>
  <c r="AV93" i="10"/>
  <c r="R93" i="10"/>
  <c r="AL93" i="10" s="1"/>
  <c r="AN93" i="10" s="1"/>
  <c r="R92" i="10"/>
  <c r="AL92" i="10" s="1"/>
  <c r="AN92" i="10" s="1"/>
  <c r="AV92" i="10"/>
  <c r="AW93" i="10"/>
  <c r="AJ92" i="10"/>
  <c r="AX92" i="10" s="1"/>
  <c r="AZ92" i="10" s="1"/>
  <c r="R90" i="10"/>
  <c r="AL90" i="10" s="1"/>
  <c r="AN90" i="10" s="1"/>
  <c r="V91" i="10"/>
  <c r="AO91" i="10" s="1"/>
  <c r="W91" i="10"/>
  <c r="AP91" i="10" s="1"/>
  <c r="AR91" i="10" s="1"/>
  <c r="V90" i="10"/>
  <c r="AO90" i="10" s="1"/>
  <c r="W90" i="10"/>
  <c r="AP90" i="10" s="1"/>
  <c r="AR90" i="10" s="1"/>
  <c r="AV90" i="10"/>
  <c r="AV91" i="10"/>
  <c r="R91" i="10"/>
  <c r="AL91" i="10" s="1"/>
  <c r="AN91" i="10" s="1"/>
  <c r="AJ90" i="10"/>
  <c r="AX90" i="10" s="1"/>
  <c r="AJ91" i="10"/>
  <c r="AX91" i="10" s="1"/>
  <c r="AZ91" i="10" s="1"/>
  <c r="W86" i="10"/>
  <c r="AP86" i="10" s="1"/>
  <c r="AR86" i="10" s="1"/>
  <c r="AJ87" i="10"/>
  <c r="AX87" i="10" s="1"/>
  <c r="AZ87" i="10" s="1"/>
  <c r="AJ88" i="10"/>
  <c r="AX88" i="10" s="1"/>
  <c r="AZ88" i="10" s="1"/>
  <c r="AV89" i="10"/>
  <c r="AV88" i="10"/>
  <c r="R87" i="10"/>
  <c r="AL87" i="10" s="1"/>
  <c r="AN87" i="10" s="1"/>
  <c r="R86" i="10"/>
  <c r="AL86" i="10" s="1"/>
  <c r="AN86" i="10" s="1"/>
  <c r="AV87" i="10"/>
  <c r="R88" i="10"/>
  <c r="AL88" i="10" s="1"/>
  <c r="AN88" i="10" s="1"/>
  <c r="W89" i="10"/>
  <c r="AP89" i="10" s="1"/>
  <c r="AR89" i="10" s="1"/>
  <c r="R89" i="10"/>
  <c r="AL89" i="10" s="1"/>
  <c r="AN89" i="10" s="1"/>
  <c r="W88" i="10"/>
  <c r="AP88" i="10" s="1"/>
  <c r="AR88" i="10" s="1"/>
  <c r="W87" i="10"/>
  <c r="AP87" i="10" s="1"/>
  <c r="AR87" i="10" s="1"/>
  <c r="AJ89" i="10"/>
  <c r="AX89" i="10" s="1"/>
  <c r="AZ89" i="10" s="1"/>
  <c r="AV86" i="10"/>
  <c r="AJ86" i="10"/>
  <c r="AX86" i="10" s="1"/>
  <c r="AZ86" i="10" s="1"/>
  <c r="W85" i="10"/>
  <c r="AP85" i="10" s="1"/>
  <c r="AR85" i="10" s="1"/>
  <c r="AV84" i="10"/>
  <c r="V85" i="10"/>
  <c r="AO85" i="10" s="1"/>
  <c r="W83" i="10"/>
  <c r="AP83" i="10" s="1"/>
  <c r="AR83" i="10" s="1"/>
  <c r="V83" i="10"/>
  <c r="AO83" i="10" s="1"/>
  <c r="M84" i="10"/>
  <c r="R83" i="10"/>
  <c r="AL83" i="10" s="1"/>
  <c r="AN83" i="10" s="1"/>
  <c r="R85" i="10"/>
  <c r="AL85" i="10" s="1"/>
  <c r="AN85" i="10" s="1"/>
  <c r="R84" i="10"/>
  <c r="AL84" i="10" s="1"/>
  <c r="AN84" i="10" s="1"/>
  <c r="AV85" i="10"/>
  <c r="W82" i="10"/>
  <c r="AP82" i="10" s="1"/>
  <c r="AR82" i="10" s="1"/>
  <c r="AJ83" i="10"/>
  <c r="AX83" i="10" s="1"/>
  <c r="AJ85" i="10"/>
  <c r="AX85" i="10" s="1"/>
  <c r="AZ85" i="10" s="1"/>
  <c r="AW85" i="10"/>
  <c r="AJ84" i="10"/>
  <c r="AX84" i="10" s="1"/>
  <c r="AZ84" i="10" s="1"/>
  <c r="U84" i="10"/>
  <c r="AV83" i="10"/>
  <c r="R82" i="10"/>
  <c r="AL82" i="10" s="1"/>
  <c r="AN82" i="10" s="1"/>
  <c r="AV82" i="10"/>
  <c r="AJ82" i="10"/>
  <c r="AX82" i="10" s="1"/>
  <c r="AV81" i="10"/>
  <c r="W81" i="10"/>
  <c r="AP81" i="10" s="1"/>
  <c r="AR81" i="10" s="1"/>
  <c r="R80" i="10"/>
  <c r="AL80" i="10" s="1"/>
  <c r="AN80" i="10" s="1"/>
  <c r="W80" i="10"/>
  <c r="AP80" i="10" s="1"/>
  <c r="AR80" i="10" s="1"/>
  <c r="AV79" i="10"/>
  <c r="AV80" i="10"/>
  <c r="W79" i="10"/>
  <c r="AP79" i="10" s="1"/>
  <c r="AR79" i="10" s="1"/>
  <c r="V79" i="10"/>
  <c r="AO79" i="10" s="1"/>
  <c r="R79" i="10"/>
  <c r="AL79" i="10" s="1"/>
  <c r="AN79" i="10" s="1"/>
  <c r="AJ80" i="10"/>
  <c r="AX80" i="10" s="1"/>
  <c r="R81" i="10"/>
  <c r="AL81" i="10" s="1"/>
  <c r="AN81" i="10" s="1"/>
  <c r="AJ79" i="10"/>
  <c r="AX79" i="10" s="1"/>
  <c r="AJ81" i="10"/>
  <c r="AX81" i="10" s="1"/>
  <c r="AC78" i="10"/>
  <c r="AH78" i="10" s="1"/>
  <c r="AI78" i="10" s="1"/>
  <c r="AW78" i="10" s="1"/>
  <c r="S78" i="10"/>
  <c r="E78" i="10"/>
  <c r="H78" i="10"/>
  <c r="BH78" i="10" s="1"/>
  <c r="I78" i="10"/>
  <c r="J78" i="10"/>
  <c r="K78" i="10"/>
  <c r="L78" i="10"/>
  <c r="M78" i="10" s="1"/>
  <c r="V78" i="10"/>
  <c r="AO78" i="10" s="1"/>
  <c r="Q78" i="10"/>
  <c r="AK78" i="10" s="1"/>
  <c r="Z78" i="10"/>
  <c r="AA78" i="10"/>
  <c r="AS78" i="10" s="1"/>
  <c r="AB78" i="10"/>
  <c r="AT78" i="10" s="1"/>
  <c r="AQ78" i="10"/>
  <c r="AU78" i="10"/>
  <c r="AY78" i="10"/>
  <c r="BG78" i="10" s="1"/>
  <c r="E77" i="10"/>
  <c r="H77" i="10"/>
  <c r="BH77" i="10" s="1"/>
  <c r="I77" i="10"/>
  <c r="J77" i="10"/>
  <c r="K77" i="10"/>
  <c r="L77" i="10"/>
  <c r="M77" i="10" s="1"/>
  <c r="P77" i="10" s="1"/>
  <c r="Z77" i="10"/>
  <c r="AA77" i="10"/>
  <c r="AS77" i="10" s="1"/>
  <c r="AB77" i="10"/>
  <c r="AT77" i="10" s="1"/>
  <c r="AH77" i="10"/>
  <c r="AI77" i="10" s="1"/>
  <c r="AW77" i="10" s="1"/>
  <c r="AQ77" i="10"/>
  <c r="AU77" i="10"/>
  <c r="AY77" i="10"/>
  <c r="BG77" i="10" s="1"/>
  <c r="E76" i="10"/>
  <c r="H76" i="10"/>
  <c r="BH76" i="10" s="1"/>
  <c r="I76" i="10"/>
  <c r="J76" i="10"/>
  <c r="K76" i="10"/>
  <c r="L76" i="10"/>
  <c r="M76" i="10" s="1"/>
  <c r="Q76" i="10"/>
  <c r="AK76" i="10" s="1"/>
  <c r="U76" i="10"/>
  <c r="Z76" i="10"/>
  <c r="AA76" i="10"/>
  <c r="AS76" i="10" s="1"/>
  <c r="AB76" i="10"/>
  <c r="AT76" i="10" s="1"/>
  <c r="AH76" i="10"/>
  <c r="AI76" i="10" s="1"/>
  <c r="AW76" i="10" s="1"/>
  <c r="AQ76" i="10"/>
  <c r="AU76" i="10"/>
  <c r="AY76" i="10"/>
  <c r="BE97" i="10" l="1"/>
  <c r="BM97" i="10"/>
  <c r="BE96" i="10"/>
  <c r="BM96" i="10"/>
  <c r="BA91" i="10"/>
  <c r="BA83" i="10"/>
  <c r="BA86" i="10"/>
  <c r="BA93" i="10"/>
  <c r="BA87" i="10"/>
  <c r="BA82" i="10"/>
  <c r="BA94" i="10"/>
  <c r="BA89" i="10"/>
  <c r="BA85" i="10"/>
  <c r="BA90" i="10"/>
  <c r="BA81" i="10"/>
  <c r="BA80" i="10"/>
  <c r="BA92" i="10"/>
  <c r="BA95" i="10"/>
  <c r="BA79" i="10"/>
  <c r="BA88" i="10"/>
  <c r="BB93" i="10"/>
  <c r="BD93" i="10" s="1"/>
  <c r="BB95" i="10"/>
  <c r="BD95" i="10" s="1"/>
  <c r="AZ93" i="10"/>
  <c r="BB94" i="10"/>
  <c r="BD94" i="10" s="1"/>
  <c r="BB92" i="10"/>
  <c r="BD92" i="10" s="1"/>
  <c r="BM92" i="10" s="1"/>
  <c r="BB91" i="10"/>
  <c r="BD91" i="10" s="1"/>
  <c r="BB90" i="10"/>
  <c r="BD90" i="10" s="1"/>
  <c r="AZ90" i="10"/>
  <c r="BB88" i="10"/>
  <c r="BD88" i="10" s="1"/>
  <c r="BB89" i="10"/>
  <c r="BD89" i="10" s="1"/>
  <c r="BB87" i="10"/>
  <c r="BD87" i="10" s="1"/>
  <c r="BB86" i="10"/>
  <c r="BE76" i="10"/>
  <c r="BG76" i="10"/>
  <c r="BB83" i="10"/>
  <c r="BD83" i="10" s="1"/>
  <c r="BB82" i="10"/>
  <c r="BD82" i="10" s="1"/>
  <c r="V84" i="10"/>
  <c r="AO84" i="10" s="1"/>
  <c r="W84" i="10"/>
  <c r="AP84" i="10" s="1"/>
  <c r="AR84" i="10" s="1"/>
  <c r="BA84" i="10" s="1"/>
  <c r="BB81" i="10"/>
  <c r="BD81" i="10" s="1"/>
  <c r="AZ83" i="10"/>
  <c r="BB85" i="10"/>
  <c r="BD85" i="10" s="1"/>
  <c r="BB79" i="10"/>
  <c r="BD79" i="10" s="1"/>
  <c r="AZ82" i="10"/>
  <c r="BB80" i="10"/>
  <c r="BD80" i="10" s="1"/>
  <c r="AZ79" i="10"/>
  <c r="AZ80" i="10"/>
  <c r="AZ81" i="10"/>
  <c r="AV77" i="10"/>
  <c r="AV78" i="10"/>
  <c r="W76" i="10"/>
  <c r="AP76" i="10" s="1"/>
  <c r="AR76" i="10" s="1"/>
  <c r="Q77" i="10"/>
  <c r="R77" i="10" s="1"/>
  <c r="U77" i="10"/>
  <c r="R78" i="10"/>
  <c r="AL78" i="10" s="1"/>
  <c r="AN78" i="10" s="1"/>
  <c r="R76" i="10"/>
  <c r="AL76" i="10" s="1"/>
  <c r="AN76" i="10" s="1"/>
  <c r="W78" i="10"/>
  <c r="AP78" i="10" s="1"/>
  <c r="AR78" i="10" s="1"/>
  <c r="AJ78" i="10"/>
  <c r="AX78" i="10" s="1"/>
  <c r="AZ78" i="10" s="1"/>
  <c r="AV76" i="10"/>
  <c r="AJ77" i="10"/>
  <c r="AX77" i="10" s="1"/>
  <c r="AZ77" i="10" s="1"/>
  <c r="V76" i="10"/>
  <c r="AO76" i="10" s="1"/>
  <c r="AJ76" i="10"/>
  <c r="AX76" i="10" s="1"/>
  <c r="AZ76" i="10" s="1"/>
  <c r="BE79" i="10" l="1"/>
  <c r="BM79" i="10"/>
  <c r="BE82" i="10"/>
  <c r="BM82" i="10"/>
  <c r="BE89" i="10"/>
  <c r="BM89" i="10"/>
  <c r="BE94" i="10"/>
  <c r="BM94" i="10"/>
  <c r="BE83" i="10"/>
  <c r="BM83" i="10"/>
  <c r="BE88" i="10"/>
  <c r="BM88" i="10"/>
  <c r="BE95" i="10"/>
  <c r="BM95" i="10"/>
  <c r="BE81" i="10"/>
  <c r="BM81" i="10"/>
  <c r="BE90" i="10"/>
  <c r="BM90" i="10"/>
  <c r="BE93" i="10"/>
  <c r="BM93" i="10"/>
  <c r="BE80" i="10"/>
  <c r="BM80" i="10"/>
  <c r="BE91" i="10"/>
  <c r="BM91" i="10"/>
  <c r="BE85" i="10"/>
  <c r="BM85" i="10"/>
  <c r="BE87" i="10"/>
  <c r="BM87" i="10"/>
  <c r="BA76" i="10"/>
  <c r="BA78" i="10"/>
  <c r="BD86" i="10"/>
  <c r="BB84" i="10"/>
  <c r="BD84" i="10" s="1"/>
  <c r="V77" i="10"/>
  <c r="AO77" i="10" s="1"/>
  <c r="W77" i="10"/>
  <c r="AP77" i="10" s="1"/>
  <c r="AK77" i="10"/>
  <c r="BB78" i="10"/>
  <c r="BD78" i="10" s="1"/>
  <c r="E75" i="10"/>
  <c r="H75" i="10"/>
  <c r="BH75" i="10" s="1"/>
  <c r="I75" i="10"/>
  <c r="J75" i="10"/>
  <c r="K75" i="10"/>
  <c r="L75" i="10"/>
  <c r="M75" i="10" s="1"/>
  <c r="U75" i="10"/>
  <c r="V75" i="10" s="1"/>
  <c r="AO75" i="10" s="1"/>
  <c r="Q75" i="10"/>
  <c r="AK75" i="10" s="1"/>
  <c r="Z75" i="10"/>
  <c r="AA75" i="10"/>
  <c r="AS75" i="10" s="1"/>
  <c r="AB75" i="10"/>
  <c r="AT75" i="10" s="1"/>
  <c r="AH75" i="10"/>
  <c r="AI75" i="10" s="1"/>
  <c r="AW75" i="10" s="1"/>
  <c r="AQ75" i="10"/>
  <c r="AU75" i="10"/>
  <c r="AY75" i="10"/>
  <c r="BG75" i="10" s="1"/>
  <c r="E74" i="10"/>
  <c r="H74" i="10"/>
  <c r="BH74" i="10" s="1"/>
  <c r="I74" i="10"/>
  <c r="J74" i="10"/>
  <c r="K74" i="10"/>
  <c r="L74" i="10"/>
  <c r="M74" i="10" s="1"/>
  <c r="U74" i="10"/>
  <c r="V74" i="10" s="1"/>
  <c r="AO74" i="10" s="1"/>
  <c r="Q74" i="10"/>
  <c r="AK74" i="10" s="1"/>
  <c r="Z74" i="10"/>
  <c r="AA74" i="10"/>
  <c r="AS74" i="10" s="1"/>
  <c r="AB74" i="10"/>
  <c r="AT74" i="10" s="1"/>
  <c r="AH74" i="10"/>
  <c r="AI74" i="10" s="1"/>
  <c r="AW74" i="10" s="1"/>
  <c r="AQ74" i="10"/>
  <c r="AU74" i="10"/>
  <c r="AY74" i="10"/>
  <c r="AC71" i="10"/>
  <c r="F71" i="10"/>
  <c r="F72" i="10"/>
  <c r="I232" i="4"/>
  <c r="Q232" i="4" s="1"/>
  <c r="I234" i="4"/>
  <c r="Q234" i="4" s="1"/>
  <c r="M232" i="4"/>
  <c r="M233" i="4"/>
  <c r="M234" i="4"/>
  <c r="N232" i="4"/>
  <c r="N233" i="4"/>
  <c r="N234" i="4"/>
  <c r="O232" i="4"/>
  <c r="O233" i="4"/>
  <c r="O234" i="4"/>
  <c r="P232" i="4"/>
  <c r="P233" i="4"/>
  <c r="P234" i="4"/>
  <c r="Q233" i="4"/>
  <c r="S234" i="4" l="1"/>
  <c r="N234" i="5" s="1"/>
  <c r="L234" i="5"/>
  <c r="S232" i="4"/>
  <c r="N232" i="5" s="1"/>
  <c r="L232" i="5"/>
  <c r="R234" i="4"/>
  <c r="M234" i="5" s="1"/>
  <c r="K234" i="5"/>
  <c r="R232" i="4"/>
  <c r="M232" i="5" s="1"/>
  <c r="K232" i="5"/>
  <c r="S233" i="4"/>
  <c r="N233" i="5" s="1"/>
  <c r="L233" i="5"/>
  <c r="R233" i="4"/>
  <c r="M233" i="5" s="1"/>
  <c r="K233" i="5"/>
  <c r="BE78" i="10"/>
  <c r="BM78" i="10"/>
  <c r="BE84" i="10"/>
  <c r="BM84" i="10"/>
  <c r="BE86" i="10"/>
  <c r="BM86" i="10"/>
  <c r="BE74" i="10"/>
  <c r="BG74" i="10"/>
  <c r="R75" i="10"/>
  <c r="AL75" i="10" s="1"/>
  <c r="AN75" i="10" s="1"/>
  <c r="AL77" i="10"/>
  <c r="AN77" i="10" s="1"/>
  <c r="AV75" i="10"/>
  <c r="AV74" i="10"/>
  <c r="BB77" i="10"/>
  <c r="BD77" i="10" s="1"/>
  <c r="AR77" i="10"/>
  <c r="R74" i="10"/>
  <c r="AL74" i="10" s="1"/>
  <c r="AN74" i="10" s="1"/>
  <c r="W75" i="10"/>
  <c r="AP75" i="10" s="1"/>
  <c r="AR75" i="10" s="1"/>
  <c r="AJ75" i="10"/>
  <c r="AX75" i="10" s="1"/>
  <c r="W74" i="10"/>
  <c r="AP74" i="10" s="1"/>
  <c r="AR74" i="10" s="1"/>
  <c r="AJ74" i="10"/>
  <c r="AX74" i="10" s="1"/>
  <c r="T234" i="4"/>
  <c r="T232" i="4"/>
  <c r="X232" i="4" l="1"/>
  <c r="O232" i="5"/>
  <c r="X234" i="4"/>
  <c r="O234" i="5"/>
  <c r="T233" i="4"/>
  <c r="BE77" i="10"/>
  <c r="BM77" i="10"/>
  <c r="BA75" i="10"/>
  <c r="BA74" i="10"/>
  <c r="BA77" i="10"/>
  <c r="BB75" i="10"/>
  <c r="BD75" i="10" s="1"/>
  <c r="AZ75" i="10"/>
  <c r="AZ74" i="10"/>
  <c r="X233" i="4" l="1"/>
  <c r="O233" i="5"/>
  <c r="Y234" i="4"/>
  <c r="S234" i="5"/>
  <c r="Y232" i="4"/>
  <c r="S232" i="5"/>
  <c r="BE75" i="10"/>
  <c r="BM75" i="10"/>
  <c r="E68" i="10"/>
  <c r="E70" i="10"/>
  <c r="E72" i="10"/>
  <c r="E73" i="10"/>
  <c r="E71" i="10"/>
  <c r="H68" i="10"/>
  <c r="BH68" i="10" s="1"/>
  <c r="H70" i="10"/>
  <c r="BH70" i="10" s="1"/>
  <c r="H72" i="10"/>
  <c r="BH72" i="10" s="1"/>
  <c r="H73" i="10"/>
  <c r="BH73" i="10" s="1"/>
  <c r="H71" i="10"/>
  <c r="BH71" i="10" s="1"/>
  <c r="I68" i="10"/>
  <c r="I70" i="10"/>
  <c r="I72" i="10"/>
  <c r="I73" i="10"/>
  <c r="I71" i="10"/>
  <c r="J68" i="10"/>
  <c r="J70" i="10"/>
  <c r="J72" i="10"/>
  <c r="J73" i="10"/>
  <c r="J71" i="10"/>
  <c r="K68" i="10"/>
  <c r="K70" i="10"/>
  <c r="K72" i="10"/>
  <c r="K73" i="10"/>
  <c r="K71" i="10"/>
  <c r="L68" i="10"/>
  <c r="M68" i="10" s="1"/>
  <c r="L70" i="10"/>
  <c r="M70" i="10" s="1"/>
  <c r="L72" i="10"/>
  <c r="M72" i="10" s="1"/>
  <c r="L73" i="10"/>
  <c r="M73" i="10" s="1"/>
  <c r="L71" i="10"/>
  <c r="M71" i="10" s="1"/>
  <c r="U68" i="10"/>
  <c r="U70" i="10"/>
  <c r="V70" i="10" s="1"/>
  <c r="AO70" i="10" s="1"/>
  <c r="U72" i="10"/>
  <c r="V72" i="10" s="1"/>
  <c r="AO72" i="10" s="1"/>
  <c r="U73" i="10"/>
  <c r="V73" i="10" s="1"/>
  <c r="AO73" i="10" s="1"/>
  <c r="U71" i="10"/>
  <c r="V71" i="10" s="1"/>
  <c r="AO71" i="10" s="1"/>
  <c r="Q68" i="10"/>
  <c r="AK68" i="10" s="1"/>
  <c r="Q70" i="10"/>
  <c r="AK70" i="10" s="1"/>
  <c r="Q72" i="10"/>
  <c r="AK72" i="10" s="1"/>
  <c r="Q73" i="10"/>
  <c r="AK73" i="10" s="1"/>
  <c r="Q71" i="10"/>
  <c r="AK71" i="10" s="1"/>
  <c r="Z68" i="10"/>
  <c r="Z70" i="10"/>
  <c r="Z72" i="10"/>
  <c r="Z73" i="10"/>
  <c r="Z71" i="10"/>
  <c r="AA68" i="10"/>
  <c r="AS68" i="10" s="1"/>
  <c r="AA70" i="10"/>
  <c r="AS70" i="10" s="1"/>
  <c r="AA72" i="10"/>
  <c r="AS72" i="10" s="1"/>
  <c r="AA73" i="10"/>
  <c r="AS73" i="10" s="1"/>
  <c r="AA71" i="10"/>
  <c r="AS71" i="10" s="1"/>
  <c r="AB68" i="10"/>
  <c r="AT68" i="10" s="1"/>
  <c r="AB70" i="10"/>
  <c r="AT70" i="10" s="1"/>
  <c r="AB72" i="10"/>
  <c r="AT72" i="10" s="1"/>
  <c r="AB73" i="10"/>
  <c r="AT73" i="10" s="1"/>
  <c r="AB71" i="10"/>
  <c r="AT71" i="10" s="1"/>
  <c r="AH68" i="10"/>
  <c r="AI68" i="10" s="1"/>
  <c r="AH70" i="10"/>
  <c r="AI70" i="10" s="1"/>
  <c r="AH72" i="10"/>
  <c r="AI72" i="10" s="1"/>
  <c r="AW72" i="10" s="1"/>
  <c r="AH73" i="10"/>
  <c r="AI73" i="10" s="1"/>
  <c r="AH71" i="10"/>
  <c r="AI71" i="10" s="1"/>
  <c r="AQ68" i="10"/>
  <c r="AQ70" i="10"/>
  <c r="AQ72" i="10"/>
  <c r="AQ73" i="10"/>
  <c r="AQ71" i="10"/>
  <c r="AU68" i="10"/>
  <c r="AU70" i="10"/>
  <c r="AU72" i="10"/>
  <c r="AU73" i="10"/>
  <c r="AU71" i="10"/>
  <c r="AY68" i="10"/>
  <c r="BG68" i="10" s="1"/>
  <c r="AY70" i="10"/>
  <c r="BG70" i="10" s="1"/>
  <c r="AY72" i="10"/>
  <c r="BG72" i="10" s="1"/>
  <c r="AY73" i="10"/>
  <c r="BG73" i="10" s="1"/>
  <c r="AY71" i="10"/>
  <c r="U232" i="4" l="1"/>
  <c r="T232" i="5"/>
  <c r="Z232" i="4"/>
  <c r="U232" i="5" s="1"/>
  <c r="V232" i="4"/>
  <c r="Q232" i="5" s="1"/>
  <c r="V234" i="4"/>
  <c r="Q234" i="5" s="1"/>
  <c r="T234" i="5"/>
  <c r="U234" i="4"/>
  <c r="Z234" i="4"/>
  <c r="U234" i="5" s="1"/>
  <c r="Y233" i="4"/>
  <c r="S233" i="5"/>
  <c r="BE71" i="10"/>
  <c r="BG71" i="10"/>
  <c r="AV72" i="10"/>
  <c r="R71" i="10"/>
  <c r="AL71" i="10" s="1"/>
  <c r="AN71" i="10" s="1"/>
  <c r="W71" i="10"/>
  <c r="AP71" i="10" s="1"/>
  <c r="AR71" i="10" s="1"/>
  <c r="W73" i="10"/>
  <c r="AP73" i="10" s="1"/>
  <c r="AR73" i="10" s="1"/>
  <c r="R73" i="10"/>
  <c r="AL73" i="10" s="1"/>
  <c r="AN73" i="10" s="1"/>
  <c r="AJ71" i="10"/>
  <c r="AX71" i="10" s="1"/>
  <c r="AZ71" i="10" s="1"/>
  <c r="AJ73" i="10"/>
  <c r="AX73" i="10" s="1"/>
  <c r="W72" i="10"/>
  <c r="AP72" i="10" s="1"/>
  <c r="AR72" i="10" s="1"/>
  <c r="R72" i="10"/>
  <c r="AL72" i="10" s="1"/>
  <c r="AN72" i="10" s="1"/>
  <c r="AV70" i="10"/>
  <c r="R70" i="10"/>
  <c r="AL70" i="10" s="1"/>
  <c r="AN70" i="10" s="1"/>
  <c r="V68" i="10"/>
  <c r="AO68" i="10" s="1"/>
  <c r="W68" i="10"/>
  <c r="AP68" i="10" s="1"/>
  <c r="AR68" i="10" s="1"/>
  <c r="AV68" i="10"/>
  <c r="R68" i="10"/>
  <c r="AL68" i="10" s="1"/>
  <c r="AN68" i="10" s="1"/>
  <c r="AV71" i="10"/>
  <c r="W70" i="10"/>
  <c r="AP70" i="10" s="1"/>
  <c r="AR70" i="10" s="1"/>
  <c r="AW71" i="10"/>
  <c r="AV73" i="10"/>
  <c r="AJ70" i="10"/>
  <c r="AX70" i="10" s="1"/>
  <c r="AJ68" i="10"/>
  <c r="AX68" i="10" s="1"/>
  <c r="AZ68" i="10" s="1"/>
  <c r="AW73" i="10"/>
  <c r="AW70" i="10"/>
  <c r="AW68" i="10"/>
  <c r="AJ72" i="10"/>
  <c r="AX72" i="10" s="1"/>
  <c r="E69" i="10"/>
  <c r="H69" i="10"/>
  <c r="BH69" i="10" s="1"/>
  <c r="I69" i="10"/>
  <c r="J69" i="10"/>
  <c r="K69" i="10"/>
  <c r="L69" i="10"/>
  <c r="M69" i="10" s="1"/>
  <c r="U69" i="10"/>
  <c r="Q69" i="10"/>
  <c r="AK69" i="10" s="1"/>
  <c r="Z69" i="10"/>
  <c r="AA69" i="10"/>
  <c r="AS69" i="10" s="1"/>
  <c r="AB69" i="10"/>
  <c r="AT69" i="10" s="1"/>
  <c r="AH69" i="10"/>
  <c r="AI69" i="10" s="1"/>
  <c r="AW69" i="10" s="1"/>
  <c r="AQ69" i="10"/>
  <c r="AU69" i="10"/>
  <c r="AY69" i="10"/>
  <c r="AC67" i="10"/>
  <c r="AH67" i="10" s="1"/>
  <c r="AI67" i="10" s="1"/>
  <c r="AW67" i="10" s="1"/>
  <c r="H67" i="10"/>
  <c r="BH67" i="10" s="1"/>
  <c r="E67" i="10"/>
  <c r="I67" i="10"/>
  <c r="J67" i="10"/>
  <c r="K67" i="10"/>
  <c r="L67" i="10"/>
  <c r="M67" i="10" s="1"/>
  <c r="U67" i="10"/>
  <c r="V67" i="10" s="1"/>
  <c r="AO67" i="10" s="1"/>
  <c r="Q67" i="10"/>
  <c r="AK67" i="10" s="1"/>
  <c r="Z67" i="10"/>
  <c r="AA67" i="10"/>
  <c r="AS67" i="10" s="1"/>
  <c r="AB67" i="10"/>
  <c r="AT67" i="10" s="1"/>
  <c r="AQ67" i="10"/>
  <c r="AU67" i="10"/>
  <c r="AY67" i="10"/>
  <c r="I231" i="4"/>
  <c r="Q231" i="4" s="1"/>
  <c r="H231" i="4"/>
  <c r="R231" i="4" s="1"/>
  <c r="M231" i="4"/>
  <c r="I227" i="4"/>
  <c r="Q227" i="4" s="1"/>
  <c r="I228" i="4"/>
  <c r="Q228" i="4" s="1"/>
  <c r="AC64" i="10"/>
  <c r="AC63" i="10"/>
  <c r="AC62" i="10"/>
  <c r="Z62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Z63" i="10"/>
  <c r="Z64" i="10"/>
  <c r="Z65" i="10"/>
  <c r="Z66" i="10"/>
  <c r="I226" i="4"/>
  <c r="Q226" i="4" s="1"/>
  <c r="I229" i="4"/>
  <c r="Q229" i="4" s="1"/>
  <c r="M230" i="4"/>
  <c r="N230" i="4"/>
  <c r="O230" i="4"/>
  <c r="R230" i="4"/>
  <c r="Q230" i="4"/>
  <c r="M228" i="4"/>
  <c r="M229" i="4"/>
  <c r="N228" i="4"/>
  <c r="N229" i="4"/>
  <c r="O228" i="4"/>
  <c r="O229" i="4"/>
  <c r="P228" i="4"/>
  <c r="P229" i="4"/>
  <c r="M227" i="4"/>
  <c r="N227" i="4"/>
  <c r="O227" i="4"/>
  <c r="P227" i="4"/>
  <c r="AC65" i="10"/>
  <c r="I224" i="4"/>
  <c r="M226" i="4"/>
  <c r="N226" i="4"/>
  <c r="O226" i="4"/>
  <c r="P226" i="4"/>
  <c r="AC61" i="10"/>
  <c r="S61" i="10"/>
  <c r="S227" i="4" l="1"/>
  <c r="N227" i="5" s="1"/>
  <c r="L227" i="5"/>
  <c r="S228" i="4"/>
  <c r="N228" i="5" s="1"/>
  <c r="L228" i="5"/>
  <c r="R229" i="4"/>
  <c r="M229" i="5" s="1"/>
  <c r="K229" i="5"/>
  <c r="R228" i="4"/>
  <c r="M228" i="5" s="1"/>
  <c r="K228" i="5"/>
  <c r="U233" i="4"/>
  <c r="T233" i="5"/>
  <c r="Z233" i="4"/>
  <c r="U233" i="5" s="1"/>
  <c r="V233" i="4"/>
  <c r="Q233" i="5" s="1"/>
  <c r="S229" i="4"/>
  <c r="N229" i="5" s="1"/>
  <c r="L229" i="5"/>
  <c r="R226" i="4"/>
  <c r="M226" i="5" s="1"/>
  <c r="K226" i="5"/>
  <c r="R227" i="4"/>
  <c r="M227" i="5" s="1"/>
  <c r="K227" i="5"/>
  <c r="S230" i="4"/>
  <c r="N230" i="5" s="1"/>
  <c r="L230" i="5"/>
  <c r="S226" i="4"/>
  <c r="N226" i="5" s="1"/>
  <c r="L226" i="5"/>
  <c r="S231" i="4"/>
  <c r="N231" i="5" s="1"/>
  <c r="L231" i="5"/>
  <c r="W234" i="4"/>
  <c r="R234" i="5" s="1"/>
  <c r="P234" i="5"/>
  <c r="W232" i="4"/>
  <c r="R232" i="5" s="1"/>
  <c r="P232" i="5"/>
  <c r="BA70" i="10"/>
  <c r="BA73" i="10"/>
  <c r="BA71" i="10"/>
  <c r="BA68" i="10"/>
  <c r="BA72" i="10"/>
  <c r="BE69" i="10"/>
  <c r="BG69" i="10"/>
  <c r="BG67" i="10"/>
  <c r="BB72" i="10"/>
  <c r="BD72" i="10" s="1"/>
  <c r="BB73" i="10"/>
  <c r="BD73" i="10" s="1"/>
  <c r="AZ73" i="10"/>
  <c r="BB68" i="10"/>
  <c r="BD68" i="10" s="1"/>
  <c r="W69" i="10"/>
  <c r="AP69" i="10" s="1"/>
  <c r="AR69" i="10" s="1"/>
  <c r="BB70" i="10"/>
  <c r="BD70" i="10" s="1"/>
  <c r="R69" i="10"/>
  <c r="AL69" i="10" s="1"/>
  <c r="AN69" i="10" s="1"/>
  <c r="O231" i="4"/>
  <c r="N231" i="4"/>
  <c r="AZ70" i="10"/>
  <c r="AZ72" i="10"/>
  <c r="AV69" i="10"/>
  <c r="AV67" i="10"/>
  <c r="V69" i="10"/>
  <c r="AO69" i="10" s="1"/>
  <c r="AJ69" i="10"/>
  <c r="AX69" i="10" s="1"/>
  <c r="AZ69" i="10" s="1"/>
  <c r="R67" i="10"/>
  <c r="AL67" i="10" s="1"/>
  <c r="AN67" i="10" s="1"/>
  <c r="W67" i="10"/>
  <c r="AP67" i="10" s="1"/>
  <c r="AR67" i="10" s="1"/>
  <c r="AJ67" i="10"/>
  <c r="T228" i="4"/>
  <c r="T227" i="4"/>
  <c r="AC59" i="10"/>
  <c r="S59" i="10"/>
  <c r="F61" i="10"/>
  <c r="K225" i="4"/>
  <c r="N225" i="4" s="1"/>
  <c r="H224" i="4"/>
  <c r="N224" i="4" s="1"/>
  <c r="S60" i="10"/>
  <c r="Q225" i="4"/>
  <c r="O225" i="4"/>
  <c r="P225" i="4"/>
  <c r="M224" i="4"/>
  <c r="Q224" i="4"/>
  <c r="T226" i="4" l="1"/>
  <c r="X226" i="4" s="1"/>
  <c r="T229" i="4"/>
  <c r="X229" i="4"/>
  <c r="O229" i="5"/>
  <c r="T230" i="4"/>
  <c r="S224" i="4"/>
  <c r="N224" i="5" s="1"/>
  <c r="L224" i="5"/>
  <c r="R225" i="4"/>
  <c r="M225" i="5" s="1"/>
  <c r="K225" i="5"/>
  <c r="X228" i="4"/>
  <c r="O228" i="5"/>
  <c r="W233" i="4"/>
  <c r="R233" i="5" s="1"/>
  <c r="P233" i="5"/>
  <c r="T231" i="4"/>
  <c r="X227" i="4"/>
  <c r="O227" i="5"/>
  <c r="S225" i="4"/>
  <c r="N225" i="5" s="1"/>
  <c r="L225" i="5"/>
  <c r="BE68" i="10"/>
  <c r="BM68" i="10"/>
  <c r="BE73" i="10"/>
  <c r="BM73" i="10"/>
  <c r="BE72" i="10"/>
  <c r="BM72" i="10"/>
  <c r="BE70" i="10"/>
  <c r="BM70" i="10"/>
  <c r="BA67" i="10"/>
  <c r="BA69" i="10"/>
  <c r="M225" i="4"/>
  <c r="AX67" i="10"/>
  <c r="BB67" i="10" s="1"/>
  <c r="BD67" i="10" s="1"/>
  <c r="P224" i="4"/>
  <c r="O224" i="4"/>
  <c r="Q223" i="4"/>
  <c r="Q221" i="4"/>
  <c r="M221" i="4"/>
  <c r="N221" i="4"/>
  <c r="O221" i="4"/>
  <c r="P221" i="4"/>
  <c r="M223" i="4"/>
  <c r="N223" i="4"/>
  <c r="O223" i="4"/>
  <c r="P223" i="4"/>
  <c r="AC58" i="10"/>
  <c r="AH58" i="10" s="1"/>
  <c r="AI58" i="10" s="1"/>
  <c r="S58" i="10"/>
  <c r="L58" i="10" s="1"/>
  <c r="M58" i="10" s="1"/>
  <c r="E66" i="10"/>
  <c r="H66" i="10"/>
  <c r="BH66" i="10" s="1"/>
  <c r="I66" i="10"/>
  <c r="J66" i="10"/>
  <c r="K66" i="10"/>
  <c r="L66" i="10"/>
  <c r="M66" i="10" s="1"/>
  <c r="U66" i="10"/>
  <c r="V66" i="10" s="1"/>
  <c r="AO66" i="10" s="1"/>
  <c r="Q66" i="10"/>
  <c r="AK66" i="10" s="1"/>
  <c r="AA66" i="10"/>
  <c r="AS66" i="10" s="1"/>
  <c r="AB66" i="10"/>
  <c r="AT66" i="10" s="1"/>
  <c r="AH66" i="10"/>
  <c r="AI66" i="10" s="1"/>
  <c r="AW66" i="10" s="1"/>
  <c r="AQ66" i="10"/>
  <c r="AU66" i="10"/>
  <c r="AY66" i="10"/>
  <c r="BG66" i="10" s="1"/>
  <c r="E58" i="10"/>
  <c r="E59" i="10"/>
  <c r="E60" i="10"/>
  <c r="E61" i="10"/>
  <c r="E62" i="10"/>
  <c r="E63" i="10"/>
  <c r="E64" i="10"/>
  <c r="E65" i="10"/>
  <c r="H58" i="10"/>
  <c r="BH58" i="10" s="1"/>
  <c r="H59" i="10"/>
  <c r="BH59" i="10" s="1"/>
  <c r="H60" i="10"/>
  <c r="BH60" i="10" s="1"/>
  <c r="H61" i="10"/>
  <c r="BH61" i="10" s="1"/>
  <c r="H62" i="10"/>
  <c r="BH62" i="10" s="1"/>
  <c r="H63" i="10"/>
  <c r="BH63" i="10" s="1"/>
  <c r="H64" i="10"/>
  <c r="BH64" i="10" s="1"/>
  <c r="H65" i="10"/>
  <c r="BH65" i="10" s="1"/>
  <c r="I58" i="10"/>
  <c r="I59" i="10"/>
  <c r="R59" i="10" s="1"/>
  <c r="I60" i="10"/>
  <c r="I61" i="10"/>
  <c r="I62" i="10"/>
  <c r="I63" i="10"/>
  <c r="I64" i="10"/>
  <c r="I65" i="10"/>
  <c r="J58" i="10"/>
  <c r="J59" i="10"/>
  <c r="J60" i="10"/>
  <c r="J61" i="10"/>
  <c r="J62" i="10"/>
  <c r="J63" i="10"/>
  <c r="J64" i="10"/>
  <c r="J65" i="10"/>
  <c r="K58" i="10"/>
  <c r="K59" i="10"/>
  <c r="K60" i="10"/>
  <c r="K61" i="10"/>
  <c r="K62" i="10"/>
  <c r="K63" i="10"/>
  <c r="K64" i="10"/>
  <c r="K65" i="10"/>
  <c r="L59" i="10"/>
  <c r="M59" i="10" s="1"/>
  <c r="P59" i="10" s="1"/>
  <c r="U59" i="10" s="1"/>
  <c r="L60" i="10"/>
  <c r="M60" i="10" s="1"/>
  <c r="L61" i="10"/>
  <c r="M61" i="10" s="1"/>
  <c r="L62" i="10"/>
  <c r="M62" i="10" s="1"/>
  <c r="L63" i="10"/>
  <c r="M63" i="10" s="1"/>
  <c r="L64" i="10"/>
  <c r="M64" i="10" s="1"/>
  <c r="L65" i="10"/>
  <c r="M65" i="10" s="1"/>
  <c r="P58" i="10"/>
  <c r="U58" i="10" s="1"/>
  <c r="U60" i="10"/>
  <c r="V60" i="10" s="1"/>
  <c r="AO60" i="10" s="1"/>
  <c r="U61" i="10"/>
  <c r="V61" i="10" s="1"/>
  <c r="AO61" i="10" s="1"/>
  <c r="U62" i="10"/>
  <c r="V62" i="10" s="1"/>
  <c r="AO62" i="10" s="1"/>
  <c r="U63" i="10"/>
  <c r="U64" i="10"/>
  <c r="V64" i="10" s="1"/>
  <c r="AO64" i="10" s="1"/>
  <c r="U65" i="10"/>
  <c r="V65" i="10" s="1"/>
  <c r="AO65" i="10" s="1"/>
  <c r="Q58" i="10"/>
  <c r="AK58" i="10" s="1"/>
  <c r="Q60" i="10"/>
  <c r="AK60" i="10" s="1"/>
  <c r="Q61" i="10"/>
  <c r="AK61" i="10" s="1"/>
  <c r="Q62" i="10"/>
  <c r="AK62" i="10" s="1"/>
  <c r="Q63" i="10"/>
  <c r="AK63" i="10" s="1"/>
  <c r="Q64" i="10"/>
  <c r="AK64" i="10" s="1"/>
  <c r="Q65" i="10"/>
  <c r="AK65" i="10" s="1"/>
  <c r="AA58" i="10"/>
  <c r="AS58" i="10" s="1"/>
  <c r="AA59" i="10"/>
  <c r="AS59" i="10" s="1"/>
  <c r="AA60" i="10"/>
  <c r="AS60" i="10" s="1"/>
  <c r="AA61" i="10"/>
  <c r="AS61" i="10" s="1"/>
  <c r="AA62" i="10"/>
  <c r="AS62" i="10" s="1"/>
  <c r="AA63" i="10"/>
  <c r="AS63" i="10" s="1"/>
  <c r="AA64" i="10"/>
  <c r="AS64" i="10" s="1"/>
  <c r="AA65" i="10"/>
  <c r="AS65" i="10" s="1"/>
  <c r="AB58" i="10"/>
  <c r="AT58" i="10" s="1"/>
  <c r="AB59" i="10"/>
  <c r="AT59" i="10" s="1"/>
  <c r="AB60" i="10"/>
  <c r="AT60" i="10" s="1"/>
  <c r="AB61" i="10"/>
  <c r="AT61" i="10" s="1"/>
  <c r="AB62" i="10"/>
  <c r="AT62" i="10" s="1"/>
  <c r="AB63" i="10"/>
  <c r="AT63" i="10" s="1"/>
  <c r="AB64" i="10"/>
  <c r="AT64" i="10" s="1"/>
  <c r="AB65" i="10"/>
  <c r="AT65" i="10" s="1"/>
  <c r="AH59" i="10"/>
  <c r="AI59" i="10" s="1"/>
  <c r="AW59" i="10" s="1"/>
  <c r="AH60" i="10"/>
  <c r="AI60" i="10" s="1"/>
  <c r="AW60" i="10" s="1"/>
  <c r="AH61" i="10"/>
  <c r="AI61" i="10" s="1"/>
  <c r="AW61" i="10" s="1"/>
  <c r="AH62" i="10"/>
  <c r="AI62" i="10" s="1"/>
  <c r="AW62" i="10" s="1"/>
  <c r="AH63" i="10"/>
  <c r="AI63" i="10" s="1"/>
  <c r="AH64" i="10"/>
  <c r="AI64" i="10" s="1"/>
  <c r="AH65" i="10"/>
  <c r="AI65" i="10" s="1"/>
  <c r="AW65" i="10" s="1"/>
  <c r="AM58" i="10"/>
  <c r="AM59" i="10"/>
  <c r="AQ58" i="10"/>
  <c r="AQ59" i="10"/>
  <c r="AQ60" i="10"/>
  <c r="AQ61" i="10"/>
  <c r="AQ62" i="10"/>
  <c r="AQ63" i="10"/>
  <c r="AQ64" i="10"/>
  <c r="AQ65" i="10"/>
  <c r="AU58" i="10"/>
  <c r="AU59" i="10"/>
  <c r="AU60" i="10"/>
  <c r="AU61" i="10"/>
  <c r="AU62" i="10"/>
  <c r="AU63" i="10"/>
  <c r="AU64" i="10"/>
  <c r="AU65" i="10"/>
  <c r="AY58" i="10"/>
  <c r="BG58" i="10" s="1"/>
  <c r="AY59" i="10"/>
  <c r="BG59" i="10" s="1"/>
  <c r="AY60" i="10"/>
  <c r="BG60" i="10" s="1"/>
  <c r="AY61" i="10"/>
  <c r="BG61" i="10" s="1"/>
  <c r="AY62" i="10"/>
  <c r="BG62" i="10" s="1"/>
  <c r="AY63" i="10"/>
  <c r="BG63" i="10" s="1"/>
  <c r="AY64" i="10"/>
  <c r="BG64" i="10" s="1"/>
  <c r="AY65" i="10"/>
  <c r="BG65" i="10" s="1"/>
  <c r="S56" i="10"/>
  <c r="L56" i="10" s="1"/>
  <c r="M56" i="10" s="1"/>
  <c r="S55" i="10"/>
  <c r="AC51" i="10"/>
  <c r="S51" i="10"/>
  <c r="AF57" i="10"/>
  <c r="AH57" i="10" s="1"/>
  <c r="AI57" i="10" s="1"/>
  <c r="AW57" i="10" s="1"/>
  <c r="AF56" i="10"/>
  <c r="AH56" i="10" s="1"/>
  <c r="AI56" i="10" s="1"/>
  <c r="AW56" i="10" s="1"/>
  <c r="AC54" i="10"/>
  <c r="E57" i="10"/>
  <c r="H57" i="10"/>
  <c r="BH57" i="10" s="1"/>
  <c r="I57" i="10"/>
  <c r="J57" i="10"/>
  <c r="K57" i="10"/>
  <c r="L57" i="10"/>
  <c r="M57" i="10" s="1"/>
  <c r="P57" i="10"/>
  <c r="U57" i="10" s="1"/>
  <c r="V57" i="10" s="1"/>
  <c r="AO57" i="10" s="1"/>
  <c r="Q57" i="10"/>
  <c r="AK57" i="10" s="1"/>
  <c r="AA57" i="10"/>
  <c r="AS57" i="10" s="1"/>
  <c r="AM57" i="10"/>
  <c r="AQ57" i="10"/>
  <c r="AU57" i="10"/>
  <c r="AY57" i="10"/>
  <c r="BG57" i="10" s="1"/>
  <c r="E56" i="10"/>
  <c r="H56" i="10"/>
  <c r="BH56" i="10" s="1"/>
  <c r="I56" i="10"/>
  <c r="J56" i="10"/>
  <c r="K56" i="10"/>
  <c r="P56" i="10"/>
  <c r="U56" i="10" s="1"/>
  <c r="Q56" i="10"/>
  <c r="AK56" i="10" s="1"/>
  <c r="AA56" i="10"/>
  <c r="AS56" i="10" s="1"/>
  <c r="AM56" i="10"/>
  <c r="AQ56" i="10"/>
  <c r="AU56" i="10"/>
  <c r="AY56" i="10"/>
  <c r="BG56" i="10" s="1"/>
  <c r="AC55" i="10"/>
  <c r="AC53" i="10"/>
  <c r="F53" i="10"/>
  <c r="F51" i="10"/>
  <c r="AM52" i="10"/>
  <c r="O226" i="5" l="1"/>
  <c r="S221" i="4"/>
  <c r="N221" i="5" s="1"/>
  <c r="L221" i="5"/>
  <c r="X230" i="4"/>
  <c r="O230" i="5"/>
  <c r="S223" i="4"/>
  <c r="N223" i="5" s="1"/>
  <c r="L223" i="5"/>
  <c r="Y228" i="4"/>
  <c r="S228" i="5"/>
  <c r="R221" i="4"/>
  <c r="M221" i="5" s="1"/>
  <c r="K221" i="5"/>
  <c r="T225" i="4"/>
  <c r="Y227" i="4"/>
  <c r="S227" i="5"/>
  <c r="Y229" i="4"/>
  <c r="S229" i="5"/>
  <c r="X231" i="4"/>
  <c r="O231" i="5"/>
  <c r="R223" i="4"/>
  <c r="M223" i="5" s="1"/>
  <c r="K223" i="5"/>
  <c r="R224" i="4"/>
  <c r="K224" i="5"/>
  <c r="Y226" i="4"/>
  <c r="S226" i="5"/>
  <c r="BE67" i="10"/>
  <c r="BM67" i="10"/>
  <c r="W60" i="10"/>
  <c r="AP60" i="10" s="1"/>
  <c r="AR60" i="10" s="1"/>
  <c r="V63" i="10"/>
  <c r="AO63" i="10" s="1"/>
  <c r="W63" i="10"/>
  <c r="AP63" i="10" s="1"/>
  <c r="AR63" i="10" s="1"/>
  <c r="W65" i="10"/>
  <c r="AP65" i="10" s="1"/>
  <c r="AR65" i="10" s="1"/>
  <c r="R62" i="10"/>
  <c r="AL62" i="10" s="1"/>
  <c r="AN62" i="10" s="1"/>
  <c r="AK59" i="10"/>
  <c r="AZ67" i="10"/>
  <c r="W66" i="10"/>
  <c r="AP66" i="10" s="1"/>
  <c r="AR66" i="10" s="1"/>
  <c r="R60" i="10"/>
  <c r="AL60" i="10" s="1"/>
  <c r="AN60" i="10" s="1"/>
  <c r="R65" i="10"/>
  <c r="AL65" i="10" s="1"/>
  <c r="AN65" i="10" s="1"/>
  <c r="W62" i="10"/>
  <c r="AP62" i="10" s="1"/>
  <c r="AR62" i="10" s="1"/>
  <c r="R64" i="10"/>
  <c r="AL64" i="10" s="1"/>
  <c r="AN64" i="10" s="1"/>
  <c r="W61" i="10"/>
  <c r="AP61" i="10" s="1"/>
  <c r="AR61" i="10" s="1"/>
  <c r="R63" i="10"/>
  <c r="AL63" i="10" s="1"/>
  <c r="AN63" i="10" s="1"/>
  <c r="W64" i="10"/>
  <c r="AP64" i="10" s="1"/>
  <c r="AR64" i="10" s="1"/>
  <c r="R66" i="10"/>
  <c r="AL66" i="10" s="1"/>
  <c r="AN66" i="10" s="1"/>
  <c r="R61" i="10"/>
  <c r="AL61" i="10" s="1"/>
  <c r="AN61" i="10" s="1"/>
  <c r="V59" i="10"/>
  <c r="AO59" i="10" s="1"/>
  <c r="W59" i="10"/>
  <c r="AP59" i="10" s="1"/>
  <c r="AR59" i="10" s="1"/>
  <c r="AJ63" i="10"/>
  <c r="W58" i="10"/>
  <c r="AP58" i="10" s="1"/>
  <c r="AR58" i="10" s="1"/>
  <c r="AV66" i="10"/>
  <c r="V58" i="10"/>
  <c r="AO58" i="10" s="1"/>
  <c r="W57" i="10"/>
  <c r="AP57" i="10" s="1"/>
  <c r="AR57" i="10" s="1"/>
  <c r="T221" i="4"/>
  <c r="AV62" i="10"/>
  <c r="AV58" i="10"/>
  <c r="AJ66" i="10"/>
  <c r="AV61" i="10"/>
  <c r="R58" i="10"/>
  <c r="AL58" i="10" s="1"/>
  <c r="AN58" i="10" s="1"/>
  <c r="AJ64" i="10"/>
  <c r="AJ58" i="10"/>
  <c r="AV65" i="10"/>
  <c r="AJ60" i="10"/>
  <c r="AV64" i="10"/>
  <c r="AJ62" i="10"/>
  <c r="AJ65" i="10"/>
  <c r="AJ59" i="10"/>
  <c r="AV63" i="10"/>
  <c r="AJ61" i="10"/>
  <c r="AV60" i="10"/>
  <c r="AV59" i="10"/>
  <c r="AW64" i="10"/>
  <c r="AW63" i="10"/>
  <c r="AW58" i="10"/>
  <c r="V56" i="10"/>
  <c r="AO56" i="10" s="1"/>
  <c r="W56" i="10"/>
  <c r="AP56" i="10" s="1"/>
  <c r="AR56" i="10" s="1"/>
  <c r="AB56" i="10"/>
  <c r="AT56" i="10" s="1"/>
  <c r="AV56" i="10" s="1"/>
  <c r="AB57" i="10"/>
  <c r="AT57" i="10" s="1"/>
  <c r="AV57" i="10" s="1"/>
  <c r="AJ57" i="10"/>
  <c r="AX57" i="10" s="1"/>
  <c r="AJ56" i="10"/>
  <c r="AX56" i="10" s="1"/>
  <c r="R57" i="10"/>
  <c r="AL57" i="10" s="1"/>
  <c r="AN57" i="10" s="1"/>
  <c r="R56" i="10"/>
  <c r="AL56" i="10" s="1"/>
  <c r="AN56" i="10" s="1"/>
  <c r="AC52" i="10"/>
  <c r="AH52" i="10" s="1"/>
  <c r="AI52" i="10" s="1"/>
  <c r="AW52" i="10" s="1"/>
  <c r="E51" i="10"/>
  <c r="H51" i="10"/>
  <c r="BH51" i="10" s="1"/>
  <c r="I51" i="10"/>
  <c r="J51" i="10"/>
  <c r="K51" i="10"/>
  <c r="L51" i="10"/>
  <c r="M51" i="10" s="1"/>
  <c r="P51" i="10"/>
  <c r="U51" i="10" s="1"/>
  <c r="V51" i="10" s="1"/>
  <c r="AO51" i="10" s="1"/>
  <c r="Q51" i="10"/>
  <c r="AK51" i="10" s="1"/>
  <c r="AA51" i="10"/>
  <c r="AS51" i="10" s="1"/>
  <c r="AB51" i="10"/>
  <c r="AT51" i="10" s="1"/>
  <c r="AH51" i="10"/>
  <c r="AI51" i="10" s="1"/>
  <c r="AM51" i="10"/>
  <c r="AQ51" i="10"/>
  <c r="AU51" i="10"/>
  <c r="AY51" i="10"/>
  <c r="BG51" i="10" s="1"/>
  <c r="E55" i="10"/>
  <c r="H55" i="10"/>
  <c r="BH55" i="10" s="1"/>
  <c r="I55" i="10"/>
  <c r="J55" i="10"/>
  <c r="K55" i="10"/>
  <c r="L55" i="10"/>
  <c r="M55" i="10" s="1"/>
  <c r="P55" i="10"/>
  <c r="U55" i="10" s="1"/>
  <c r="V55" i="10" s="1"/>
  <c r="AO55" i="10" s="1"/>
  <c r="Q55" i="10"/>
  <c r="AK55" i="10" s="1"/>
  <c r="AA55" i="10"/>
  <c r="AS55" i="10" s="1"/>
  <c r="AB55" i="10"/>
  <c r="AT55" i="10" s="1"/>
  <c r="AH55" i="10"/>
  <c r="AI55" i="10" s="1"/>
  <c r="AM55" i="10"/>
  <c r="AQ55" i="10"/>
  <c r="AU55" i="10"/>
  <c r="AY55" i="10"/>
  <c r="BG55" i="10" s="1"/>
  <c r="E54" i="10"/>
  <c r="H54" i="10"/>
  <c r="BH54" i="10" s="1"/>
  <c r="I54" i="10"/>
  <c r="J54" i="10"/>
  <c r="K54" i="10"/>
  <c r="L54" i="10"/>
  <c r="M54" i="10" s="1"/>
  <c r="P54" i="10"/>
  <c r="U54" i="10" s="1"/>
  <c r="V54" i="10" s="1"/>
  <c r="AO54" i="10" s="1"/>
  <c r="Q54" i="10"/>
  <c r="AK54" i="10" s="1"/>
  <c r="AA54" i="10"/>
  <c r="AS54" i="10" s="1"/>
  <c r="AB54" i="10"/>
  <c r="AT54" i="10" s="1"/>
  <c r="AH54" i="10"/>
  <c r="AI54" i="10" s="1"/>
  <c r="AW54" i="10" s="1"/>
  <c r="AM54" i="10"/>
  <c r="AQ54" i="10"/>
  <c r="AU54" i="10"/>
  <c r="AY54" i="10"/>
  <c r="BG54" i="10" s="1"/>
  <c r="E53" i="10"/>
  <c r="H53" i="10"/>
  <c r="BH53" i="10" s="1"/>
  <c r="I53" i="10"/>
  <c r="J53" i="10"/>
  <c r="K53" i="10"/>
  <c r="L53" i="10"/>
  <c r="M53" i="10" s="1"/>
  <c r="P53" i="10"/>
  <c r="U53" i="10" s="1"/>
  <c r="V53" i="10" s="1"/>
  <c r="AO53" i="10" s="1"/>
  <c r="Q53" i="10"/>
  <c r="AK53" i="10" s="1"/>
  <c r="AA53" i="10"/>
  <c r="AS53" i="10" s="1"/>
  <c r="AB53" i="10"/>
  <c r="AT53" i="10" s="1"/>
  <c r="AH53" i="10"/>
  <c r="AI53" i="10" s="1"/>
  <c r="AW53" i="10" s="1"/>
  <c r="AM53" i="10"/>
  <c r="AQ53" i="10"/>
  <c r="AU53" i="10"/>
  <c r="AY53" i="10"/>
  <c r="BG53" i="10" s="1"/>
  <c r="E52" i="10"/>
  <c r="H52" i="10"/>
  <c r="BH52" i="10" s="1"/>
  <c r="I52" i="10"/>
  <c r="J52" i="10"/>
  <c r="K52" i="10"/>
  <c r="L52" i="10"/>
  <c r="M52" i="10" s="1"/>
  <c r="P52" i="10" s="1"/>
  <c r="AA52" i="10"/>
  <c r="AS52" i="10" s="1"/>
  <c r="AB52" i="10"/>
  <c r="AT52" i="10" s="1"/>
  <c r="AQ52" i="10"/>
  <c r="AU52" i="10"/>
  <c r="AY52" i="10"/>
  <c r="BG52" i="10" s="1"/>
  <c r="E45" i="10"/>
  <c r="H45" i="10"/>
  <c r="BH45" i="10" s="1"/>
  <c r="I45" i="10"/>
  <c r="J45" i="10"/>
  <c r="K45" i="10"/>
  <c r="L45" i="10"/>
  <c r="M45" i="10" s="1"/>
  <c r="P45" i="10"/>
  <c r="U45" i="10" s="1"/>
  <c r="Q45" i="10"/>
  <c r="AA45" i="10"/>
  <c r="AS45" i="10" s="1"/>
  <c r="AB45" i="10"/>
  <c r="AT45" i="10" s="1"/>
  <c r="AH45" i="10"/>
  <c r="AI45" i="10" s="1"/>
  <c r="AM45" i="10"/>
  <c r="AQ45" i="10"/>
  <c r="AU45" i="10"/>
  <c r="AY45" i="10"/>
  <c r="BG45" i="10" s="1"/>
  <c r="E44" i="10"/>
  <c r="H44" i="10"/>
  <c r="BH44" i="10" s="1"/>
  <c r="I44" i="10"/>
  <c r="J44" i="10"/>
  <c r="K44" i="10"/>
  <c r="L44" i="10"/>
  <c r="M44" i="10" s="1"/>
  <c r="P44" i="10"/>
  <c r="U44" i="10" s="1"/>
  <c r="Q44" i="10"/>
  <c r="AK44" i="10" s="1"/>
  <c r="AA44" i="10"/>
  <c r="AS44" i="10" s="1"/>
  <c r="AH44" i="10"/>
  <c r="AI44" i="10" s="1"/>
  <c r="AM44" i="10"/>
  <c r="AQ44" i="10"/>
  <c r="AU44" i="10"/>
  <c r="AY44" i="10"/>
  <c r="BG44" i="10" s="1"/>
  <c r="L40" i="10"/>
  <c r="L41" i="10"/>
  <c r="L42" i="10"/>
  <c r="L43" i="10"/>
  <c r="L46" i="10"/>
  <c r="M46" i="10" s="1"/>
  <c r="L47" i="10"/>
  <c r="M47" i="10" s="1"/>
  <c r="L48" i="10"/>
  <c r="M48" i="10" s="1"/>
  <c r="L49" i="10"/>
  <c r="M49" i="10" s="1"/>
  <c r="L50" i="10"/>
  <c r="M50" i="10" s="1"/>
  <c r="L39" i="10"/>
  <c r="E46" i="10"/>
  <c r="E47" i="10"/>
  <c r="E48" i="10"/>
  <c r="E49" i="10"/>
  <c r="E50" i="10"/>
  <c r="H46" i="10"/>
  <c r="BH46" i="10" s="1"/>
  <c r="H47" i="10"/>
  <c r="BH47" i="10" s="1"/>
  <c r="H48" i="10"/>
  <c r="BH48" i="10" s="1"/>
  <c r="H49" i="10"/>
  <c r="BH49" i="10" s="1"/>
  <c r="H50" i="10"/>
  <c r="BH50" i="10" s="1"/>
  <c r="I46" i="10"/>
  <c r="I47" i="10"/>
  <c r="I48" i="10"/>
  <c r="I49" i="10"/>
  <c r="I50" i="10"/>
  <c r="J46" i="10"/>
  <c r="J47" i="10"/>
  <c r="J48" i="10"/>
  <c r="J49" i="10"/>
  <c r="J50" i="10"/>
  <c r="K46" i="10"/>
  <c r="K47" i="10"/>
  <c r="K48" i="10"/>
  <c r="K49" i="10"/>
  <c r="K50" i="10"/>
  <c r="P46" i="10"/>
  <c r="U46" i="10" s="1"/>
  <c r="P47" i="10"/>
  <c r="U47" i="10" s="1"/>
  <c r="P48" i="10"/>
  <c r="U48" i="10" s="1"/>
  <c r="P49" i="10"/>
  <c r="U49" i="10" s="1"/>
  <c r="P50" i="10"/>
  <c r="U50" i="10" s="1"/>
  <c r="Q46" i="10"/>
  <c r="AK46" i="10" s="1"/>
  <c r="Q47" i="10"/>
  <c r="AK47" i="10" s="1"/>
  <c r="Q48" i="10"/>
  <c r="Q49" i="10"/>
  <c r="AK49" i="10" s="1"/>
  <c r="Q50" i="10"/>
  <c r="AK50" i="10" s="1"/>
  <c r="AA46" i="10"/>
  <c r="AS46" i="10" s="1"/>
  <c r="AA47" i="10"/>
  <c r="AS47" i="10" s="1"/>
  <c r="AA48" i="10"/>
  <c r="AS48" i="10" s="1"/>
  <c r="AA49" i="10"/>
  <c r="AS49" i="10" s="1"/>
  <c r="AA50" i="10"/>
  <c r="AS50" i="10" s="1"/>
  <c r="AB46" i="10"/>
  <c r="AT46" i="10" s="1"/>
  <c r="AB47" i="10"/>
  <c r="AT47" i="10" s="1"/>
  <c r="AB48" i="10"/>
  <c r="AT48" i="10" s="1"/>
  <c r="AB49" i="10"/>
  <c r="AT49" i="10" s="1"/>
  <c r="AB50" i="10"/>
  <c r="AT50" i="10" s="1"/>
  <c r="AH46" i="10"/>
  <c r="AI46" i="10" s="1"/>
  <c r="AW46" i="10" s="1"/>
  <c r="AH47" i="10"/>
  <c r="AI47" i="10" s="1"/>
  <c r="AW47" i="10" s="1"/>
  <c r="AH48" i="10"/>
  <c r="AI48" i="10" s="1"/>
  <c r="AW48" i="10" s="1"/>
  <c r="AH49" i="10"/>
  <c r="AI49" i="10" s="1"/>
  <c r="AW49" i="10" s="1"/>
  <c r="AH50" i="10"/>
  <c r="AI50" i="10" s="1"/>
  <c r="AW50" i="10" s="1"/>
  <c r="AM46" i="10"/>
  <c r="AM47" i="10"/>
  <c r="AM48" i="10"/>
  <c r="AM49" i="10"/>
  <c r="AM50" i="10"/>
  <c r="AQ46" i="10"/>
  <c r="AQ47" i="10"/>
  <c r="AQ48" i="10"/>
  <c r="AQ49" i="10"/>
  <c r="AQ50" i="10"/>
  <c r="AU46" i="10"/>
  <c r="AU47" i="10"/>
  <c r="AU48" i="10"/>
  <c r="AU49" i="10"/>
  <c r="AU50" i="10"/>
  <c r="AY46" i="10"/>
  <c r="BG46" i="10" s="1"/>
  <c r="AY47" i="10"/>
  <c r="BG47" i="10" s="1"/>
  <c r="AY48" i="10"/>
  <c r="BG48" i="10" s="1"/>
  <c r="AY49" i="10"/>
  <c r="BG49" i="10" s="1"/>
  <c r="AY50" i="10"/>
  <c r="BG50" i="10" s="1"/>
  <c r="L213" i="4"/>
  <c r="O213" i="4" s="1"/>
  <c r="K213" i="4"/>
  <c r="N213" i="4" s="1"/>
  <c r="L211" i="4"/>
  <c r="K211" i="4"/>
  <c r="L207" i="4"/>
  <c r="K207" i="4"/>
  <c r="N207" i="4" s="1"/>
  <c r="H9" i="10"/>
  <c r="BH9" i="10" s="1"/>
  <c r="H10" i="10"/>
  <c r="BH10" i="10" s="1"/>
  <c r="H11" i="10"/>
  <c r="BH11" i="10" s="1"/>
  <c r="H12" i="10"/>
  <c r="BH12" i="10" s="1"/>
  <c r="H13" i="10"/>
  <c r="BH13" i="10" s="1"/>
  <c r="H14" i="10"/>
  <c r="BH14" i="10" s="1"/>
  <c r="H15" i="10"/>
  <c r="BH15" i="10" s="1"/>
  <c r="H16" i="10"/>
  <c r="BH16" i="10" s="1"/>
  <c r="H17" i="10"/>
  <c r="BH17" i="10" s="1"/>
  <c r="H18" i="10"/>
  <c r="BH18" i="10" s="1"/>
  <c r="H19" i="10"/>
  <c r="BH19" i="10" s="1"/>
  <c r="H20" i="10"/>
  <c r="BH20" i="10" s="1"/>
  <c r="H21" i="10"/>
  <c r="BH21" i="10" s="1"/>
  <c r="H22" i="10"/>
  <c r="BH22" i="10" s="1"/>
  <c r="H23" i="10"/>
  <c r="BH23" i="10" s="1"/>
  <c r="H24" i="10"/>
  <c r="BH24" i="10" s="1"/>
  <c r="H25" i="10"/>
  <c r="BH25" i="10" s="1"/>
  <c r="H26" i="10"/>
  <c r="BH26" i="10" s="1"/>
  <c r="H27" i="10"/>
  <c r="BH27" i="10" s="1"/>
  <c r="H28" i="10"/>
  <c r="BH28" i="10" s="1"/>
  <c r="H29" i="10"/>
  <c r="BH29" i="10" s="1"/>
  <c r="H30" i="10"/>
  <c r="BH30" i="10" s="1"/>
  <c r="H31" i="10"/>
  <c r="BH31" i="10" s="1"/>
  <c r="H32" i="10"/>
  <c r="BH32" i="10" s="1"/>
  <c r="H33" i="10"/>
  <c r="BH33" i="10" s="1"/>
  <c r="H34" i="10"/>
  <c r="BH34" i="10" s="1"/>
  <c r="H35" i="10"/>
  <c r="BH35" i="10" s="1"/>
  <c r="H36" i="10"/>
  <c r="BH36" i="10" s="1"/>
  <c r="H37" i="10"/>
  <c r="BH37" i="10" s="1"/>
  <c r="H38" i="10"/>
  <c r="BH38" i="10" s="1"/>
  <c r="H39" i="10"/>
  <c r="BH39" i="10" s="1"/>
  <c r="H40" i="10"/>
  <c r="BH40" i="10" s="1"/>
  <c r="H41" i="10"/>
  <c r="BH41" i="10" s="1"/>
  <c r="H42" i="10"/>
  <c r="BH42" i="10" s="1"/>
  <c r="H43" i="10"/>
  <c r="BH43" i="10" s="1"/>
  <c r="L204" i="4"/>
  <c r="M204" i="4" s="1"/>
  <c r="K214" i="4"/>
  <c r="N214" i="4" s="1"/>
  <c r="L214" i="4"/>
  <c r="O214" i="4" s="1"/>
  <c r="L212" i="4"/>
  <c r="O212" i="4" s="1"/>
  <c r="K212" i="4"/>
  <c r="N212" i="4" s="1"/>
  <c r="Q214" i="4"/>
  <c r="I213" i="4"/>
  <c r="Q213" i="4" s="1"/>
  <c r="E27" i="10"/>
  <c r="M215" i="4"/>
  <c r="M216" i="4"/>
  <c r="M217" i="4"/>
  <c r="M218" i="4"/>
  <c r="M219" i="4"/>
  <c r="M220" i="4"/>
  <c r="M222" i="4"/>
  <c r="N215" i="4"/>
  <c r="N216" i="4"/>
  <c r="N217" i="4"/>
  <c r="N218" i="4"/>
  <c r="N219" i="4"/>
  <c r="N220" i="4"/>
  <c r="N222" i="4"/>
  <c r="O215" i="4"/>
  <c r="O216" i="4"/>
  <c r="O217" i="4"/>
  <c r="O218" i="4"/>
  <c r="O219" i="4"/>
  <c r="O220" i="4"/>
  <c r="O222" i="4"/>
  <c r="P213" i="4"/>
  <c r="P214" i="4"/>
  <c r="R215" i="4"/>
  <c r="P216" i="4"/>
  <c r="P217" i="4"/>
  <c r="P218" i="4"/>
  <c r="P219" i="4"/>
  <c r="P220" i="4"/>
  <c r="P222" i="4"/>
  <c r="Q215" i="4"/>
  <c r="Q216" i="4"/>
  <c r="Q217" i="4"/>
  <c r="Q218" i="4"/>
  <c r="Q219" i="4"/>
  <c r="Q220" i="4"/>
  <c r="Q222" i="4"/>
  <c r="P212" i="4"/>
  <c r="Q212" i="4"/>
  <c r="H211" i="4"/>
  <c r="P211" i="4" s="1"/>
  <c r="I211" i="4"/>
  <c r="Q211" i="4" s="1"/>
  <c r="L206" i="4"/>
  <c r="M206" i="4" s="1"/>
  <c r="K205" i="4"/>
  <c r="N205" i="4" s="1"/>
  <c r="P198" i="4"/>
  <c r="K198" i="5" s="1"/>
  <c r="O210" i="4"/>
  <c r="N210" i="4"/>
  <c r="M210" i="4"/>
  <c r="O209" i="4"/>
  <c r="N209" i="4"/>
  <c r="M209" i="4"/>
  <c r="O208" i="4"/>
  <c r="N208" i="4"/>
  <c r="M208" i="4"/>
  <c r="N206" i="4"/>
  <c r="O205" i="4"/>
  <c r="N204" i="4"/>
  <c r="O203" i="4"/>
  <c r="N203" i="4"/>
  <c r="M203" i="4"/>
  <c r="O202" i="4"/>
  <c r="O201" i="4"/>
  <c r="N201" i="4"/>
  <c r="M201" i="4"/>
  <c r="N200" i="4"/>
  <c r="O199" i="4"/>
  <c r="N199" i="4"/>
  <c r="M199" i="4"/>
  <c r="O198" i="4"/>
  <c r="N198" i="4"/>
  <c r="M198" i="4"/>
  <c r="O197" i="4"/>
  <c r="N197" i="4"/>
  <c r="M197" i="4"/>
  <c r="N194" i="4"/>
  <c r="N193" i="4"/>
  <c r="M192" i="4"/>
  <c r="N188" i="4"/>
  <c r="O187" i="4"/>
  <c r="N187" i="4"/>
  <c r="M187" i="4"/>
  <c r="N186" i="4"/>
  <c r="M185" i="4"/>
  <c r="M184" i="4"/>
  <c r="O182" i="4"/>
  <c r="N182" i="4"/>
  <c r="M182" i="4"/>
  <c r="O181" i="4"/>
  <c r="N181" i="4"/>
  <c r="M181" i="4"/>
  <c r="O177" i="4"/>
  <c r="N177" i="4"/>
  <c r="M177" i="4"/>
  <c r="O176" i="4"/>
  <c r="M174" i="4"/>
  <c r="K173" i="4"/>
  <c r="L173" i="4"/>
  <c r="K175" i="4"/>
  <c r="N175" i="4" s="1"/>
  <c r="L175" i="4"/>
  <c r="O175" i="4" s="1"/>
  <c r="K176" i="4"/>
  <c r="N176" i="4" s="1"/>
  <c r="L178" i="4"/>
  <c r="K179" i="4"/>
  <c r="M179" i="4" s="1"/>
  <c r="L180" i="4"/>
  <c r="L183" i="4"/>
  <c r="M183" i="4" s="1"/>
  <c r="L186" i="4"/>
  <c r="O186" i="4" s="1"/>
  <c r="L188" i="4"/>
  <c r="O188" i="4" s="1"/>
  <c r="L189" i="4"/>
  <c r="L190" i="4"/>
  <c r="L191" i="4"/>
  <c r="M191" i="4" s="1"/>
  <c r="L193" i="4"/>
  <c r="O193" i="4" s="1"/>
  <c r="L194" i="4"/>
  <c r="O194" i="4" s="1"/>
  <c r="L195" i="4"/>
  <c r="M195" i="4" s="1"/>
  <c r="L196" i="4"/>
  <c r="L200" i="4"/>
  <c r="O200" i="4" s="1"/>
  <c r="K202" i="4"/>
  <c r="N202" i="4" s="1"/>
  <c r="O9" i="4"/>
  <c r="O10" i="4"/>
  <c r="O11" i="4"/>
  <c r="O12" i="4"/>
  <c r="O13" i="4"/>
  <c r="O14" i="4"/>
  <c r="O15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3" i="4"/>
  <c r="O44" i="4"/>
  <c r="O45" i="4"/>
  <c r="O48" i="4"/>
  <c r="O50" i="4"/>
  <c r="O52" i="4"/>
  <c r="O53" i="4"/>
  <c r="O54" i="4"/>
  <c r="O55" i="4"/>
  <c r="O57" i="4"/>
  <c r="O58" i="4"/>
  <c r="O59" i="4"/>
  <c r="O60" i="4"/>
  <c r="O61" i="4"/>
  <c r="O62" i="4"/>
  <c r="O63" i="4"/>
  <c r="O65" i="4"/>
  <c r="O66" i="4"/>
  <c r="O68" i="4"/>
  <c r="O69" i="4"/>
  <c r="O71" i="4"/>
  <c r="O72" i="4"/>
  <c r="O73" i="4"/>
  <c r="O74" i="4"/>
  <c r="O75" i="4"/>
  <c r="O76" i="4"/>
  <c r="O78" i="4"/>
  <c r="O79" i="4"/>
  <c r="O80" i="4"/>
  <c r="O81" i="4"/>
  <c r="O82" i="4"/>
  <c r="O83" i="4"/>
  <c r="O84" i="4"/>
  <c r="O86" i="4"/>
  <c r="O87" i="4"/>
  <c r="O90" i="4"/>
  <c r="O92" i="4"/>
  <c r="O93" i="4"/>
  <c r="O94" i="4"/>
  <c r="O96" i="4"/>
  <c r="O97" i="4"/>
  <c r="O98" i="4"/>
  <c r="O99" i="4"/>
  <c r="O100" i="4"/>
  <c r="O101" i="4"/>
  <c r="O104" i="4"/>
  <c r="O106" i="4"/>
  <c r="O107" i="4"/>
  <c r="O108" i="4"/>
  <c r="O109" i="4"/>
  <c r="O110" i="4"/>
  <c r="O111" i="4"/>
  <c r="O112" i="4"/>
  <c r="O113" i="4"/>
  <c r="O114" i="4"/>
  <c r="O115" i="4"/>
  <c r="O117" i="4"/>
  <c r="O118" i="4"/>
  <c r="O119" i="4"/>
  <c r="O121" i="4"/>
  <c r="O123" i="4"/>
  <c r="O125" i="4"/>
  <c r="O126" i="4"/>
  <c r="O128" i="4"/>
  <c r="O129" i="4"/>
  <c r="O130" i="4"/>
  <c r="O131" i="4"/>
  <c r="O132" i="4"/>
  <c r="O133" i="4"/>
  <c r="O135" i="4"/>
  <c r="O136" i="4"/>
  <c r="O138" i="4"/>
  <c r="O140" i="4"/>
  <c r="O141" i="4"/>
  <c r="O142" i="4"/>
  <c r="O143" i="4"/>
  <c r="O144" i="4"/>
  <c r="O145" i="4"/>
  <c r="O150" i="4"/>
  <c r="O155" i="4"/>
  <c r="O162" i="4"/>
  <c r="O166" i="4"/>
  <c r="O168" i="4"/>
  <c r="O170" i="4"/>
  <c r="O171" i="4"/>
  <c r="N9" i="4"/>
  <c r="N10" i="4"/>
  <c r="N11" i="4"/>
  <c r="N12" i="4"/>
  <c r="N13" i="4"/>
  <c r="N14" i="4"/>
  <c r="N15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3" i="4"/>
  <c r="N44" i="4"/>
  <c r="N45" i="4"/>
  <c r="N48" i="4"/>
  <c r="N50" i="4"/>
  <c r="N52" i="4"/>
  <c r="N53" i="4"/>
  <c r="N54" i="4"/>
  <c r="N55" i="4"/>
  <c r="N57" i="4"/>
  <c r="N59" i="4"/>
  <c r="N60" i="4"/>
  <c r="N61" i="4"/>
  <c r="N62" i="4"/>
  <c r="N63" i="4"/>
  <c r="N64" i="4"/>
  <c r="N65" i="4"/>
  <c r="N66" i="4"/>
  <c r="N68" i="4"/>
  <c r="N69" i="4"/>
  <c r="N71" i="4"/>
  <c r="N72" i="4"/>
  <c r="N73" i="4"/>
  <c r="N74" i="4"/>
  <c r="N75" i="4"/>
  <c r="N76" i="4"/>
  <c r="N78" i="4"/>
  <c r="N79" i="4"/>
  <c r="N80" i="4"/>
  <c r="N81" i="4"/>
  <c r="N82" i="4"/>
  <c r="N83" i="4"/>
  <c r="N84" i="4"/>
  <c r="N86" i="4"/>
  <c r="N87" i="4"/>
  <c r="N90" i="4"/>
  <c r="N92" i="4"/>
  <c r="N93" i="4"/>
  <c r="N94" i="4"/>
  <c r="N96" i="4"/>
  <c r="N97" i="4"/>
  <c r="N98" i="4"/>
  <c r="N99" i="4"/>
  <c r="N100" i="4"/>
  <c r="N101" i="4"/>
  <c r="N104" i="4"/>
  <c r="N106" i="4"/>
  <c r="N107" i="4"/>
  <c r="N108" i="4"/>
  <c r="N109" i="4"/>
  <c r="N110" i="4"/>
  <c r="N111" i="4"/>
  <c r="N112" i="4"/>
  <c r="N113" i="4"/>
  <c r="N114" i="4"/>
  <c r="N115" i="4"/>
  <c r="N117" i="4"/>
  <c r="N118" i="4"/>
  <c r="N119" i="4"/>
  <c r="N121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50" i="4"/>
  <c r="N155" i="4"/>
  <c r="N156" i="4"/>
  <c r="N162" i="4"/>
  <c r="N165" i="4"/>
  <c r="N166" i="4"/>
  <c r="N170" i="4"/>
  <c r="N172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9" i="4"/>
  <c r="M60" i="4"/>
  <c r="M61" i="4"/>
  <c r="M62" i="4"/>
  <c r="M63" i="4"/>
  <c r="M65" i="4"/>
  <c r="M66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3" i="4"/>
  <c r="M104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1" i="4"/>
  <c r="M122" i="4"/>
  <c r="M127" i="4"/>
  <c r="M129" i="4"/>
  <c r="M130" i="4"/>
  <c r="M131" i="4"/>
  <c r="M132" i="4"/>
  <c r="M133" i="4"/>
  <c r="M135" i="4"/>
  <c r="M136" i="4"/>
  <c r="M138" i="4"/>
  <c r="M140" i="4"/>
  <c r="M141" i="4"/>
  <c r="M142" i="4"/>
  <c r="M143" i="4"/>
  <c r="M144" i="4"/>
  <c r="M145" i="4"/>
  <c r="M146" i="4"/>
  <c r="M147" i="4"/>
  <c r="M148" i="4"/>
  <c r="M149" i="4"/>
  <c r="M150" i="4"/>
  <c r="M154" i="4"/>
  <c r="M155" i="4"/>
  <c r="M157" i="4"/>
  <c r="M158" i="4"/>
  <c r="M160" i="4"/>
  <c r="M162" i="4"/>
  <c r="M166" i="4"/>
  <c r="M170" i="4"/>
  <c r="R211" i="4" l="1"/>
  <c r="M211" i="5" s="1"/>
  <c r="K211" i="5"/>
  <c r="S218" i="4"/>
  <c r="N218" i="5" s="1"/>
  <c r="L218" i="5"/>
  <c r="R219" i="4"/>
  <c r="M219" i="5" s="1"/>
  <c r="K219" i="5"/>
  <c r="R213" i="4"/>
  <c r="M213" i="5" s="1"/>
  <c r="K213" i="5"/>
  <c r="S214" i="4"/>
  <c r="N214" i="5" s="1"/>
  <c r="L214" i="5"/>
  <c r="X225" i="4"/>
  <c r="O225" i="5"/>
  <c r="S219" i="4"/>
  <c r="N219" i="5" s="1"/>
  <c r="L219" i="5"/>
  <c r="S213" i="4"/>
  <c r="N213" i="5" s="1"/>
  <c r="L213" i="5"/>
  <c r="X221" i="4"/>
  <c r="O221" i="5"/>
  <c r="V227" i="4"/>
  <c r="Q227" i="5" s="1"/>
  <c r="T227" i="5"/>
  <c r="Z227" i="4"/>
  <c r="U227" i="5" s="1"/>
  <c r="U227" i="4"/>
  <c r="S212" i="4"/>
  <c r="N212" i="5" s="1"/>
  <c r="L212" i="5"/>
  <c r="S217" i="4"/>
  <c r="N217" i="5" s="1"/>
  <c r="L217" i="5"/>
  <c r="R218" i="4"/>
  <c r="M218" i="5" s="1"/>
  <c r="K218" i="5"/>
  <c r="U226" i="4"/>
  <c r="T226" i="5"/>
  <c r="Z226" i="4"/>
  <c r="U226" i="5" s="1"/>
  <c r="V226" i="4"/>
  <c r="Q226" i="5" s="1"/>
  <c r="Y231" i="4"/>
  <c r="S231" i="5"/>
  <c r="S211" i="4"/>
  <c r="N211" i="5" s="1"/>
  <c r="L211" i="5"/>
  <c r="R212" i="4"/>
  <c r="M212" i="5" s="1"/>
  <c r="K212" i="5"/>
  <c r="S216" i="4"/>
  <c r="N216" i="5" s="1"/>
  <c r="L216" i="5"/>
  <c r="R217" i="4"/>
  <c r="M217" i="5" s="1"/>
  <c r="K217" i="5"/>
  <c r="Y230" i="4"/>
  <c r="S230" i="5"/>
  <c r="R214" i="4"/>
  <c r="M214" i="5" s="1"/>
  <c r="K214" i="5"/>
  <c r="S222" i="4"/>
  <c r="N222" i="5" s="1"/>
  <c r="L222" i="5"/>
  <c r="S215" i="4"/>
  <c r="N215" i="5" s="1"/>
  <c r="L215" i="5"/>
  <c r="R216" i="4"/>
  <c r="M216" i="5" s="1"/>
  <c r="K216" i="5"/>
  <c r="T224" i="4"/>
  <c r="M224" i="5"/>
  <c r="V229" i="4"/>
  <c r="Q229" i="5" s="1"/>
  <c r="T229" i="5"/>
  <c r="Z229" i="4"/>
  <c r="U229" i="5" s="1"/>
  <c r="U229" i="4"/>
  <c r="R220" i="4"/>
  <c r="M220" i="5" s="1"/>
  <c r="K220" i="5"/>
  <c r="S220" i="4"/>
  <c r="N220" i="5" s="1"/>
  <c r="L220" i="5"/>
  <c r="R222" i="4"/>
  <c r="M222" i="5" s="1"/>
  <c r="K222" i="5"/>
  <c r="T223" i="4"/>
  <c r="U228" i="4"/>
  <c r="T228" i="5"/>
  <c r="Z228" i="4"/>
  <c r="U228" i="5" s="1"/>
  <c r="V228" i="4"/>
  <c r="Q228" i="5" s="1"/>
  <c r="BA60" i="10"/>
  <c r="BA61" i="10"/>
  <c r="BA63" i="10"/>
  <c r="BA64" i="10"/>
  <c r="BA65" i="10"/>
  <c r="BA57" i="10"/>
  <c r="BA56" i="10"/>
  <c r="BA58" i="10"/>
  <c r="BA66" i="10"/>
  <c r="BA62" i="10"/>
  <c r="BB57" i="10"/>
  <c r="BD57" i="10" s="1"/>
  <c r="M207" i="4"/>
  <c r="AL59" i="10"/>
  <c r="AN59" i="10" s="1"/>
  <c r="BA59" i="10" s="1"/>
  <c r="BB56" i="10"/>
  <c r="BD56" i="10" s="1"/>
  <c r="AX63" i="10"/>
  <c r="AX59" i="10"/>
  <c r="AX60" i="10"/>
  <c r="AX65" i="10"/>
  <c r="AX58" i="10"/>
  <c r="AX61" i="10"/>
  <c r="AX62" i="10"/>
  <c r="AX64" i="10"/>
  <c r="AX66" i="10"/>
  <c r="O207" i="4"/>
  <c r="M211" i="4"/>
  <c r="O204" i="4"/>
  <c r="M205" i="4"/>
  <c r="M186" i="4"/>
  <c r="M213" i="4"/>
  <c r="M193" i="4"/>
  <c r="N211" i="4"/>
  <c r="M173" i="4"/>
  <c r="M188" i="4"/>
  <c r="M214" i="4"/>
  <c r="M194" i="4"/>
  <c r="O211" i="4"/>
  <c r="M175" i="4"/>
  <c r="M176" i="4"/>
  <c r="M212" i="4"/>
  <c r="O206" i="4"/>
  <c r="AZ57" i="10"/>
  <c r="W55" i="10"/>
  <c r="AP55" i="10" s="1"/>
  <c r="AR55" i="10" s="1"/>
  <c r="W54" i="10"/>
  <c r="AP54" i="10" s="1"/>
  <c r="AR54" i="10" s="1"/>
  <c r="R45" i="10"/>
  <c r="AL45" i="10" s="1"/>
  <c r="AN45" i="10" s="1"/>
  <c r="W53" i="10"/>
  <c r="AP53" i="10" s="1"/>
  <c r="AR53" i="10" s="1"/>
  <c r="AZ56" i="10"/>
  <c r="AJ54" i="10"/>
  <c r="AX54" i="10" s="1"/>
  <c r="AJ55" i="10"/>
  <c r="AX55" i="10" s="1"/>
  <c r="AJ51" i="10"/>
  <c r="AX51" i="10" s="1"/>
  <c r="AV54" i="10"/>
  <c r="R51" i="10"/>
  <c r="AL51" i="10" s="1"/>
  <c r="AN51" i="10" s="1"/>
  <c r="U52" i="10"/>
  <c r="Q52" i="10"/>
  <c r="AK52" i="10" s="1"/>
  <c r="AV53" i="10"/>
  <c r="AV51" i="10"/>
  <c r="W51" i="10"/>
  <c r="AP51" i="10" s="1"/>
  <c r="AJ52" i="10"/>
  <c r="AX52" i="10" s="1"/>
  <c r="R53" i="10"/>
  <c r="AL53" i="10" s="1"/>
  <c r="AN53" i="10" s="1"/>
  <c r="R55" i="10"/>
  <c r="AL55" i="10" s="1"/>
  <c r="AN55" i="10" s="1"/>
  <c r="R54" i="10"/>
  <c r="AL54" i="10" s="1"/>
  <c r="AN54" i="10" s="1"/>
  <c r="AW55" i="10"/>
  <c r="AJ53" i="10"/>
  <c r="AX53" i="10" s="1"/>
  <c r="AV55" i="10"/>
  <c r="AW51" i="10"/>
  <c r="AV52" i="10"/>
  <c r="AB44" i="10"/>
  <c r="AT44" i="10" s="1"/>
  <c r="AV44" i="10" s="1"/>
  <c r="W49" i="10"/>
  <c r="AP49" i="10" s="1"/>
  <c r="AJ44" i="10"/>
  <c r="AX44" i="10" s="1"/>
  <c r="AJ45" i="10"/>
  <c r="AX45" i="10" s="1"/>
  <c r="AV45" i="10"/>
  <c r="W50" i="10"/>
  <c r="AP50" i="10" s="1"/>
  <c r="V50" i="10"/>
  <c r="AO50" i="10" s="1"/>
  <c r="V44" i="10"/>
  <c r="AO44" i="10" s="1"/>
  <c r="W44" i="10"/>
  <c r="AP44" i="10" s="1"/>
  <c r="V47" i="10"/>
  <c r="AO47" i="10" s="1"/>
  <c r="W47" i="10"/>
  <c r="AP47" i="10" s="1"/>
  <c r="R44" i="10"/>
  <c r="AL44" i="10" s="1"/>
  <c r="AN44" i="10" s="1"/>
  <c r="W46" i="10"/>
  <c r="AP46" i="10" s="1"/>
  <c r="V46" i="10"/>
  <c r="AO46" i="10" s="1"/>
  <c r="V45" i="10"/>
  <c r="AO45" i="10" s="1"/>
  <c r="W45" i="10"/>
  <c r="AP45" i="10" s="1"/>
  <c r="V48" i="10"/>
  <c r="AO48" i="10" s="1"/>
  <c r="W48" i="10"/>
  <c r="AP48" i="10" s="1"/>
  <c r="AK45" i="10"/>
  <c r="V49" i="10"/>
  <c r="AO49" i="10" s="1"/>
  <c r="AW45" i="10"/>
  <c r="AJ48" i="10"/>
  <c r="AX48" i="10" s="1"/>
  <c r="AW44" i="10"/>
  <c r="AV50" i="10"/>
  <c r="AV47" i="10"/>
  <c r="R48" i="10"/>
  <c r="AL48" i="10" s="1"/>
  <c r="AN48" i="10" s="1"/>
  <c r="R49" i="10"/>
  <c r="AL49" i="10" s="1"/>
  <c r="AN49" i="10" s="1"/>
  <c r="AK48" i="10"/>
  <c r="AV49" i="10"/>
  <c r="AV46" i="10"/>
  <c r="AV48" i="10"/>
  <c r="R47" i="10"/>
  <c r="AL47" i="10" s="1"/>
  <c r="AN47" i="10" s="1"/>
  <c r="R46" i="10"/>
  <c r="AL46" i="10" s="1"/>
  <c r="AN46" i="10" s="1"/>
  <c r="R50" i="10"/>
  <c r="AL50" i="10" s="1"/>
  <c r="AN50" i="10" s="1"/>
  <c r="AJ49" i="10"/>
  <c r="AX49" i="10" s="1"/>
  <c r="AJ46" i="10"/>
  <c r="AX46" i="10" s="1"/>
  <c r="AJ50" i="10"/>
  <c r="AX50" i="10" s="1"/>
  <c r="AJ47" i="10"/>
  <c r="AX47" i="10" s="1"/>
  <c r="T219" i="4"/>
  <c r="T218" i="4"/>
  <c r="T214" i="4"/>
  <c r="T213" i="4"/>
  <c r="T217" i="4"/>
  <c r="T216" i="4"/>
  <c r="M189" i="4"/>
  <c r="M178" i="4"/>
  <c r="M180" i="4"/>
  <c r="M190" i="4"/>
  <c r="M196" i="4"/>
  <c r="M200" i="4"/>
  <c r="M202" i="4"/>
  <c r="T211" i="4"/>
  <c r="I210" i="4"/>
  <c r="Q210" i="4" s="1"/>
  <c r="P210" i="4"/>
  <c r="T212" i="4" l="1"/>
  <c r="X218" i="4"/>
  <c r="O218" i="5"/>
  <c r="X219" i="4"/>
  <c r="O219" i="5"/>
  <c r="X223" i="4"/>
  <c r="O223" i="5"/>
  <c r="X224" i="4"/>
  <c r="O224" i="5"/>
  <c r="W226" i="4"/>
  <c r="R226" i="5" s="1"/>
  <c r="P226" i="5"/>
  <c r="Y221" i="4"/>
  <c r="S221" i="5"/>
  <c r="Y225" i="4"/>
  <c r="S225" i="5"/>
  <c r="X212" i="4"/>
  <c r="O212" i="5"/>
  <c r="X216" i="4"/>
  <c r="O216" i="5"/>
  <c r="R210" i="4"/>
  <c r="M210" i="5" s="1"/>
  <c r="K210" i="5"/>
  <c r="T222" i="4"/>
  <c r="T215" i="4"/>
  <c r="T220" i="4"/>
  <c r="W229" i="4"/>
  <c r="R229" i="5" s="1"/>
  <c r="P229" i="5"/>
  <c r="W227" i="4"/>
  <c r="R227" i="5" s="1"/>
  <c r="P227" i="5"/>
  <c r="W228" i="4"/>
  <c r="R228" i="5" s="1"/>
  <c r="P228" i="5"/>
  <c r="X217" i="4"/>
  <c r="O217" i="5"/>
  <c r="Z231" i="4"/>
  <c r="U231" i="5" s="1"/>
  <c r="T231" i="5"/>
  <c r="U231" i="4"/>
  <c r="V231" i="4"/>
  <c r="Q231" i="5" s="1"/>
  <c r="S210" i="4"/>
  <c r="N210" i="5" s="1"/>
  <c r="L210" i="5"/>
  <c r="X211" i="4"/>
  <c r="O211" i="5"/>
  <c r="X213" i="4"/>
  <c r="O213" i="5"/>
  <c r="X214" i="4"/>
  <c r="O214" i="5"/>
  <c r="V230" i="4"/>
  <c r="Q230" i="5" s="1"/>
  <c r="T230" i="5"/>
  <c r="Z230" i="4"/>
  <c r="U230" i="5" s="1"/>
  <c r="U230" i="4"/>
  <c r="BE57" i="10"/>
  <c r="BM57" i="10"/>
  <c r="BE56" i="10"/>
  <c r="BM56" i="10"/>
  <c r="BA55" i="10"/>
  <c r="BA54" i="10"/>
  <c r="BA53" i="10"/>
  <c r="BB55" i="10"/>
  <c r="BD55" i="10" s="1"/>
  <c r="BB47" i="10"/>
  <c r="BD47" i="10" s="1"/>
  <c r="BB53" i="10"/>
  <c r="BD53" i="10" s="1"/>
  <c r="BB50" i="10"/>
  <c r="BD50" i="10" s="1"/>
  <c r="BB54" i="10"/>
  <c r="BD54" i="10" s="1"/>
  <c r="BB51" i="10"/>
  <c r="BD51" i="10" s="1"/>
  <c r="AZ65" i="10"/>
  <c r="BB65" i="10"/>
  <c r="BD65" i="10" s="1"/>
  <c r="BB44" i="10"/>
  <c r="BD44" i="10" s="1"/>
  <c r="AZ58" i="10"/>
  <c r="BB58" i="10"/>
  <c r="BD58" i="10" s="1"/>
  <c r="AZ66" i="10"/>
  <c r="BB66" i="10"/>
  <c r="BD66" i="10" s="1"/>
  <c r="AZ60" i="10"/>
  <c r="BB60" i="10"/>
  <c r="BD60" i="10" s="1"/>
  <c r="AZ64" i="10"/>
  <c r="BB64" i="10"/>
  <c r="BD64" i="10" s="1"/>
  <c r="AZ59" i="10"/>
  <c r="BB59" i="10"/>
  <c r="BD59" i="10" s="1"/>
  <c r="AZ62" i="10"/>
  <c r="BB62" i="10"/>
  <c r="BD62" i="10" s="1"/>
  <c r="AZ63" i="10"/>
  <c r="BB63" i="10"/>
  <c r="BD63" i="10" s="1"/>
  <c r="BB46" i="10"/>
  <c r="BD46" i="10" s="1"/>
  <c r="BB49" i="10"/>
  <c r="BD49" i="10" s="1"/>
  <c r="BB48" i="10"/>
  <c r="BD48" i="10" s="1"/>
  <c r="BB45" i="10"/>
  <c r="BD45" i="10" s="1"/>
  <c r="AZ61" i="10"/>
  <c r="BB61" i="10"/>
  <c r="BD61" i="10" s="1"/>
  <c r="AZ51" i="10"/>
  <c r="AZ54" i="10"/>
  <c r="AZ52" i="10"/>
  <c r="AZ55" i="10"/>
  <c r="AZ53" i="10"/>
  <c r="AZ46" i="10"/>
  <c r="AZ49" i="10"/>
  <c r="AZ48" i="10"/>
  <c r="AZ45" i="10"/>
  <c r="AZ44" i="10"/>
  <c r="AZ47" i="10"/>
  <c r="AZ50" i="10"/>
  <c r="R52" i="10"/>
  <c r="AL52" i="10" s="1"/>
  <c r="AN52" i="10" s="1"/>
  <c r="V52" i="10"/>
  <c r="AO52" i="10" s="1"/>
  <c r="W52" i="10"/>
  <c r="AP52" i="10" s="1"/>
  <c r="BB52" i="10" s="1"/>
  <c r="BD52" i="10" s="1"/>
  <c r="AR49" i="10"/>
  <c r="BA49" i="10" s="1"/>
  <c r="AR46" i="10"/>
  <c r="BA46" i="10" s="1"/>
  <c r="AR50" i="10"/>
  <c r="BA50" i="10" s="1"/>
  <c r="AR48" i="10"/>
  <c r="BA48" i="10" s="1"/>
  <c r="AR51" i="10"/>
  <c r="BA51" i="10" s="1"/>
  <c r="AR47" i="10"/>
  <c r="BA47" i="10" s="1"/>
  <c r="AR45" i="10"/>
  <c r="BA45" i="10" s="1"/>
  <c r="AR44" i="10"/>
  <c r="BA44" i="10" s="1"/>
  <c r="Y214" i="4" l="1"/>
  <c r="S214" i="5"/>
  <c r="Y217" i="4"/>
  <c r="S217" i="5"/>
  <c r="W230" i="4"/>
  <c r="R230" i="5" s="1"/>
  <c r="P230" i="5"/>
  <c r="X220" i="4"/>
  <c r="O220" i="5"/>
  <c r="Y216" i="4"/>
  <c r="S216" i="5"/>
  <c r="U221" i="4"/>
  <c r="T221" i="5"/>
  <c r="Z221" i="4"/>
  <c r="U221" i="5" s="1"/>
  <c r="V221" i="4"/>
  <c r="Q221" i="5" s="1"/>
  <c r="Y223" i="4"/>
  <c r="S223" i="5"/>
  <c r="Y213" i="4"/>
  <c r="S213" i="5"/>
  <c r="W231" i="4"/>
  <c r="R231" i="5" s="1"/>
  <c r="P231" i="5"/>
  <c r="X215" i="4"/>
  <c r="O215" i="5"/>
  <c r="T210" i="4"/>
  <c r="X222" i="4"/>
  <c r="O222" i="5"/>
  <c r="Y212" i="4"/>
  <c r="S212" i="5"/>
  <c r="Y219" i="4"/>
  <c r="S219" i="5"/>
  <c r="Y211" i="4"/>
  <c r="S211" i="5"/>
  <c r="U225" i="4"/>
  <c r="T225" i="5"/>
  <c r="Z225" i="4"/>
  <c r="U225" i="5" s="1"/>
  <c r="V225" i="4"/>
  <c r="Q225" i="5" s="1"/>
  <c r="Y224" i="4"/>
  <c r="S224" i="5"/>
  <c r="Y218" i="4"/>
  <c r="S218" i="5"/>
  <c r="BE61" i="10"/>
  <c r="BM61" i="10"/>
  <c r="BE50" i="10"/>
  <c r="BM50" i="10"/>
  <c r="BE64" i="10"/>
  <c r="BM64" i="10"/>
  <c r="BE62" i="10"/>
  <c r="BM62" i="10"/>
  <c r="BE60" i="10"/>
  <c r="BM60" i="10"/>
  <c r="BE44" i="10"/>
  <c r="BM44" i="10"/>
  <c r="BE53" i="10"/>
  <c r="BM53" i="10"/>
  <c r="BE52" i="10"/>
  <c r="BM52" i="10"/>
  <c r="BE48" i="10"/>
  <c r="BM48" i="10"/>
  <c r="BE65" i="10"/>
  <c r="BM65" i="10"/>
  <c r="BE47" i="10"/>
  <c r="BM47" i="10"/>
  <c r="BE63" i="10"/>
  <c r="BM63" i="10"/>
  <c r="BE45" i="10"/>
  <c r="BM45" i="10"/>
  <c r="BE49" i="10"/>
  <c r="BM49" i="10"/>
  <c r="BE59" i="10"/>
  <c r="BM59" i="10"/>
  <c r="BE66" i="10"/>
  <c r="BM66" i="10"/>
  <c r="BE46" i="10"/>
  <c r="BM46" i="10"/>
  <c r="BE51" i="10"/>
  <c r="BM51" i="10"/>
  <c r="BE55" i="10"/>
  <c r="BM55" i="10"/>
  <c r="BE58" i="10"/>
  <c r="BM58" i="10"/>
  <c r="BE54" i="10"/>
  <c r="BM54" i="10"/>
  <c r="AR52" i="10"/>
  <c r="BA52" i="10" s="1"/>
  <c r="R209" i="4"/>
  <c r="Q209" i="4"/>
  <c r="V224" i="4" l="1"/>
  <c r="Q224" i="5" s="1"/>
  <c r="T224" i="5"/>
  <c r="Z224" i="4"/>
  <c r="U224" i="5" s="1"/>
  <c r="U224" i="4"/>
  <c r="U211" i="4"/>
  <c r="T211" i="5"/>
  <c r="V211" i="4"/>
  <c r="Q211" i="5" s="1"/>
  <c r="Z211" i="4"/>
  <c r="U211" i="5" s="1"/>
  <c r="Y222" i="4"/>
  <c r="S222" i="5"/>
  <c r="X210" i="4"/>
  <c r="O210" i="5"/>
  <c r="U213" i="4"/>
  <c r="T213" i="5"/>
  <c r="Z213" i="4"/>
  <c r="U213" i="5" s="1"/>
  <c r="V213" i="4"/>
  <c r="Q213" i="5" s="1"/>
  <c r="W221" i="4"/>
  <c r="R221" i="5" s="1"/>
  <c r="P221" i="5"/>
  <c r="U219" i="4"/>
  <c r="T219" i="5"/>
  <c r="Z219" i="4"/>
  <c r="U219" i="5" s="1"/>
  <c r="V219" i="4"/>
  <c r="Q219" i="5" s="1"/>
  <c r="Y215" i="4"/>
  <c r="S215" i="5"/>
  <c r="U223" i="4"/>
  <c r="T223" i="5"/>
  <c r="Z223" i="4"/>
  <c r="U223" i="5" s="1"/>
  <c r="V223" i="4"/>
  <c r="Q223" i="5" s="1"/>
  <c r="U216" i="4"/>
  <c r="T216" i="5"/>
  <c r="V216" i="4"/>
  <c r="Q216" i="5" s="1"/>
  <c r="Z216" i="4"/>
  <c r="U216" i="5" s="1"/>
  <c r="U217" i="4"/>
  <c r="T217" i="5"/>
  <c r="V217" i="4"/>
  <c r="Q217" i="5" s="1"/>
  <c r="Z217" i="4"/>
  <c r="U217" i="5" s="1"/>
  <c r="U218" i="4"/>
  <c r="T218" i="5"/>
  <c r="V218" i="4"/>
  <c r="Q218" i="5" s="1"/>
  <c r="Z218" i="4"/>
  <c r="U218" i="5" s="1"/>
  <c r="W225" i="4"/>
  <c r="R225" i="5" s="1"/>
  <c r="P225" i="5"/>
  <c r="U212" i="4"/>
  <c r="T212" i="5"/>
  <c r="V212" i="4"/>
  <c r="Q212" i="5" s="1"/>
  <c r="Z212" i="4"/>
  <c r="U212" i="5" s="1"/>
  <c r="S209" i="4"/>
  <c r="N209" i="5" s="1"/>
  <c r="L209" i="5"/>
  <c r="Y220" i="4"/>
  <c r="S220" i="5"/>
  <c r="V214" i="4"/>
  <c r="Q214" i="5" s="1"/>
  <c r="T214" i="5"/>
  <c r="Z214" i="4"/>
  <c r="U214" i="5" s="1"/>
  <c r="U214" i="4"/>
  <c r="V220" i="4" l="1"/>
  <c r="Q220" i="5" s="1"/>
  <c r="T220" i="5"/>
  <c r="Z220" i="4"/>
  <c r="U220" i="5" s="1"/>
  <c r="U220" i="4"/>
  <c r="W218" i="4"/>
  <c r="R218" i="5" s="1"/>
  <c r="P218" i="5"/>
  <c r="W223" i="4"/>
  <c r="R223" i="5" s="1"/>
  <c r="P223" i="5"/>
  <c r="W219" i="4"/>
  <c r="R219" i="5" s="1"/>
  <c r="P219" i="5"/>
  <c r="W214" i="4"/>
  <c r="R214" i="5" s="1"/>
  <c r="P214" i="5"/>
  <c r="W216" i="4"/>
  <c r="R216" i="5" s="1"/>
  <c r="P216" i="5"/>
  <c r="Z215" i="4"/>
  <c r="U215" i="5" s="1"/>
  <c r="T215" i="5"/>
  <c r="U215" i="4"/>
  <c r="V215" i="4"/>
  <c r="Q215" i="5" s="1"/>
  <c r="Y210" i="4"/>
  <c r="S210" i="5"/>
  <c r="W211" i="4"/>
  <c r="R211" i="5" s="1"/>
  <c r="P211" i="5"/>
  <c r="W224" i="4"/>
  <c r="R224" i="5" s="1"/>
  <c r="P224" i="5"/>
  <c r="W217" i="4"/>
  <c r="R217" i="5" s="1"/>
  <c r="P217" i="5"/>
  <c r="U222" i="4"/>
  <c r="T222" i="5"/>
  <c r="Z222" i="4"/>
  <c r="U222" i="5" s="1"/>
  <c r="V222" i="4"/>
  <c r="Q222" i="5" s="1"/>
  <c r="T209" i="4"/>
  <c r="W212" i="4"/>
  <c r="R212" i="5" s="1"/>
  <c r="P212" i="5"/>
  <c r="W213" i="4"/>
  <c r="R213" i="5" s="1"/>
  <c r="P213" i="5"/>
  <c r="W215" i="4" l="1"/>
  <c r="R215" i="5" s="1"/>
  <c r="P215" i="5"/>
  <c r="W220" i="4"/>
  <c r="R220" i="5" s="1"/>
  <c r="P220" i="5"/>
  <c r="W222" i="4"/>
  <c r="R222" i="5" s="1"/>
  <c r="P222" i="5"/>
  <c r="X209" i="4"/>
  <c r="O209" i="5"/>
  <c r="V210" i="4"/>
  <c r="Q210" i="5" s="1"/>
  <c r="T210" i="5"/>
  <c r="U210" i="4"/>
  <c r="Z210" i="4"/>
  <c r="U210" i="5" s="1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L10" i="10"/>
  <c r="M10" i="10" s="1"/>
  <c r="L11" i="10"/>
  <c r="M11" i="10" s="1"/>
  <c r="L12" i="10"/>
  <c r="M12" i="10" s="1"/>
  <c r="L13" i="10"/>
  <c r="M13" i="10" s="1"/>
  <c r="L14" i="10"/>
  <c r="M14" i="10" s="1"/>
  <c r="L15" i="10"/>
  <c r="M15" i="10" s="1"/>
  <c r="L16" i="10"/>
  <c r="M16" i="10" s="1"/>
  <c r="L17" i="10"/>
  <c r="M17" i="10" s="1"/>
  <c r="L18" i="10"/>
  <c r="M18" i="10" s="1"/>
  <c r="L19" i="10"/>
  <c r="M19" i="10" s="1"/>
  <c r="L20" i="10"/>
  <c r="M20" i="10" s="1"/>
  <c r="L21" i="10"/>
  <c r="M21" i="10" s="1"/>
  <c r="L22" i="10"/>
  <c r="M22" i="10" s="1"/>
  <c r="L23" i="10"/>
  <c r="M23" i="10" s="1"/>
  <c r="L24" i="10"/>
  <c r="M24" i="10" s="1"/>
  <c r="L25" i="10"/>
  <c r="M25" i="10" s="1"/>
  <c r="L26" i="10"/>
  <c r="M26" i="10" s="1"/>
  <c r="L27" i="10"/>
  <c r="M27" i="10" s="1"/>
  <c r="L28" i="10"/>
  <c r="M28" i="10" s="1"/>
  <c r="L29" i="10"/>
  <c r="M29" i="10" s="1"/>
  <c r="L30" i="10"/>
  <c r="M30" i="10" s="1"/>
  <c r="L31" i="10"/>
  <c r="M31" i="10" s="1"/>
  <c r="L32" i="10"/>
  <c r="M32" i="10" s="1"/>
  <c r="L33" i="10"/>
  <c r="M33" i="10" s="1"/>
  <c r="L34" i="10"/>
  <c r="M34" i="10" s="1"/>
  <c r="L35" i="10"/>
  <c r="M35" i="10" s="1"/>
  <c r="L36" i="10"/>
  <c r="M36" i="10" s="1"/>
  <c r="P36" i="10" s="1"/>
  <c r="U36" i="10" s="1"/>
  <c r="L37" i="10"/>
  <c r="M37" i="10" s="1"/>
  <c r="L38" i="10"/>
  <c r="M38" i="10" s="1"/>
  <c r="M39" i="10"/>
  <c r="M40" i="10"/>
  <c r="M41" i="10"/>
  <c r="M42" i="10"/>
  <c r="P42" i="10" s="1"/>
  <c r="U42" i="10" s="1"/>
  <c r="M43" i="10"/>
  <c r="P10" i="10"/>
  <c r="U10" i="10" s="1"/>
  <c r="P11" i="10"/>
  <c r="U11" i="10" s="1"/>
  <c r="P12" i="10"/>
  <c r="U12" i="10" s="1"/>
  <c r="P13" i="10"/>
  <c r="U13" i="10" s="1"/>
  <c r="V13" i="10" s="1"/>
  <c r="AO13" i="10" s="1"/>
  <c r="P14" i="10"/>
  <c r="U14" i="10" s="1"/>
  <c r="V14" i="10" s="1"/>
  <c r="AO14" i="10" s="1"/>
  <c r="P15" i="10"/>
  <c r="U15" i="10" s="1"/>
  <c r="V15" i="10" s="1"/>
  <c r="AO15" i="10" s="1"/>
  <c r="P16" i="10"/>
  <c r="U16" i="10" s="1"/>
  <c r="V16" i="10" s="1"/>
  <c r="AO16" i="10" s="1"/>
  <c r="P17" i="10"/>
  <c r="U17" i="10" s="1"/>
  <c r="P18" i="10"/>
  <c r="U18" i="10" s="1"/>
  <c r="V18" i="10" s="1"/>
  <c r="AO18" i="10" s="1"/>
  <c r="P19" i="10"/>
  <c r="U19" i="10" s="1"/>
  <c r="P20" i="10"/>
  <c r="U20" i="10" s="1"/>
  <c r="V20" i="10" s="1"/>
  <c r="AO20" i="10" s="1"/>
  <c r="P21" i="10"/>
  <c r="U21" i="10" s="1"/>
  <c r="P22" i="10"/>
  <c r="U22" i="10" s="1"/>
  <c r="V22" i="10" s="1"/>
  <c r="AO22" i="10" s="1"/>
  <c r="P23" i="10"/>
  <c r="U23" i="10" s="1"/>
  <c r="V23" i="10" s="1"/>
  <c r="AO23" i="10" s="1"/>
  <c r="P24" i="10"/>
  <c r="U24" i="10" s="1"/>
  <c r="V24" i="10" s="1"/>
  <c r="AO24" i="10" s="1"/>
  <c r="P25" i="10"/>
  <c r="U25" i="10" s="1"/>
  <c r="P26" i="10"/>
  <c r="U26" i="10" s="1"/>
  <c r="V26" i="10" s="1"/>
  <c r="AO26" i="10" s="1"/>
  <c r="P27" i="10"/>
  <c r="U27" i="10" s="1"/>
  <c r="P28" i="10"/>
  <c r="U28" i="10" s="1"/>
  <c r="V28" i="10" s="1"/>
  <c r="AO28" i="10" s="1"/>
  <c r="P29" i="10"/>
  <c r="U29" i="10" s="1"/>
  <c r="P30" i="10"/>
  <c r="U30" i="10" s="1"/>
  <c r="P31" i="10"/>
  <c r="U31" i="10" s="1"/>
  <c r="V31" i="10" s="1"/>
  <c r="AO31" i="10" s="1"/>
  <c r="P32" i="10"/>
  <c r="U32" i="10" s="1"/>
  <c r="V32" i="10" s="1"/>
  <c r="AO32" i="10" s="1"/>
  <c r="P33" i="10"/>
  <c r="U33" i="10" s="1"/>
  <c r="P34" i="10"/>
  <c r="U34" i="10" s="1"/>
  <c r="V34" i="10" s="1"/>
  <c r="AO34" i="10" s="1"/>
  <c r="P35" i="10"/>
  <c r="U35" i="10" s="1"/>
  <c r="P37" i="10"/>
  <c r="U37" i="10" s="1"/>
  <c r="P38" i="10"/>
  <c r="U38" i="10" s="1"/>
  <c r="V38" i="10" s="1"/>
  <c r="AO38" i="10" s="1"/>
  <c r="P39" i="10"/>
  <c r="U39" i="10" s="1"/>
  <c r="V39" i="10" s="1"/>
  <c r="AO39" i="10" s="1"/>
  <c r="P40" i="10"/>
  <c r="U40" i="10" s="1"/>
  <c r="V40" i="10" s="1"/>
  <c r="AO40" i="10" s="1"/>
  <c r="P41" i="10"/>
  <c r="U41" i="10" s="1"/>
  <c r="P43" i="10"/>
  <c r="U43" i="10" s="1"/>
  <c r="Q10" i="10"/>
  <c r="Q11" i="10"/>
  <c r="AK11" i="10" s="1"/>
  <c r="Q12" i="10"/>
  <c r="AK12" i="10" s="1"/>
  <c r="Q13" i="10"/>
  <c r="AK13" i="10" s="1"/>
  <c r="Q14" i="10"/>
  <c r="AK14" i="10" s="1"/>
  <c r="Q15" i="10"/>
  <c r="AK15" i="10" s="1"/>
  <c r="Q16" i="10"/>
  <c r="Q17" i="10"/>
  <c r="AK17" i="10" s="1"/>
  <c r="Q18" i="10"/>
  <c r="AK18" i="10" s="1"/>
  <c r="Q19" i="10"/>
  <c r="AK19" i="10" s="1"/>
  <c r="Q20" i="10"/>
  <c r="AK20" i="10" s="1"/>
  <c r="Q21" i="10"/>
  <c r="AK21" i="10" s="1"/>
  <c r="Q22" i="10"/>
  <c r="AK22" i="10" s="1"/>
  <c r="Q23" i="10"/>
  <c r="AK23" i="10" s="1"/>
  <c r="Q24" i="10"/>
  <c r="AK24" i="10" s="1"/>
  <c r="Q25" i="10"/>
  <c r="AK25" i="10" s="1"/>
  <c r="Q26" i="10"/>
  <c r="AK26" i="10" s="1"/>
  <c r="Q27" i="10"/>
  <c r="AK27" i="10" s="1"/>
  <c r="Q28" i="10"/>
  <c r="AK28" i="10" s="1"/>
  <c r="Q29" i="10"/>
  <c r="AK29" i="10" s="1"/>
  <c r="Q30" i="10"/>
  <c r="AK30" i="10" s="1"/>
  <c r="Q31" i="10"/>
  <c r="AK31" i="10" s="1"/>
  <c r="Q32" i="10"/>
  <c r="AK32" i="10" s="1"/>
  <c r="Q33" i="10"/>
  <c r="AK33" i="10" s="1"/>
  <c r="Q34" i="10"/>
  <c r="Q35" i="10"/>
  <c r="AK35" i="10" s="1"/>
  <c r="Q36" i="10"/>
  <c r="Q37" i="10"/>
  <c r="AK37" i="10" s="1"/>
  <c r="Q38" i="10"/>
  <c r="AK38" i="10" s="1"/>
  <c r="Q39" i="10"/>
  <c r="AK39" i="10" s="1"/>
  <c r="Q40" i="10"/>
  <c r="Q41" i="10"/>
  <c r="AK41" i="10" s="1"/>
  <c r="Q43" i="10"/>
  <c r="AK43" i="10" s="1"/>
  <c r="AA10" i="10"/>
  <c r="AS10" i="10" s="1"/>
  <c r="AA11" i="10"/>
  <c r="AS11" i="10" s="1"/>
  <c r="AA12" i="10"/>
  <c r="AS12" i="10" s="1"/>
  <c r="AA13" i="10"/>
  <c r="AS13" i="10" s="1"/>
  <c r="AA14" i="10"/>
  <c r="AS14" i="10" s="1"/>
  <c r="AA15" i="10"/>
  <c r="AS15" i="10" s="1"/>
  <c r="AA16" i="10"/>
  <c r="AS16" i="10" s="1"/>
  <c r="AA17" i="10"/>
  <c r="AS17" i="10" s="1"/>
  <c r="AA18" i="10"/>
  <c r="AS18" i="10" s="1"/>
  <c r="AA19" i="10"/>
  <c r="AS19" i="10" s="1"/>
  <c r="AA20" i="10"/>
  <c r="AS20" i="10" s="1"/>
  <c r="AA21" i="10"/>
  <c r="AS21" i="10" s="1"/>
  <c r="AA22" i="10"/>
  <c r="AS22" i="10" s="1"/>
  <c r="AA23" i="10"/>
  <c r="AS23" i="10" s="1"/>
  <c r="AA24" i="10"/>
  <c r="AS24" i="10" s="1"/>
  <c r="AA25" i="10"/>
  <c r="AS25" i="10" s="1"/>
  <c r="AA26" i="10"/>
  <c r="AS26" i="10" s="1"/>
  <c r="AA27" i="10"/>
  <c r="AS27" i="10" s="1"/>
  <c r="AA28" i="10"/>
  <c r="AS28" i="10" s="1"/>
  <c r="AA29" i="10"/>
  <c r="AS29" i="10" s="1"/>
  <c r="AA30" i="10"/>
  <c r="AS30" i="10" s="1"/>
  <c r="AA31" i="10"/>
  <c r="AS31" i="10" s="1"/>
  <c r="AA32" i="10"/>
  <c r="AS32" i="10" s="1"/>
  <c r="AA33" i="10"/>
  <c r="AS33" i="10" s="1"/>
  <c r="AA34" i="10"/>
  <c r="AS34" i="10" s="1"/>
  <c r="AA35" i="10"/>
  <c r="AS35" i="10" s="1"/>
  <c r="AA36" i="10"/>
  <c r="AS36" i="10" s="1"/>
  <c r="AA37" i="10"/>
  <c r="AS37" i="10" s="1"/>
  <c r="AA38" i="10"/>
  <c r="AS38" i="10" s="1"/>
  <c r="AA39" i="10"/>
  <c r="AS39" i="10" s="1"/>
  <c r="AA40" i="10"/>
  <c r="AS40" i="10" s="1"/>
  <c r="AA41" i="10"/>
  <c r="AS41" i="10" s="1"/>
  <c r="AA43" i="10"/>
  <c r="AS43" i="10" s="1"/>
  <c r="AB10" i="10"/>
  <c r="AT10" i="10" s="1"/>
  <c r="AB11" i="10"/>
  <c r="AT11" i="10" s="1"/>
  <c r="AB12" i="10"/>
  <c r="AT12" i="10" s="1"/>
  <c r="AB13" i="10"/>
  <c r="AT13" i="10" s="1"/>
  <c r="AB14" i="10"/>
  <c r="AT14" i="10" s="1"/>
  <c r="AB15" i="10"/>
  <c r="AT15" i="10" s="1"/>
  <c r="AB16" i="10"/>
  <c r="AT16" i="10" s="1"/>
  <c r="AB17" i="10"/>
  <c r="AT17" i="10" s="1"/>
  <c r="AB18" i="10"/>
  <c r="AT18" i="10" s="1"/>
  <c r="AB19" i="10"/>
  <c r="AT19" i="10" s="1"/>
  <c r="AB20" i="10"/>
  <c r="AT20" i="10" s="1"/>
  <c r="AB21" i="10"/>
  <c r="AT21" i="10" s="1"/>
  <c r="AB22" i="10"/>
  <c r="AT22" i="10" s="1"/>
  <c r="AB23" i="10"/>
  <c r="AT23" i="10" s="1"/>
  <c r="AB24" i="10"/>
  <c r="AT24" i="10" s="1"/>
  <c r="AB25" i="10"/>
  <c r="AT25" i="10" s="1"/>
  <c r="AB26" i="10"/>
  <c r="AT26" i="10" s="1"/>
  <c r="AB27" i="10"/>
  <c r="AT27" i="10" s="1"/>
  <c r="AB28" i="10"/>
  <c r="AT28" i="10" s="1"/>
  <c r="AB29" i="10"/>
  <c r="AT29" i="10" s="1"/>
  <c r="AB30" i="10"/>
  <c r="AT30" i="10" s="1"/>
  <c r="AB31" i="10"/>
  <c r="AT31" i="10" s="1"/>
  <c r="AB32" i="10"/>
  <c r="AT32" i="10" s="1"/>
  <c r="AB33" i="10"/>
  <c r="AT33" i="10" s="1"/>
  <c r="AB34" i="10"/>
  <c r="AT34" i="10" s="1"/>
  <c r="AB35" i="10"/>
  <c r="AT35" i="10" s="1"/>
  <c r="AB36" i="10"/>
  <c r="AT36" i="10" s="1"/>
  <c r="AB37" i="10"/>
  <c r="AT37" i="10" s="1"/>
  <c r="AB38" i="10"/>
  <c r="AT38" i="10" s="1"/>
  <c r="AB39" i="10"/>
  <c r="AT39" i="10" s="1"/>
  <c r="AB40" i="10"/>
  <c r="AT40" i="10" s="1"/>
  <c r="AB41" i="10"/>
  <c r="AT41" i="10" s="1"/>
  <c r="AB43" i="10"/>
  <c r="AT43" i="10" s="1"/>
  <c r="AH10" i="10"/>
  <c r="AI10" i="10" s="1"/>
  <c r="AW10" i="10" s="1"/>
  <c r="AH11" i="10"/>
  <c r="AI11" i="10" s="1"/>
  <c r="AH12" i="10"/>
  <c r="AI12" i="10" s="1"/>
  <c r="AH13" i="10"/>
  <c r="AI13" i="10" s="1"/>
  <c r="AH14" i="10"/>
  <c r="AI14" i="10" s="1"/>
  <c r="AH15" i="10"/>
  <c r="AI15" i="10" s="1"/>
  <c r="AH16" i="10"/>
  <c r="AI16" i="10" s="1"/>
  <c r="AW16" i="10" s="1"/>
  <c r="AH17" i="10"/>
  <c r="AI17" i="10" s="1"/>
  <c r="AW17" i="10" s="1"/>
  <c r="AH18" i="10"/>
  <c r="AI18" i="10" s="1"/>
  <c r="AH19" i="10"/>
  <c r="AI19" i="10" s="1"/>
  <c r="AW19" i="10" s="1"/>
  <c r="AH20" i="10"/>
  <c r="AI20" i="10" s="1"/>
  <c r="AH21" i="10"/>
  <c r="AI21" i="10" s="1"/>
  <c r="AH22" i="10"/>
  <c r="AI22" i="10" s="1"/>
  <c r="AH23" i="10"/>
  <c r="AI23" i="10" s="1"/>
  <c r="AH24" i="10"/>
  <c r="AI24" i="10" s="1"/>
  <c r="AW24" i="10" s="1"/>
  <c r="AH25" i="10"/>
  <c r="AI25" i="10" s="1"/>
  <c r="AW25" i="10" s="1"/>
  <c r="AH26" i="10"/>
  <c r="AI26" i="10" s="1"/>
  <c r="AH27" i="10"/>
  <c r="AI27" i="10" s="1"/>
  <c r="AH28" i="10"/>
  <c r="AI28" i="10" s="1"/>
  <c r="AW28" i="10" s="1"/>
  <c r="AH29" i="10"/>
  <c r="AI29" i="10" s="1"/>
  <c r="AW29" i="10" s="1"/>
  <c r="AH30" i="10"/>
  <c r="AI30" i="10" s="1"/>
  <c r="AH31" i="10"/>
  <c r="AI31" i="10" s="1"/>
  <c r="AW31" i="10" s="1"/>
  <c r="AH32" i="10"/>
  <c r="AI32" i="10" s="1"/>
  <c r="AH33" i="10"/>
  <c r="AI33" i="10" s="1"/>
  <c r="AH34" i="10"/>
  <c r="AI34" i="10" s="1"/>
  <c r="AW34" i="10" s="1"/>
  <c r="AH35" i="10"/>
  <c r="AI35" i="10" s="1"/>
  <c r="AW35" i="10" s="1"/>
  <c r="AH36" i="10"/>
  <c r="AI36" i="10" s="1"/>
  <c r="AW36" i="10" s="1"/>
  <c r="AH37" i="10"/>
  <c r="AI37" i="10" s="1"/>
  <c r="AW37" i="10" s="1"/>
  <c r="AH38" i="10"/>
  <c r="AI38" i="10" s="1"/>
  <c r="AH39" i="10"/>
  <c r="AI39" i="10" s="1"/>
  <c r="AW39" i="10" s="1"/>
  <c r="AH40" i="10"/>
  <c r="AI40" i="10" s="1"/>
  <c r="AW40" i="10" s="1"/>
  <c r="AH41" i="10"/>
  <c r="AI41" i="10" s="1"/>
  <c r="AW41" i="10" s="1"/>
  <c r="AH42" i="10"/>
  <c r="AI42" i="10" s="1"/>
  <c r="AH43" i="10"/>
  <c r="AI43" i="10" s="1"/>
  <c r="AW43" i="10" s="1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31" i="10"/>
  <c r="AM32" i="10"/>
  <c r="AM33" i="10"/>
  <c r="AM34" i="10"/>
  <c r="AM35" i="10"/>
  <c r="AM36" i="10"/>
  <c r="AM37" i="10"/>
  <c r="AM38" i="10"/>
  <c r="AM39" i="10"/>
  <c r="AM40" i="10"/>
  <c r="AM41" i="10"/>
  <c r="AM42" i="10"/>
  <c r="AM43" i="10"/>
  <c r="AQ10" i="10"/>
  <c r="AQ11" i="10"/>
  <c r="AQ12" i="10"/>
  <c r="AQ13" i="10"/>
  <c r="AQ14" i="10"/>
  <c r="AQ15" i="10"/>
  <c r="AQ16" i="10"/>
  <c r="AQ17" i="10"/>
  <c r="AQ18" i="10"/>
  <c r="AQ19" i="10"/>
  <c r="AQ20" i="10"/>
  <c r="AQ21" i="10"/>
  <c r="AQ22" i="10"/>
  <c r="AQ23" i="10"/>
  <c r="AQ24" i="10"/>
  <c r="AQ25" i="10"/>
  <c r="AQ26" i="10"/>
  <c r="AQ27" i="10"/>
  <c r="AQ28" i="10"/>
  <c r="AQ29" i="10"/>
  <c r="AQ30" i="10"/>
  <c r="AQ31" i="10"/>
  <c r="AQ32" i="10"/>
  <c r="AQ33" i="10"/>
  <c r="AQ34" i="10"/>
  <c r="AQ35" i="10"/>
  <c r="AQ36" i="10"/>
  <c r="AQ37" i="10"/>
  <c r="AQ38" i="10"/>
  <c r="AQ39" i="10"/>
  <c r="AQ40" i="10"/>
  <c r="AQ41" i="10"/>
  <c r="AQ42" i="10"/>
  <c r="AQ43" i="10"/>
  <c r="AU10" i="10"/>
  <c r="AU11" i="10"/>
  <c r="AU12" i="10"/>
  <c r="AU13" i="10"/>
  <c r="AU14" i="10"/>
  <c r="AU15" i="10"/>
  <c r="AU16" i="10"/>
  <c r="AU17" i="10"/>
  <c r="AU18" i="10"/>
  <c r="AU19" i="10"/>
  <c r="AU20" i="10"/>
  <c r="AU21" i="10"/>
  <c r="AU22" i="10"/>
  <c r="AU23" i="10"/>
  <c r="AU24" i="10"/>
  <c r="AU25" i="10"/>
  <c r="AU26" i="10"/>
  <c r="AU27" i="10"/>
  <c r="AU28" i="10"/>
  <c r="AU29" i="10"/>
  <c r="AU30" i="10"/>
  <c r="AU31" i="10"/>
  <c r="AU32" i="10"/>
  <c r="AU33" i="10"/>
  <c r="AU34" i="10"/>
  <c r="AU35" i="10"/>
  <c r="AU36" i="10"/>
  <c r="AU37" i="10"/>
  <c r="AU38" i="10"/>
  <c r="AU39" i="10"/>
  <c r="AU40" i="10"/>
  <c r="AU41" i="10"/>
  <c r="AU42" i="10"/>
  <c r="AU43" i="10"/>
  <c r="AY10" i="10"/>
  <c r="BG10" i="10" s="1"/>
  <c r="AY11" i="10"/>
  <c r="BG11" i="10" s="1"/>
  <c r="AY12" i="10"/>
  <c r="BG12" i="10" s="1"/>
  <c r="AY13" i="10"/>
  <c r="BG13" i="10" s="1"/>
  <c r="AY14" i="10"/>
  <c r="BG14" i="10" s="1"/>
  <c r="AY15" i="10"/>
  <c r="BG15" i="10" s="1"/>
  <c r="AY16" i="10"/>
  <c r="BG16" i="10" s="1"/>
  <c r="AY17" i="10"/>
  <c r="BG17" i="10" s="1"/>
  <c r="AY18" i="10"/>
  <c r="BG18" i="10" s="1"/>
  <c r="AY19" i="10"/>
  <c r="BG19" i="10" s="1"/>
  <c r="AY20" i="10"/>
  <c r="BG20" i="10" s="1"/>
  <c r="AY21" i="10"/>
  <c r="BG21" i="10" s="1"/>
  <c r="AY22" i="10"/>
  <c r="BG22" i="10" s="1"/>
  <c r="AY23" i="10"/>
  <c r="BG23" i="10" s="1"/>
  <c r="AY24" i="10"/>
  <c r="BG24" i="10" s="1"/>
  <c r="AY25" i="10"/>
  <c r="BG25" i="10" s="1"/>
  <c r="AY26" i="10"/>
  <c r="BG26" i="10" s="1"/>
  <c r="AY27" i="10"/>
  <c r="BG27" i="10" s="1"/>
  <c r="AY28" i="10"/>
  <c r="BG28" i="10" s="1"/>
  <c r="AY29" i="10"/>
  <c r="BG29" i="10" s="1"/>
  <c r="AY30" i="10"/>
  <c r="BG30" i="10" s="1"/>
  <c r="AY31" i="10"/>
  <c r="BG31" i="10" s="1"/>
  <c r="AY32" i="10"/>
  <c r="BG32" i="10" s="1"/>
  <c r="AY33" i="10"/>
  <c r="BG33" i="10" s="1"/>
  <c r="AY34" i="10"/>
  <c r="BG34" i="10" s="1"/>
  <c r="AY35" i="10"/>
  <c r="BG35" i="10" s="1"/>
  <c r="AY36" i="10"/>
  <c r="BG36" i="10" s="1"/>
  <c r="AY37" i="10"/>
  <c r="BG37" i="10" s="1"/>
  <c r="AY38" i="10"/>
  <c r="BG38" i="10" s="1"/>
  <c r="AY39" i="10"/>
  <c r="BG39" i="10" s="1"/>
  <c r="AY40" i="10"/>
  <c r="BG40" i="10" s="1"/>
  <c r="AY41" i="10"/>
  <c r="BG41" i="10" s="1"/>
  <c r="AY42" i="10"/>
  <c r="BG42" i="10" s="1"/>
  <c r="AY43" i="10"/>
  <c r="BG43" i="10" s="1"/>
  <c r="P199" i="4"/>
  <c r="P200" i="4"/>
  <c r="P201" i="4"/>
  <c r="P202" i="4"/>
  <c r="Q199" i="4"/>
  <c r="Q200" i="4"/>
  <c r="Q201" i="4"/>
  <c r="Q202" i="4"/>
  <c r="P203" i="4"/>
  <c r="P204" i="4"/>
  <c r="P205" i="4"/>
  <c r="P206" i="4"/>
  <c r="Q203" i="4"/>
  <c r="Q204" i="4"/>
  <c r="Q205" i="4"/>
  <c r="Q206" i="4"/>
  <c r="P207" i="4"/>
  <c r="P208" i="4"/>
  <c r="Q207" i="4"/>
  <c r="Q208" i="4"/>
  <c r="AY9" i="10"/>
  <c r="BG9" i="10" s="1"/>
  <c r="AU9" i="10"/>
  <c r="AQ9" i="10"/>
  <c r="AM9" i="10"/>
  <c r="R202" i="4" l="1"/>
  <c r="M202" i="5" s="1"/>
  <c r="K202" i="5"/>
  <c r="S206" i="4"/>
  <c r="N206" i="5" s="1"/>
  <c r="L206" i="5"/>
  <c r="R203" i="4"/>
  <c r="M203" i="5" s="1"/>
  <c r="K203" i="5"/>
  <c r="W210" i="4"/>
  <c r="R210" i="5" s="1"/>
  <c r="P210" i="5"/>
  <c r="R204" i="4"/>
  <c r="M204" i="5" s="1"/>
  <c r="K204" i="5"/>
  <c r="S205" i="4"/>
  <c r="N205" i="5" s="1"/>
  <c r="L205" i="5"/>
  <c r="R201" i="4"/>
  <c r="M201" i="5" s="1"/>
  <c r="K201" i="5"/>
  <c r="S208" i="4"/>
  <c r="N208" i="5" s="1"/>
  <c r="L208" i="5"/>
  <c r="S204" i="4"/>
  <c r="N204" i="5" s="1"/>
  <c r="L204" i="5"/>
  <c r="S202" i="4"/>
  <c r="N202" i="5" s="1"/>
  <c r="L202" i="5"/>
  <c r="R200" i="4"/>
  <c r="M200" i="5" s="1"/>
  <c r="K200" i="5"/>
  <c r="R207" i="4"/>
  <c r="M207" i="5" s="1"/>
  <c r="K207" i="5"/>
  <c r="S203" i="4"/>
  <c r="N203" i="5" s="1"/>
  <c r="L203" i="5"/>
  <c r="R199" i="4"/>
  <c r="M199" i="5" s="1"/>
  <c r="K199" i="5"/>
  <c r="R205" i="4"/>
  <c r="M205" i="5" s="1"/>
  <c r="K205" i="5"/>
  <c r="S207" i="4"/>
  <c r="N207" i="5" s="1"/>
  <c r="L207" i="5"/>
  <c r="S201" i="4"/>
  <c r="N201" i="5" s="1"/>
  <c r="L201" i="5"/>
  <c r="R208" i="4"/>
  <c r="M208" i="5" s="1"/>
  <c r="K208" i="5"/>
  <c r="R206" i="4"/>
  <c r="M206" i="5" s="1"/>
  <c r="K206" i="5"/>
  <c r="S200" i="4"/>
  <c r="N200" i="5" s="1"/>
  <c r="L200" i="5"/>
  <c r="S199" i="4"/>
  <c r="N199" i="5" s="1"/>
  <c r="L199" i="5"/>
  <c r="Y209" i="4"/>
  <c r="S209" i="5"/>
  <c r="W12" i="10"/>
  <c r="AP12" i="10" s="1"/>
  <c r="AR12" i="10" s="1"/>
  <c r="W30" i="10"/>
  <c r="AP30" i="10" s="1"/>
  <c r="AR30" i="10" s="1"/>
  <c r="W43" i="10"/>
  <c r="AP43" i="10" s="1"/>
  <c r="AR43" i="10" s="1"/>
  <c r="R36" i="10"/>
  <c r="AL36" i="10" s="1"/>
  <c r="AN36" i="10" s="1"/>
  <c r="W18" i="10"/>
  <c r="AP18" i="10" s="1"/>
  <c r="AR18" i="10" s="1"/>
  <c r="W24" i="10"/>
  <c r="AP24" i="10" s="1"/>
  <c r="AR24" i="10" s="1"/>
  <c r="V43" i="10"/>
  <c r="AO43" i="10" s="1"/>
  <c r="V12" i="10"/>
  <c r="AO12" i="10" s="1"/>
  <c r="AJ13" i="10"/>
  <c r="AX13" i="10" s="1"/>
  <c r="W33" i="10"/>
  <c r="AP33" i="10" s="1"/>
  <c r="AW13" i="10"/>
  <c r="R27" i="10"/>
  <c r="AL27" i="10" s="1"/>
  <c r="AN27" i="10" s="1"/>
  <c r="AJ22" i="10"/>
  <c r="AX22" i="10" s="1"/>
  <c r="AB42" i="10"/>
  <c r="AT42" i="10" s="1"/>
  <c r="AV42" i="10" s="1"/>
  <c r="W37" i="10"/>
  <c r="AP37" i="10" s="1"/>
  <c r="AV41" i="10"/>
  <c r="AV35" i="10"/>
  <c r="V30" i="10"/>
  <c r="AO30" i="10" s="1"/>
  <c r="AV30" i="10"/>
  <c r="W25" i="10"/>
  <c r="AP25" i="10" s="1"/>
  <c r="W19" i="10"/>
  <c r="AP19" i="10" s="1"/>
  <c r="V36" i="10"/>
  <c r="AO36" i="10" s="1"/>
  <c r="W36" i="10"/>
  <c r="AP36" i="10" s="1"/>
  <c r="R22" i="10"/>
  <c r="AL22" i="10" s="1"/>
  <c r="AN22" i="10" s="1"/>
  <c r="AJ17" i="10"/>
  <c r="AX17" i="10" s="1"/>
  <c r="W21" i="10"/>
  <c r="AP21" i="10" s="1"/>
  <c r="V21" i="10"/>
  <c r="AO21" i="10" s="1"/>
  <c r="V27" i="10"/>
  <c r="AO27" i="10" s="1"/>
  <c r="W27" i="10"/>
  <c r="AP27" i="10" s="1"/>
  <c r="AV33" i="10"/>
  <c r="AV21" i="10"/>
  <c r="R40" i="10"/>
  <c r="AL40" i="10" s="1"/>
  <c r="AN40" i="10" s="1"/>
  <c r="R34" i="10"/>
  <c r="AL34" i="10" s="1"/>
  <c r="AN34" i="10" s="1"/>
  <c r="R16" i="10"/>
  <c r="AL16" i="10" s="1"/>
  <c r="AN16" i="10" s="1"/>
  <c r="R10" i="10"/>
  <c r="AL10" i="10" s="1"/>
  <c r="AN10" i="10" s="1"/>
  <c r="W38" i="10"/>
  <c r="AP38" i="10" s="1"/>
  <c r="W26" i="10"/>
  <c r="AP26" i="10" s="1"/>
  <c r="W20" i="10"/>
  <c r="AP20" i="10" s="1"/>
  <c r="W14" i="10"/>
  <c r="AP14" i="10" s="1"/>
  <c r="AV27" i="10"/>
  <c r="AK36" i="10"/>
  <c r="AV15" i="10"/>
  <c r="W13" i="10"/>
  <c r="AP13" i="10" s="1"/>
  <c r="V25" i="10"/>
  <c r="AO25" i="10" s="1"/>
  <c r="AV39" i="10"/>
  <c r="W32" i="10"/>
  <c r="AP32" i="10" s="1"/>
  <c r="AJ42" i="10"/>
  <c r="AX42" i="10" s="1"/>
  <c r="AJ30" i="10"/>
  <c r="AX30" i="10" s="1"/>
  <c r="AJ18" i="10"/>
  <c r="AX18" i="10" s="1"/>
  <c r="AJ12" i="10"/>
  <c r="AX12" i="10" s="1"/>
  <c r="AA42" i="10"/>
  <c r="AS42" i="10" s="1"/>
  <c r="W41" i="10"/>
  <c r="AP41" i="10" s="1"/>
  <c r="W35" i="10"/>
  <c r="AP35" i="10" s="1"/>
  <c r="W23" i="10"/>
  <c r="AP23" i="10" s="1"/>
  <c r="W17" i="10"/>
  <c r="AP17" i="10" s="1"/>
  <c r="W11" i="10"/>
  <c r="AP11" i="10" s="1"/>
  <c r="AV29" i="10"/>
  <c r="AV23" i="10"/>
  <c r="AV17" i="10"/>
  <c r="AV11" i="10"/>
  <c r="V29" i="10"/>
  <c r="AO29" i="10" s="1"/>
  <c r="W29" i="10"/>
  <c r="AP29" i="10" s="1"/>
  <c r="AK16" i="10"/>
  <c r="AV43" i="10"/>
  <c r="AV37" i="10"/>
  <c r="AV31" i="10"/>
  <c r="AV25" i="10"/>
  <c r="AV19" i="10"/>
  <c r="AV13" i="10"/>
  <c r="W31" i="10"/>
  <c r="AP31" i="10" s="1"/>
  <c r="W15" i="10"/>
  <c r="AP15" i="10" s="1"/>
  <c r="R28" i="10"/>
  <c r="AL28" i="10" s="1"/>
  <c r="AN28" i="10" s="1"/>
  <c r="AK40" i="10"/>
  <c r="AK10" i="10"/>
  <c r="AV36" i="10"/>
  <c r="AV24" i="10"/>
  <c r="AV18" i="10"/>
  <c r="AV12" i="10"/>
  <c r="W39" i="10"/>
  <c r="AP39" i="10" s="1"/>
  <c r="V37" i="10"/>
  <c r="AO37" i="10" s="1"/>
  <c r="V19" i="10"/>
  <c r="AO19" i="10" s="1"/>
  <c r="AV40" i="10"/>
  <c r="AV34" i="10"/>
  <c r="AV28" i="10"/>
  <c r="AV22" i="10"/>
  <c r="AV16" i="10"/>
  <c r="AV10" i="10"/>
  <c r="V17" i="10"/>
  <c r="AO17" i="10" s="1"/>
  <c r="R19" i="10"/>
  <c r="AL19" i="10" s="1"/>
  <c r="AN19" i="10" s="1"/>
  <c r="AK34" i="10"/>
  <c r="AJ43" i="10"/>
  <c r="AX43" i="10" s="1"/>
  <c r="AJ37" i="10"/>
  <c r="AX37" i="10" s="1"/>
  <c r="AJ31" i="10"/>
  <c r="AX31" i="10" s="1"/>
  <c r="AV14" i="10"/>
  <c r="Q42" i="10"/>
  <c r="AK42" i="10" s="1"/>
  <c r="V42" i="10"/>
  <c r="AO42" i="10" s="1"/>
  <c r="W42" i="10"/>
  <c r="AP42" i="10" s="1"/>
  <c r="W16" i="10"/>
  <c r="AP16" i="10" s="1"/>
  <c r="V33" i="10"/>
  <c r="AO33" i="10" s="1"/>
  <c r="W28" i="10"/>
  <c r="AP28" i="10" s="1"/>
  <c r="W22" i="10"/>
  <c r="AP22" i="10" s="1"/>
  <c r="W34" i="10"/>
  <c r="AP34" i="10" s="1"/>
  <c r="W40" i="10"/>
  <c r="AP40" i="10" s="1"/>
  <c r="V10" i="10"/>
  <c r="AO10" i="10" s="1"/>
  <c r="W10" i="10"/>
  <c r="AP10" i="10" s="1"/>
  <c r="R41" i="10"/>
  <c r="AL41" i="10" s="1"/>
  <c r="AN41" i="10" s="1"/>
  <c r="R35" i="10"/>
  <c r="AL35" i="10" s="1"/>
  <c r="AN35" i="10" s="1"/>
  <c r="R29" i="10"/>
  <c r="AL29" i="10" s="1"/>
  <c r="AN29" i="10" s="1"/>
  <c r="R23" i="10"/>
  <c r="AL23" i="10" s="1"/>
  <c r="AN23" i="10" s="1"/>
  <c r="R17" i="10"/>
  <c r="AL17" i="10" s="1"/>
  <c r="AN17" i="10" s="1"/>
  <c r="R11" i="10"/>
  <c r="AL11" i="10" s="1"/>
  <c r="AN11" i="10" s="1"/>
  <c r="R39" i="10"/>
  <c r="AL39" i="10" s="1"/>
  <c r="AN39" i="10" s="1"/>
  <c r="R33" i="10"/>
  <c r="AL33" i="10" s="1"/>
  <c r="AN33" i="10" s="1"/>
  <c r="R21" i="10"/>
  <c r="AL21" i="10" s="1"/>
  <c r="AN21" i="10" s="1"/>
  <c r="R15" i="10"/>
  <c r="AL15" i="10" s="1"/>
  <c r="AN15" i="10" s="1"/>
  <c r="R38" i="10"/>
  <c r="AL38" i="10" s="1"/>
  <c r="AN38" i="10" s="1"/>
  <c r="R32" i="10"/>
  <c r="AL32" i="10" s="1"/>
  <c r="AN32" i="10" s="1"/>
  <c r="R20" i="10"/>
  <c r="AL20" i="10" s="1"/>
  <c r="AN20" i="10" s="1"/>
  <c r="R14" i="10"/>
  <c r="AL14" i="10" s="1"/>
  <c r="AN14" i="10" s="1"/>
  <c r="V41" i="10"/>
  <c r="AO41" i="10" s="1"/>
  <c r="V35" i="10"/>
  <c r="AO35" i="10" s="1"/>
  <c r="V11" i="10"/>
  <c r="AO11" i="10" s="1"/>
  <c r="R26" i="10"/>
  <c r="AL26" i="10" s="1"/>
  <c r="AN26" i="10" s="1"/>
  <c r="R43" i="10"/>
  <c r="AL43" i="10" s="1"/>
  <c r="AN43" i="10" s="1"/>
  <c r="R37" i="10"/>
  <c r="AL37" i="10" s="1"/>
  <c r="AN37" i="10" s="1"/>
  <c r="R31" i="10"/>
  <c r="AL31" i="10" s="1"/>
  <c r="AN31" i="10" s="1"/>
  <c r="R25" i="10"/>
  <c r="AL25" i="10" s="1"/>
  <c r="AN25" i="10" s="1"/>
  <c r="R13" i="10"/>
  <c r="AL13" i="10" s="1"/>
  <c r="AN13" i="10" s="1"/>
  <c r="R30" i="10"/>
  <c r="AL30" i="10" s="1"/>
  <c r="AN30" i="10" s="1"/>
  <c r="R24" i="10"/>
  <c r="AL24" i="10" s="1"/>
  <c r="AN24" i="10" s="1"/>
  <c r="R18" i="10"/>
  <c r="AL18" i="10" s="1"/>
  <c r="AN18" i="10" s="1"/>
  <c r="R12" i="10"/>
  <c r="AL12" i="10" s="1"/>
  <c r="AN12" i="10" s="1"/>
  <c r="AJ38" i="10"/>
  <c r="AX38" i="10" s="1"/>
  <c r="AJ29" i="10"/>
  <c r="AX29" i="10" s="1"/>
  <c r="AJ23" i="10"/>
  <c r="AX23" i="10" s="1"/>
  <c r="AJ11" i="10"/>
  <c r="AX11" i="10" s="1"/>
  <c r="AJ19" i="10"/>
  <c r="AX19" i="10" s="1"/>
  <c r="AJ25" i="10"/>
  <c r="AX25" i="10" s="1"/>
  <c r="AW42" i="10"/>
  <c r="AW23" i="10"/>
  <c r="AW22" i="10"/>
  <c r="AJ10" i="10"/>
  <c r="AX10" i="10" s="1"/>
  <c r="AJ16" i="10"/>
  <c r="AX16" i="10" s="1"/>
  <c r="AW30" i="10"/>
  <c r="AJ24" i="10"/>
  <c r="AX24" i="10" s="1"/>
  <c r="AJ41" i="10"/>
  <c r="AX41" i="10" s="1"/>
  <c r="AJ35" i="10"/>
  <c r="AX35" i="10" s="1"/>
  <c r="AJ36" i="10"/>
  <c r="AX36" i="10" s="1"/>
  <c r="AJ40" i="10"/>
  <c r="AX40" i="10" s="1"/>
  <c r="AJ34" i="10"/>
  <c r="AX34" i="10" s="1"/>
  <c r="AJ28" i="10"/>
  <c r="AX28" i="10" s="1"/>
  <c r="AW27" i="10"/>
  <c r="AJ27" i="10"/>
  <c r="AX27" i="10" s="1"/>
  <c r="AW15" i="10"/>
  <c r="AJ15" i="10"/>
  <c r="AX15" i="10" s="1"/>
  <c r="AJ32" i="10"/>
  <c r="AX32" i="10" s="1"/>
  <c r="AW32" i="10"/>
  <c r="AJ26" i="10"/>
  <c r="AX26" i="10" s="1"/>
  <c r="AW26" i="10"/>
  <c r="AJ20" i="10"/>
  <c r="AX20" i="10" s="1"/>
  <c r="AW20" i="10"/>
  <c r="AJ14" i="10"/>
  <c r="AX14" i="10" s="1"/>
  <c r="AW14" i="10"/>
  <c r="AW21" i="10"/>
  <c r="AJ21" i="10"/>
  <c r="AX21" i="10" s="1"/>
  <c r="AV20" i="10"/>
  <c r="AW33" i="10"/>
  <c r="AJ33" i="10"/>
  <c r="AX33" i="10" s="1"/>
  <c r="AW38" i="10"/>
  <c r="AJ39" i="10"/>
  <c r="AX39" i="10" s="1"/>
  <c r="AV32" i="10"/>
  <c r="AW12" i="10"/>
  <c r="AV38" i="10"/>
  <c r="AW18" i="10"/>
  <c r="AW11" i="10"/>
  <c r="AV26" i="10"/>
  <c r="T201" i="4"/>
  <c r="T199" i="4"/>
  <c r="T202" i="4"/>
  <c r="T200" i="4"/>
  <c r="T205" i="4"/>
  <c r="T206" i="4"/>
  <c r="T204" i="4"/>
  <c r="T203" i="4"/>
  <c r="T207" i="4"/>
  <c r="T208" i="4"/>
  <c r="E9" i="10"/>
  <c r="I9" i="10"/>
  <c r="J9" i="10"/>
  <c r="K9" i="10"/>
  <c r="L9" i="10"/>
  <c r="M9" i="10" s="1"/>
  <c r="P9" i="10" s="1"/>
  <c r="U9" i="10" s="1"/>
  <c r="V9" i="10" s="1"/>
  <c r="AO9" i="10" s="1"/>
  <c r="AA9" i="10"/>
  <c r="AS9" i="10" s="1"/>
  <c r="AB9" i="10"/>
  <c r="AT9" i="10" s="1"/>
  <c r="AV9" i="10" s="1"/>
  <c r="AH9" i="10"/>
  <c r="AI9" i="10" s="1"/>
  <c r="AW9" i="10" s="1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90" i="8"/>
  <c r="C91" i="8"/>
  <c r="C92" i="8"/>
  <c r="C93" i="8"/>
  <c r="C94" i="8"/>
  <c r="C95" i="8"/>
  <c r="C96" i="8"/>
  <c r="C97" i="8"/>
  <c r="C98" i="8"/>
  <c r="C100" i="8"/>
  <c r="C101" i="8"/>
  <c r="C102" i="8"/>
  <c r="C103" i="8"/>
  <c r="C109" i="8"/>
  <c r="C89" i="8"/>
  <c r="X202" i="4" l="1"/>
  <c r="O202" i="5"/>
  <c r="X203" i="4"/>
  <c r="O203" i="5"/>
  <c r="X199" i="4"/>
  <c r="O199" i="5"/>
  <c r="X207" i="4"/>
  <c r="O207" i="5"/>
  <c r="X201" i="4"/>
  <c r="O201" i="5"/>
  <c r="X206" i="4"/>
  <c r="O206" i="5"/>
  <c r="X204" i="4"/>
  <c r="O204" i="5"/>
  <c r="X205" i="4"/>
  <c r="O205" i="5"/>
  <c r="X208" i="4"/>
  <c r="O208" i="5"/>
  <c r="X200" i="4"/>
  <c r="O200" i="5"/>
  <c r="U209" i="4"/>
  <c r="T209" i="5"/>
  <c r="V209" i="4"/>
  <c r="Q209" i="5" s="1"/>
  <c r="Z209" i="4"/>
  <c r="U209" i="5" s="1"/>
  <c r="BA12" i="10"/>
  <c r="BA18" i="10"/>
  <c r="BA24" i="10"/>
  <c r="BA43" i="10"/>
  <c r="BA30" i="10"/>
  <c r="BB31" i="10"/>
  <c r="BD31" i="10" s="1"/>
  <c r="BB21" i="10"/>
  <c r="BD21" i="10" s="1"/>
  <c r="BB36" i="10"/>
  <c r="BD36" i="10" s="1"/>
  <c r="BB14" i="10"/>
  <c r="BD14" i="10" s="1"/>
  <c r="BB19" i="10"/>
  <c r="BD19" i="10" s="1"/>
  <c r="BB26" i="10"/>
  <c r="BD26" i="10" s="1"/>
  <c r="BB30" i="10"/>
  <c r="BD30" i="10" s="1"/>
  <c r="BB12" i="10"/>
  <c r="BD12" i="10" s="1"/>
  <c r="BB39" i="10"/>
  <c r="BD39" i="10" s="1"/>
  <c r="BB29" i="10"/>
  <c r="BD29" i="10" s="1"/>
  <c r="BB40" i="10"/>
  <c r="BD40" i="10" s="1"/>
  <c r="BB15" i="10"/>
  <c r="BD15" i="10" s="1"/>
  <c r="BB20" i="10"/>
  <c r="BD20" i="10" s="1"/>
  <c r="BB16" i="10"/>
  <c r="BD16" i="10" s="1"/>
  <c r="BB13" i="10"/>
  <c r="BD13" i="10" s="1"/>
  <c r="BB42" i="10"/>
  <c r="BD42" i="10" s="1"/>
  <c r="BB10" i="10"/>
  <c r="BD10" i="10" s="1"/>
  <c r="BB11" i="10"/>
  <c r="BD11" i="10" s="1"/>
  <c r="BB25" i="10"/>
  <c r="BD25" i="10" s="1"/>
  <c r="BB35" i="10"/>
  <c r="BD35" i="10" s="1"/>
  <c r="BB41" i="10"/>
  <c r="BD41" i="10" s="1"/>
  <c r="BB27" i="10"/>
  <c r="BD27" i="10" s="1"/>
  <c r="BB23" i="10"/>
  <c r="BD23" i="10" s="1"/>
  <c r="BB28" i="10"/>
  <c r="BD28" i="10" s="1"/>
  <c r="BB24" i="10"/>
  <c r="BD24" i="10" s="1"/>
  <c r="BB38" i="10"/>
  <c r="BD38" i="10" s="1"/>
  <c r="BB37" i="10"/>
  <c r="BD37" i="10" s="1"/>
  <c r="BB33" i="10"/>
  <c r="BD33" i="10" s="1"/>
  <c r="BB32" i="10"/>
  <c r="BD32" i="10" s="1"/>
  <c r="BB34" i="10"/>
  <c r="BD34" i="10" s="1"/>
  <c r="BB43" i="10"/>
  <c r="BD43" i="10" s="1"/>
  <c r="BB18" i="10"/>
  <c r="BD18" i="10" s="1"/>
  <c r="BB17" i="10"/>
  <c r="BD17" i="10" s="1"/>
  <c r="BB22" i="10"/>
  <c r="BD22" i="10" s="1"/>
  <c r="AZ37" i="10"/>
  <c r="AZ12" i="10"/>
  <c r="AZ21" i="10"/>
  <c r="AZ27" i="10"/>
  <c r="AZ35" i="10"/>
  <c r="AZ23" i="10"/>
  <c r="AZ43" i="10"/>
  <c r="AZ18" i="10"/>
  <c r="AZ17" i="10"/>
  <c r="AZ22" i="10"/>
  <c r="AZ11" i="10"/>
  <c r="AZ41" i="10"/>
  <c r="AZ30" i="10"/>
  <c r="AZ39" i="10"/>
  <c r="AZ24" i="10"/>
  <c r="AZ42" i="10"/>
  <c r="AZ36" i="10"/>
  <c r="AZ34" i="10"/>
  <c r="AZ20" i="10"/>
  <c r="AZ10" i="10"/>
  <c r="AZ26" i="10"/>
  <c r="AZ29" i="10"/>
  <c r="AZ28" i="10"/>
  <c r="AZ38" i="10"/>
  <c r="AZ33" i="10"/>
  <c r="AZ14" i="10"/>
  <c r="AZ32" i="10"/>
  <c r="AZ25" i="10"/>
  <c r="AZ15" i="10"/>
  <c r="AZ40" i="10"/>
  <c r="AZ16" i="10"/>
  <c r="AZ19" i="10"/>
  <c r="AZ31" i="10"/>
  <c r="AZ13" i="10"/>
  <c r="AR10" i="10"/>
  <c r="BA10" i="10" s="1"/>
  <c r="AR14" i="10"/>
  <c r="BA14" i="10" s="1"/>
  <c r="AR19" i="10"/>
  <c r="BA19" i="10" s="1"/>
  <c r="AR37" i="10"/>
  <c r="BA37" i="10" s="1"/>
  <c r="AR16" i="10"/>
  <c r="BA16" i="10" s="1"/>
  <c r="AR11" i="10"/>
  <c r="BA11" i="10" s="1"/>
  <c r="AR20" i="10"/>
  <c r="BA20" i="10" s="1"/>
  <c r="AR21" i="10"/>
  <c r="BA21" i="10" s="1"/>
  <c r="AR25" i="10"/>
  <c r="BA25" i="10" s="1"/>
  <c r="AR31" i="10"/>
  <c r="BA31" i="10" s="1"/>
  <c r="AR40" i="10"/>
  <c r="BA40" i="10" s="1"/>
  <c r="AR42" i="10"/>
  <c r="AR39" i="10"/>
  <c r="BA39" i="10" s="1"/>
  <c r="AR29" i="10"/>
  <c r="BA29" i="10" s="1"/>
  <c r="AR17" i="10"/>
  <c r="BA17" i="10" s="1"/>
  <c r="AR13" i="10"/>
  <c r="BA13" i="10" s="1"/>
  <c r="AR26" i="10"/>
  <c r="BA26" i="10" s="1"/>
  <c r="AR34" i="10"/>
  <c r="BA34" i="10" s="1"/>
  <c r="AR23" i="10"/>
  <c r="BA23" i="10" s="1"/>
  <c r="AR38" i="10"/>
  <c r="BA38" i="10" s="1"/>
  <c r="AR22" i="10"/>
  <c r="BA22" i="10" s="1"/>
  <c r="AR35" i="10"/>
  <c r="BA35" i="10" s="1"/>
  <c r="AR27" i="10"/>
  <c r="BA27" i="10" s="1"/>
  <c r="AR36" i="10"/>
  <c r="BA36" i="10" s="1"/>
  <c r="AR28" i="10"/>
  <c r="BA28" i="10" s="1"/>
  <c r="AR15" i="10"/>
  <c r="BA15" i="10" s="1"/>
  <c r="AR41" i="10"/>
  <c r="BA41" i="10" s="1"/>
  <c r="AR32" i="10"/>
  <c r="BA32" i="10" s="1"/>
  <c r="AR33" i="10"/>
  <c r="BA33" i="10" s="1"/>
  <c r="R42" i="10"/>
  <c r="AL42" i="10" s="1"/>
  <c r="AN42" i="10" s="1"/>
  <c r="W9" i="10"/>
  <c r="AP9" i="10" s="1"/>
  <c r="Q9" i="10"/>
  <c r="AK9" i="10" s="1"/>
  <c r="AJ9" i="10"/>
  <c r="AX9" i="10" s="1"/>
  <c r="D38" i="8"/>
  <c r="D62" i="8"/>
  <c r="D83" i="8"/>
  <c r="D110" i="8"/>
  <c r="Y208" i="4" l="1"/>
  <c r="S208" i="5"/>
  <c r="Y206" i="4"/>
  <c r="S206" i="5"/>
  <c r="Y199" i="4"/>
  <c r="S199" i="5"/>
  <c r="W209" i="4"/>
  <c r="R209" i="5" s="1"/>
  <c r="P209" i="5"/>
  <c r="Y205" i="4"/>
  <c r="S205" i="5"/>
  <c r="Y201" i="4"/>
  <c r="S201" i="5"/>
  <c r="Y203" i="4"/>
  <c r="S203" i="5"/>
  <c r="Y200" i="4"/>
  <c r="S200" i="5"/>
  <c r="Y204" i="4"/>
  <c r="S204" i="5"/>
  <c r="Y207" i="4"/>
  <c r="S207" i="5"/>
  <c r="Y202" i="4"/>
  <c r="S202" i="5"/>
  <c r="BE43" i="10"/>
  <c r="BM43" i="10"/>
  <c r="BE24" i="10"/>
  <c r="BM24" i="10"/>
  <c r="BE25" i="10"/>
  <c r="BM25" i="10"/>
  <c r="BE20" i="10"/>
  <c r="BM20" i="10"/>
  <c r="BE30" i="10"/>
  <c r="BM30" i="10"/>
  <c r="BE31" i="10"/>
  <c r="BM31" i="10"/>
  <c r="BE34" i="10"/>
  <c r="BM34" i="10"/>
  <c r="BE28" i="10"/>
  <c r="BM28" i="10"/>
  <c r="BE11" i="10"/>
  <c r="BM11" i="10"/>
  <c r="BE15" i="10"/>
  <c r="BM15" i="10"/>
  <c r="BE26" i="10"/>
  <c r="BM26" i="10"/>
  <c r="BE32" i="10"/>
  <c r="BM32" i="10"/>
  <c r="BE23" i="10"/>
  <c r="BM23" i="10"/>
  <c r="BE10" i="10"/>
  <c r="BM10" i="10"/>
  <c r="BE40" i="10"/>
  <c r="BM40" i="10"/>
  <c r="BE19" i="10"/>
  <c r="BM19" i="10"/>
  <c r="BE22" i="10"/>
  <c r="BM22" i="10"/>
  <c r="BE33" i="10"/>
  <c r="BM33" i="10"/>
  <c r="BE27" i="10"/>
  <c r="BM27" i="10"/>
  <c r="BE42" i="10"/>
  <c r="BM42" i="10"/>
  <c r="BE29" i="10"/>
  <c r="BM29" i="10"/>
  <c r="BE14" i="10"/>
  <c r="BM14" i="10"/>
  <c r="BE17" i="10"/>
  <c r="BM17" i="10"/>
  <c r="BE37" i="10"/>
  <c r="BM37" i="10"/>
  <c r="BE41" i="10"/>
  <c r="BM41" i="10"/>
  <c r="BE13" i="10"/>
  <c r="BM13" i="10"/>
  <c r="BE39" i="10"/>
  <c r="BM39" i="10"/>
  <c r="BE36" i="10"/>
  <c r="BM36" i="10"/>
  <c r="BE18" i="10"/>
  <c r="BM18" i="10"/>
  <c r="BE38" i="10"/>
  <c r="BM38" i="10"/>
  <c r="BE35" i="10"/>
  <c r="BM35" i="10"/>
  <c r="BE16" i="10"/>
  <c r="BM16" i="10"/>
  <c r="BE12" i="10"/>
  <c r="BM12" i="10"/>
  <c r="BE21" i="10"/>
  <c r="BM21" i="10"/>
  <c r="BA42" i="10"/>
  <c r="BB9" i="10"/>
  <c r="BD9" i="10" s="1"/>
  <c r="AZ9" i="10"/>
  <c r="AR9" i="10"/>
  <c r="R9" i="10"/>
  <c r="AL9" i="10" s="1"/>
  <c r="AN9" i="10" s="1"/>
  <c r="H196" i="4"/>
  <c r="H195" i="4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9" i="8"/>
  <c r="V204" i="4" l="1"/>
  <c r="Q204" i="5" s="1"/>
  <c r="T204" i="5"/>
  <c r="Z204" i="4"/>
  <c r="U204" i="5" s="1"/>
  <c r="U204" i="4"/>
  <c r="U201" i="4"/>
  <c r="T201" i="5"/>
  <c r="V201" i="4"/>
  <c r="Q201" i="5" s="1"/>
  <c r="Z201" i="4"/>
  <c r="U201" i="5" s="1"/>
  <c r="U199" i="4"/>
  <c r="T199" i="5"/>
  <c r="Z199" i="4"/>
  <c r="U199" i="5" s="1"/>
  <c r="V199" i="4"/>
  <c r="Q199" i="5" s="1"/>
  <c r="U202" i="4"/>
  <c r="T202" i="5"/>
  <c r="V202" i="4"/>
  <c r="Q202" i="5" s="1"/>
  <c r="Z202" i="4"/>
  <c r="U202" i="5" s="1"/>
  <c r="T200" i="5"/>
  <c r="Z200" i="4"/>
  <c r="U200" i="5" s="1"/>
  <c r="U200" i="4"/>
  <c r="V200" i="4"/>
  <c r="Q200" i="5" s="1"/>
  <c r="U205" i="4"/>
  <c r="T205" i="5"/>
  <c r="V205" i="4"/>
  <c r="Q205" i="5" s="1"/>
  <c r="Z205" i="4"/>
  <c r="U205" i="5" s="1"/>
  <c r="U206" i="4"/>
  <c r="T206" i="5"/>
  <c r="V206" i="4"/>
  <c r="Q206" i="5" s="1"/>
  <c r="Z206" i="4"/>
  <c r="U206" i="5" s="1"/>
  <c r="V207" i="4"/>
  <c r="Q207" i="5" s="1"/>
  <c r="T207" i="5"/>
  <c r="Z207" i="4"/>
  <c r="U207" i="5" s="1"/>
  <c r="U207" i="4"/>
  <c r="U203" i="4"/>
  <c r="T203" i="5"/>
  <c r="V203" i="4"/>
  <c r="Q203" i="5" s="1"/>
  <c r="Z203" i="4"/>
  <c r="U203" i="5" s="1"/>
  <c r="Z208" i="4"/>
  <c r="U208" i="5" s="1"/>
  <c r="T208" i="5"/>
  <c r="U208" i="4"/>
  <c r="V208" i="4"/>
  <c r="Q208" i="5" s="1"/>
  <c r="BE9" i="10"/>
  <c r="BM9" i="10"/>
  <c r="BA9" i="10"/>
  <c r="N196" i="4"/>
  <c r="O196" i="4"/>
  <c r="N195" i="4"/>
  <c r="O195" i="4"/>
  <c r="W208" i="4" l="1"/>
  <c r="R208" i="5" s="1"/>
  <c r="P208" i="5"/>
  <c r="W201" i="4"/>
  <c r="R201" i="5" s="1"/>
  <c r="P201" i="5"/>
  <c r="W204" i="4"/>
  <c r="R204" i="5" s="1"/>
  <c r="P204" i="5"/>
  <c r="W205" i="4"/>
  <c r="R205" i="5" s="1"/>
  <c r="P205" i="5"/>
  <c r="W199" i="4"/>
  <c r="R199" i="5" s="1"/>
  <c r="P199" i="5"/>
  <c r="W203" i="4"/>
  <c r="R203" i="5" s="1"/>
  <c r="P203" i="5"/>
  <c r="W207" i="4"/>
  <c r="R207" i="5" s="1"/>
  <c r="P207" i="5"/>
  <c r="W206" i="4"/>
  <c r="R206" i="5" s="1"/>
  <c r="P206" i="5"/>
  <c r="W200" i="4"/>
  <c r="R200" i="5" s="1"/>
  <c r="P200" i="5"/>
  <c r="W202" i="4"/>
  <c r="R202" i="5" s="1"/>
  <c r="P202" i="5"/>
  <c r="H192" i="4"/>
  <c r="H110" i="8"/>
  <c r="I89" i="8"/>
  <c r="I110" i="8" s="1"/>
  <c r="H190" i="4"/>
  <c r="H191" i="4"/>
  <c r="H189" i="4"/>
  <c r="H185" i="4"/>
  <c r="H184" i="4"/>
  <c r="I183" i="4"/>
  <c r="H183" i="4"/>
  <c r="G110" i="8"/>
  <c r="F110" i="8"/>
  <c r="E110" i="8"/>
  <c r="N191" i="4" l="1"/>
  <c r="O191" i="4"/>
  <c r="N183" i="4"/>
  <c r="O183" i="4"/>
  <c r="N190" i="4"/>
  <c r="O190" i="4"/>
  <c r="O185" i="4"/>
  <c r="N185" i="4"/>
  <c r="N189" i="4"/>
  <c r="O189" i="4"/>
  <c r="O184" i="4"/>
  <c r="N184" i="4"/>
  <c r="O192" i="4"/>
  <c r="N192" i="4"/>
  <c r="H180" i="4"/>
  <c r="N180" i="4" l="1"/>
  <c r="O180" i="4"/>
  <c r="H179" i="4"/>
  <c r="H178" i="4"/>
  <c r="N178" i="4" l="1"/>
  <c r="O178" i="4"/>
  <c r="O179" i="4"/>
  <c r="N179" i="4"/>
  <c r="I170" i="4"/>
  <c r="H169" i="4" l="1"/>
  <c r="I176" i="4"/>
  <c r="I174" i="4"/>
  <c r="H174" i="4"/>
  <c r="I173" i="4"/>
  <c r="F83" i="8"/>
  <c r="G83" i="8"/>
  <c r="E83" i="8"/>
  <c r="I68" i="8"/>
  <c r="I83" i="8" s="1"/>
  <c r="H173" i="4"/>
  <c r="L172" i="4"/>
  <c r="K171" i="4"/>
  <c r="L169" i="4"/>
  <c r="O169" i="4" s="1"/>
  <c r="K169" i="4"/>
  <c r="K168" i="4"/>
  <c r="L167" i="4"/>
  <c r="O167" i="4" s="1"/>
  <c r="K167" i="4"/>
  <c r="L165" i="4"/>
  <c r="L164" i="4"/>
  <c r="O164" i="4" s="1"/>
  <c r="K164" i="4"/>
  <c r="N21" i="8"/>
  <c r="H163" i="4"/>
  <c r="L163" i="4"/>
  <c r="K163" i="4"/>
  <c r="I163" i="4"/>
  <c r="H161" i="4"/>
  <c r="N161" i="4" s="1"/>
  <c r="K159" i="4"/>
  <c r="L159" i="4"/>
  <c r="O159" i="4" s="1"/>
  <c r="L161" i="4"/>
  <c r="H160" i="4"/>
  <c r="O163" i="4" l="1"/>
  <c r="O161" i="4"/>
  <c r="M161" i="4"/>
  <c r="O172" i="4"/>
  <c r="M172" i="4"/>
  <c r="N164" i="4"/>
  <c r="M164" i="4"/>
  <c r="O160" i="4"/>
  <c r="N160" i="4"/>
  <c r="N163" i="4"/>
  <c r="M163" i="4"/>
  <c r="O165" i="4"/>
  <c r="M165" i="4"/>
  <c r="N171" i="4"/>
  <c r="M171" i="4"/>
  <c r="M167" i="4"/>
  <c r="N167" i="4"/>
  <c r="N173" i="4"/>
  <c r="O173" i="4"/>
  <c r="O174" i="4"/>
  <c r="N174" i="4"/>
  <c r="N159" i="4"/>
  <c r="M159" i="4"/>
  <c r="N168" i="4"/>
  <c r="M168" i="4"/>
  <c r="M169" i="4"/>
  <c r="N169" i="4"/>
  <c r="H157" i="4"/>
  <c r="R157" i="4" s="1"/>
  <c r="I157" i="4"/>
  <c r="Q157" i="4" s="1"/>
  <c r="H158" i="4"/>
  <c r="Q159" i="4"/>
  <c r="I158" i="4"/>
  <c r="Q158" i="4" s="1"/>
  <c r="P159" i="4"/>
  <c r="P160" i="4"/>
  <c r="P161" i="4"/>
  <c r="P163" i="4"/>
  <c r="P164" i="4"/>
  <c r="P165" i="4"/>
  <c r="P166" i="4"/>
  <c r="P167" i="4"/>
  <c r="K167" i="5" s="1"/>
  <c r="P168" i="4"/>
  <c r="P169" i="4"/>
  <c r="P171" i="4"/>
  <c r="P172" i="4"/>
  <c r="P173" i="4"/>
  <c r="P174" i="4"/>
  <c r="P175" i="4"/>
  <c r="P176" i="4"/>
  <c r="P178" i="4"/>
  <c r="P179" i="4"/>
  <c r="P180" i="4"/>
  <c r="R181" i="4"/>
  <c r="P182" i="4"/>
  <c r="P183" i="4"/>
  <c r="P184" i="4"/>
  <c r="P185" i="4"/>
  <c r="P186" i="4"/>
  <c r="P188" i="4"/>
  <c r="P189" i="4"/>
  <c r="P190" i="4"/>
  <c r="P191" i="4"/>
  <c r="P193" i="4"/>
  <c r="P194" i="4"/>
  <c r="P195" i="4"/>
  <c r="P196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R162" i="4"/>
  <c r="R167" i="4"/>
  <c r="M167" i="5" s="1"/>
  <c r="R170" i="4"/>
  <c r="R177" i="4"/>
  <c r="R187" i="4"/>
  <c r="R192" i="4"/>
  <c r="R197" i="4"/>
  <c r="R198" i="4"/>
  <c r="M198" i="5" s="1"/>
  <c r="L156" i="4"/>
  <c r="P158" i="4"/>
  <c r="P156" i="4"/>
  <c r="Q156" i="4"/>
  <c r="I154" i="4"/>
  <c r="K153" i="4"/>
  <c r="K151" i="4"/>
  <c r="L152" i="4"/>
  <c r="K152" i="4"/>
  <c r="G26" i="9"/>
  <c r="P8" i="9"/>
  <c r="P9" i="9"/>
  <c r="P10" i="9"/>
  <c r="P11" i="9"/>
  <c r="P12" i="9"/>
  <c r="P13" i="9"/>
  <c r="P25" i="9"/>
  <c r="P26" i="9"/>
  <c r="H8" i="9"/>
  <c r="H9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7" i="9"/>
  <c r="I155" i="4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23" i="8"/>
  <c r="U156" i="7"/>
  <c r="M120" i="7"/>
  <c r="D119" i="7"/>
  <c r="D118" i="7"/>
  <c r="D117" i="7"/>
  <c r="D116" i="7"/>
  <c r="M136" i="7"/>
  <c r="D132" i="7"/>
  <c r="D135" i="7"/>
  <c r="D134" i="7"/>
  <c r="D133" i="7"/>
  <c r="D173" i="7"/>
  <c r="M172" i="7"/>
  <c r="D171" i="7"/>
  <c r="D170" i="7"/>
  <c r="D169" i="7"/>
  <c r="D168" i="7"/>
  <c r="U172" i="7"/>
  <c r="M156" i="7"/>
  <c r="D157" i="7"/>
  <c r="AK172" i="7"/>
  <c r="AK136" i="7"/>
  <c r="D87" i="7"/>
  <c r="D70" i="7"/>
  <c r="U57" i="7"/>
  <c r="D56" i="7"/>
  <c r="U41" i="7"/>
  <c r="D41" i="7"/>
  <c r="D26" i="7"/>
  <c r="T26" i="7"/>
  <c r="AJ26" i="7"/>
  <c r="T11" i="7"/>
  <c r="D11" i="7"/>
  <c r="D155" i="7"/>
  <c r="D154" i="7"/>
  <c r="D153" i="7"/>
  <c r="D152" i="7"/>
  <c r="AT172" i="7"/>
  <c r="AD172" i="7"/>
  <c r="AD156" i="7"/>
  <c r="H149" i="4"/>
  <c r="H154" i="4"/>
  <c r="S196" i="4" l="1"/>
  <c r="N196" i="5" s="1"/>
  <c r="L196" i="5"/>
  <c r="S190" i="4"/>
  <c r="N190" i="5" s="1"/>
  <c r="L190" i="5"/>
  <c r="S184" i="4"/>
  <c r="N184" i="5" s="1"/>
  <c r="L184" i="5"/>
  <c r="S178" i="4"/>
  <c r="N178" i="5" s="1"/>
  <c r="L178" i="5"/>
  <c r="S172" i="4"/>
  <c r="N172" i="5" s="1"/>
  <c r="L172" i="5"/>
  <c r="S166" i="4"/>
  <c r="N166" i="5" s="1"/>
  <c r="L166" i="5"/>
  <c r="S160" i="4"/>
  <c r="N160" i="5" s="1"/>
  <c r="L160" i="5"/>
  <c r="R190" i="4"/>
  <c r="M190" i="5" s="1"/>
  <c r="K190" i="5"/>
  <c r="R183" i="4"/>
  <c r="M183" i="5" s="1"/>
  <c r="K183" i="5"/>
  <c r="R176" i="4"/>
  <c r="M176" i="5" s="1"/>
  <c r="K176" i="5"/>
  <c r="R169" i="4"/>
  <c r="M169" i="5" s="1"/>
  <c r="K169" i="5"/>
  <c r="R163" i="4"/>
  <c r="M163" i="5" s="1"/>
  <c r="K163" i="5"/>
  <c r="S195" i="4"/>
  <c r="N195" i="5" s="1"/>
  <c r="L195" i="5"/>
  <c r="S189" i="4"/>
  <c r="N189" i="5" s="1"/>
  <c r="L189" i="5"/>
  <c r="S183" i="4"/>
  <c r="N183" i="5" s="1"/>
  <c r="L183" i="5"/>
  <c r="S177" i="4"/>
  <c r="N177" i="5" s="1"/>
  <c r="L177" i="5"/>
  <c r="S171" i="4"/>
  <c r="N171" i="5" s="1"/>
  <c r="L171" i="5"/>
  <c r="S165" i="4"/>
  <c r="N165" i="5" s="1"/>
  <c r="L165" i="5"/>
  <c r="R196" i="4"/>
  <c r="M196" i="5" s="1"/>
  <c r="K196" i="5"/>
  <c r="R189" i="4"/>
  <c r="M189" i="5" s="1"/>
  <c r="K189" i="5"/>
  <c r="R182" i="4"/>
  <c r="M182" i="5" s="1"/>
  <c r="K182" i="5"/>
  <c r="R175" i="4"/>
  <c r="M175" i="5" s="1"/>
  <c r="K175" i="5"/>
  <c r="R168" i="4"/>
  <c r="M168" i="5" s="1"/>
  <c r="K168" i="5"/>
  <c r="R161" i="4"/>
  <c r="M161" i="5" s="1"/>
  <c r="K161" i="5"/>
  <c r="S157" i="4"/>
  <c r="N157" i="5" s="1"/>
  <c r="L157" i="5"/>
  <c r="S194" i="4"/>
  <c r="N194" i="5" s="1"/>
  <c r="L194" i="5"/>
  <c r="S188" i="4"/>
  <c r="N188" i="5" s="1"/>
  <c r="L188" i="5"/>
  <c r="S182" i="4"/>
  <c r="N182" i="5" s="1"/>
  <c r="L182" i="5"/>
  <c r="S176" i="4"/>
  <c r="N176" i="5" s="1"/>
  <c r="L176" i="5"/>
  <c r="S170" i="4"/>
  <c r="N170" i="5" s="1"/>
  <c r="L170" i="5"/>
  <c r="S164" i="4"/>
  <c r="N164" i="5" s="1"/>
  <c r="L164" i="5"/>
  <c r="R195" i="4"/>
  <c r="M195" i="5" s="1"/>
  <c r="K195" i="5"/>
  <c r="R188" i="4"/>
  <c r="M188" i="5" s="1"/>
  <c r="K188" i="5"/>
  <c r="R174" i="4"/>
  <c r="M174" i="5" s="1"/>
  <c r="K174" i="5"/>
  <c r="R160" i="4"/>
  <c r="M160" i="5" s="1"/>
  <c r="K160" i="5"/>
  <c r="S193" i="4"/>
  <c r="N193" i="5" s="1"/>
  <c r="L193" i="5"/>
  <c r="S187" i="4"/>
  <c r="N187" i="5" s="1"/>
  <c r="L187" i="5"/>
  <c r="S181" i="4"/>
  <c r="N181" i="5" s="1"/>
  <c r="L181" i="5"/>
  <c r="S175" i="4"/>
  <c r="N175" i="5" s="1"/>
  <c r="L175" i="5"/>
  <c r="S169" i="4"/>
  <c r="N169" i="5" s="1"/>
  <c r="L169" i="5"/>
  <c r="S163" i="4"/>
  <c r="N163" i="5" s="1"/>
  <c r="L163" i="5"/>
  <c r="R194" i="4"/>
  <c r="M194" i="5" s="1"/>
  <c r="K194" i="5"/>
  <c r="R186" i="4"/>
  <c r="M186" i="5" s="1"/>
  <c r="K186" i="5"/>
  <c r="R180" i="4"/>
  <c r="M180" i="5" s="1"/>
  <c r="K180" i="5"/>
  <c r="R173" i="4"/>
  <c r="M173" i="5" s="1"/>
  <c r="K173" i="5"/>
  <c r="R166" i="4"/>
  <c r="M166" i="5" s="1"/>
  <c r="K166" i="5"/>
  <c r="R159" i="4"/>
  <c r="M159" i="5" s="1"/>
  <c r="K159" i="5"/>
  <c r="R158" i="4"/>
  <c r="M158" i="5" s="1"/>
  <c r="K158" i="5"/>
  <c r="S156" i="4"/>
  <c r="N156" i="5" s="1"/>
  <c r="L156" i="5"/>
  <c r="S198" i="4"/>
  <c r="N198" i="5" s="1"/>
  <c r="L198" i="5"/>
  <c r="S192" i="4"/>
  <c r="N192" i="5" s="1"/>
  <c r="L192" i="5"/>
  <c r="S186" i="4"/>
  <c r="N186" i="5" s="1"/>
  <c r="L186" i="5"/>
  <c r="S180" i="4"/>
  <c r="N180" i="5" s="1"/>
  <c r="L180" i="5"/>
  <c r="S174" i="4"/>
  <c r="N174" i="5" s="1"/>
  <c r="L174" i="5"/>
  <c r="S168" i="4"/>
  <c r="N168" i="5" s="1"/>
  <c r="L168" i="5"/>
  <c r="S162" i="4"/>
  <c r="N162" i="5" s="1"/>
  <c r="L162" i="5"/>
  <c r="R193" i="4"/>
  <c r="M193" i="5" s="1"/>
  <c r="K193" i="5"/>
  <c r="R185" i="4"/>
  <c r="M185" i="5" s="1"/>
  <c r="K185" i="5"/>
  <c r="R179" i="4"/>
  <c r="M179" i="5" s="1"/>
  <c r="K179" i="5"/>
  <c r="R172" i="4"/>
  <c r="M172" i="5" s="1"/>
  <c r="K172" i="5"/>
  <c r="R165" i="4"/>
  <c r="M165" i="5" s="1"/>
  <c r="K165" i="5"/>
  <c r="S158" i="4"/>
  <c r="N158" i="5" s="1"/>
  <c r="L158" i="5"/>
  <c r="R156" i="4"/>
  <c r="M156" i="5" s="1"/>
  <c r="K156" i="5"/>
  <c r="S197" i="4"/>
  <c r="N197" i="5" s="1"/>
  <c r="L197" i="5"/>
  <c r="S191" i="4"/>
  <c r="N191" i="5" s="1"/>
  <c r="L191" i="5"/>
  <c r="S185" i="4"/>
  <c r="N185" i="5" s="1"/>
  <c r="L185" i="5"/>
  <c r="S179" i="4"/>
  <c r="N179" i="5" s="1"/>
  <c r="L179" i="5"/>
  <c r="S173" i="4"/>
  <c r="N173" i="5" s="1"/>
  <c r="L173" i="5"/>
  <c r="S167" i="4"/>
  <c r="N167" i="5" s="1"/>
  <c r="L167" i="5"/>
  <c r="S161" i="4"/>
  <c r="N161" i="5" s="1"/>
  <c r="L161" i="5"/>
  <c r="R191" i="4"/>
  <c r="M191" i="5" s="1"/>
  <c r="K191" i="5"/>
  <c r="R184" i="4"/>
  <c r="M184" i="5" s="1"/>
  <c r="K184" i="5"/>
  <c r="R178" i="4"/>
  <c r="M178" i="5" s="1"/>
  <c r="K178" i="5"/>
  <c r="R171" i="4"/>
  <c r="M171" i="5" s="1"/>
  <c r="K171" i="5"/>
  <c r="R164" i="4"/>
  <c r="M164" i="5" s="1"/>
  <c r="K164" i="5"/>
  <c r="S159" i="4"/>
  <c r="N159" i="5" s="1"/>
  <c r="L159" i="5"/>
  <c r="O154" i="4"/>
  <c r="N154" i="4"/>
  <c r="O149" i="4"/>
  <c r="N149" i="4"/>
  <c r="M152" i="4"/>
  <c r="O158" i="4"/>
  <c r="N158" i="4"/>
  <c r="M151" i="4"/>
  <c r="M153" i="4"/>
  <c r="O156" i="4"/>
  <c r="M156" i="4"/>
  <c r="N157" i="4"/>
  <c r="O157" i="4"/>
  <c r="D172" i="7"/>
  <c r="T163" i="4"/>
  <c r="T190" i="4"/>
  <c r="T194" i="4"/>
  <c r="O194" i="5" s="1"/>
  <c r="T189" i="4"/>
  <c r="T188" i="4"/>
  <c r="T183" i="4"/>
  <c r="T177" i="4"/>
  <c r="T168" i="4"/>
  <c r="T162" i="4"/>
  <c r="D136" i="7"/>
  <c r="D120" i="7"/>
  <c r="D156" i="7"/>
  <c r="T191" i="4" l="1"/>
  <c r="T157" i="4"/>
  <c r="T181" i="4"/>
  <c r="T169" i="4"/>
  <c r="T198" i="4"/>
  <c r="T164" i="4"/>
  <c r="X164" i="4" s="1"/>
  <c r="T186" i="4"/>
  <c r="X186" i="4" s="1"/>
  <c r="T197" i="4"/>
  <c r="T175" i="4"/>
  <c r="T171" i="4"/>
  <c r="T166" i="4"/>
  <c r="O166" i="5" s="1"/>
  <c r="T167" i="4"/>
  <c r="T176" i="4"/>
  <c r="T182" i="4"/>
  <c r="T165" i="4"/>
  <c r="T185" i="4"/>
  <c r="T196" i="4"/>
  <c r="T172" i="4"/>
  <c r="X188" i="4"/>
  <c r="O188" i="5"/>
  <c r="O164" i="5"/>
  <c r="X183" i="4"/>
  <c r="O183" i="5"/>
  <c r="X166" i="4"/>
  <c r="T158" i="4"/>
  <c r="T161" i="4"/>
  <c r="T178" i="4"/>
  <c r="T184" i="4"/>
  <c r="T173" i="4"/>
  <c r="T156" i="4"/>
  <c r="X190" i="4"/>
  <c r="O190" i="5"/>
  <c r="T193" i="4"/>
  <c r="X162" i="4"/>
  <c r="O162" i="5"/>
  <c r="X175" i="4"/>
  <c r="O175" i="5"/>
  <c r="X169" i="4"/>
  <c r="O169" i="5"/>
  <c r="X163" i="4"/>
  <c r="O163" i="5"/>
  <c r="T159" i="4"/>
  <c r="X177" i="4"/>
  <c r="O177" i="5"/>
  <c r="X171" i="4"/>
  <c r="O171" i="5"/>
  <c r="X189" i="4"/>
  <c r="O189" i="5"/>
  <c r="X157" i="4"/>
  <c r="O157" i="5"/>
  <c r="X168" i="4"/>
  <c r="O168" i="5"/>
  <c r="T179" i="4"/>
  <c r="O186" i="5"/>
  <c r="X191" i="4"/>
  <c r="O191" i="5"/>
  <c r="X197" i="4"/>
  <c r="O197" i="5"/>
  <c r="X198" i="4"/>
  <c r="O198" i="5"/>
  <c r="T160" i="4"/>
  <c r="T170" i="4"/>
  <c r="T180" i="4"/>
  <c r="T187" i="4"/>
  <c r="O187" i="5" s="1"/>
  <c r="T195" i="4"/>
  <c r="T192" i="4"/>
  <c r="T174" i="4"/>
  <c r="X181" i="4"/>
  <c r="O181" i="5"/>
  <c r="X194" i="4"/>
  <c r="AT136" i="7"/>
  <c r="AD136" i="7"/>
  <c r="U136" i="7"/>
  <c r="AD120" i="7"/>
  <c r="U120" i="7"/>
  <c r="BJ56" i="7"/>
  <c r="BA56" i="7"/>
  <c r="AT56" i="7"/>
  <c r="AK56" i="7"/>
  <c r="AD57" i="7"/>
  <c r="AD36" i="7"/>
  <c r="AD41" i="7" s="1"/>
  <c r="AC26" i="7"/>
  <c r="AC11" i="7"/>
  <c r="H151" i="4"/>
  <c r="H153" i="4"/>
  <c r="R155" i="4"/>
  <c r="Q155" i="4"/>
  <c r="P154" i="4"/>
  <c r="Q154" i="4"/>
  <c r="Q153" i="4"/>
  <c r="I152" i="4"/>
  <c r="Q152" i="4" s="1"/>
  <c r="H152" i="4"/>
  <c r="Q151" i="4"/>
  <c r="I47" i="8"/>
  <c r="I62" i="8"/>
  <c r="E38" i="8"/>
  <c r="F38" i="8"/>
  <c r="G38" i="8"/>
  <c r="X187" i="4" l="1"/>
  <c r="S155" i="4"/>
  <c r="N155" i="5" s="1"/>
  <c r="L155" i="5"/>
  <c r="S152" i="4"/>
  <c r="N152" i="5" s="1"/>
  <c r="L152" i="5"/>
  <c r="Y194" i="4"/>
  <c r="T194" i="5" s="1"/>
  <c r="S194" i="5"/>
  <c r="S153" i="4"/>
  <c r="N153" i="5" s="1"/>
  <c r="L153" i="5"/>
  <c r="Y181" i="4"/>
  <c r="S181" i="5"/>
  <c r="X170" i="4"/>
  <c r="O170" i="5"/>
  <c r="Y168" i="4"/>
  <c r="S168" i="5"/>
  <c r="Y171" i="4"/>
  <c r="S171" i="5"/>
  <c r="X193" i="4"/>
  <c r="O193" i="5"/>
  <c r="X178" i="4"/>
  <c r="O178" i="5"/>
  <c r="Y183" i="4"/>
  <c r="S183" i="5"/>
  <c r="X196" i="4"/>
  <c r="O196" i="5"/>
  <c r="S154" i="4"/>
  <c r="N154" i="5" s="1"/>
  <c r="L154" i="5"/>
  <c r="Y187" i="4"/>
  <c r="T187" i="5" s="1"/>
  <c r="S187" i="5"/>
  <c r="X174" i="4"/>
  <c r="O174" i="5"/>
  <c r="X160" i="4"/>
  <c r="O160" i="5"/>
  <c r="Y191" i="4"/>
  <c r="S191" i="5"/>
  <c r="Y169" i="4"/>
  <c r="S169" i="5"/>
  <c r="X161" i="4"/>
  <c r="O161" i="5"/>
  <c r="X185" i="4"/>
  <c r="O185" i="5"/>
  <c r="R154" i="4"/>
  <c r="M154" i="5" s="1"/>
  <c r="K154" i="5"/>
  <c r="X192" i="4"/>
  <c r="O192" i="5"/>
  <c r="Y157" i="4"/>
  <c r="S157" i="5"/>
  <c r="Y177" i="4"/>
  <c r="S177" i="5"/>
  <c r="Y190" i="4"/>
  <c r="S190" i="5"/>
  <c r="X158" i="4"/>
  <c r="O158" i="5"/>
  <c r="Y164" i="4"/>
  <c r="S164" i="5"/>
  <c r="X165" i="4"/>
  <c r="O165" i="5"/>
  <c r="S151" i="4"/>
  <c r="N151" i="5" s="1"/>
  <c r="L151" i="5"/>
  <c r="X195" i="4"/>
  <c r="O195" i="5"/>
  <c r="Y198" i="4"/>
  <c r="S198" i="5"/>
  <c r="Y186" i="4"/>
  <c r="S186" i="5"/>
  <c r="X159" i="4"/>
  <c r="O159" i="5"/>
  <c r="Y175" i="4"/>
  <c r="S175" i="5"/>
  <c r="X156" i="4"/>
  <c r="O156" i="5"/>
  <c r="X182" i="4"/>
  <c r="O182" i="5"/>
  <c r="X179" i="4"/>
  <c r="O179" i="5"/>
  <c r="Y189" i="4"/>
  <c r="S189" i="5"/>
  <c r="X173" i="4"/>
  <c r="O173" i="5"/>
  <c r="Y166" i="4"/>
  <c r="S166" i="5"/>
  <c r="Y188" i="4"/>
  <c r="S188" i="5"/>
  <c r="X176" i="4"/>
  <c r="O176" i="5"/>
  <c r="X180" i="4"/>
  <c r="O180" i="5"/>
  <c r="Y197" i="4"/>
  <c r="S197" i="5"/>
  <c r="Y163" i="4"/>
  <c r="S163" i="5"/>
  <c r="Y162" i="4"/>
  <c r="S162" i="5"/>
  <c r="X184" i="4"/>
  <c r="O184" i="5"/>
  <c r="X172" i="4"/>
  <c r="O172" i="5"/>
  <c r="X167" i="4"/>
  <c r="O167" i="5"/>
  <c r="O153" i="4"/>
  <c r="N153" i="4"/>
  <c r="O151" i="4"/>
  <c r="N151" i="4"/>
  <c r="O152" i="4"/>
  <c r="N152" i="4"/>
  <c r="P153" i="4"/>
  <c r="P152" i="4"/>
  <c r="U194" i="4"/>
  <c r="V194" i="4"/>
  <c r="Q194" i="5" s="1"/>
  <c r="P151" i="4"/>
  <c r="Z194" i="4"/>
  <c r="U194" i="5" s="1"/>
  <c r="V187" i="4"/>
  <c r="Q187" i="5" s="1"/>
  <c r="U187" i="4"/>
  <c r="T155" i="4"/>
  <c r="I38" i="8"/>
  <c r="I149" i="4"/>
  <c r="I150" i="4"/>
  <c r="H148" i="4"/>
  <c r="H146" i="4"/>
  <c r="H147" i="4"/>
  <c r="H10" i="9"/>
  <c r="P7" i="9"/>
  <c r="O27" i="9"/>
  <c r="N27" i="9"/>
  <c r="M26" i="7"/>
  <c r="M87" i="7"/>
  <c r="M70" i="7"/>
  <c r="M103" i="7"/>
  <c r="D103" i="7"/>
  <c r="F26" i="9"/>
  <c r="H26" i="9" s="1"/>
  <c r="Z187" i="4" l="1"/>
  <c r="U187" i="5" s="1"/>
  <c r="R151" i="4"/>
  <c r="K151" i="5"/>
  <c r="U162" i="4"/>
  <c r="T162" i="5"/>
  <c r="Z162" i="4"/>
  <c r="U162" i="5" s="1"/>
  <c r="V162" i="4"/>
  <c r="Q162" i="5" s="1"/>
  <c r="Z166" i="4"/>
  <c r="U166" i="5" s="1"/>
  <c r="T166" i="5"/>
  <c r="U166" i="4"/>
  <c r="V166" i="4"/>
  <c r="Q166" i="5" s="1"/>
  <c r="Y179" i="4"/>
  <c r="S179" i="5"/>
  <c r="U198" i="4"/>
  <c r="T198" i="5"/>
  <c r="V198" i="4"/>
  <c r="Q198" i="5" s="1"/>
  <c r="Z198" i="4"/>
  <c r="U198" i="5" s="1"/>
  <c r="Y165" i="4"/>
  <c r="S165" i="5"/>
  <c r="Y192" i="4"/>
  <c r="S192" i="5"/>
  <c r="Y160" i="4"/>
  <c r="S160" i="5"/>
  <c r="T154" i="4"/>
  <c r="X155" i="4"/>
  <c r="O155" i="5"/>
  <c r="W194" i="4"/>
  <c r="R194" i="5" s="1"/>
  <c r="P194" i="5"/>
  <c r="Y172" i="4"/>
  <c r="S172" i="5"/>
  <c r="U163" i="4"/>
  <c r="T163" i="5"/>
  <c r="Z163" i="4"/>
  <c r="U163" i="5" s="1"/>
  <c r="V163" i="4"/>
  <c r="Q163" i="5" s="1"/>
  <c r="Y176" i="4"/>
  <c r="S176" i="5"/>
  <c r="Y173" i="4"/>
  <c r="S173" i="5"/>
  <c r="Y182" i="4"/>
  <c r="S182" i="5"/>
  <c r="Y159" i="4"/>
  <c r="S159" i="5"/>
  <c r="Y195" i="4"/>
  <c r="S195" i="5"/>
  <c r="U164" i="4"/>
  <c r="T164" i="5"/>
  <c r="Z164" i="4"/>
  <c r="U164" i="5" s="1"/>
  <c r="V164" i="4"/>
  <c r="Q164" i="5" s="1"/>
  <c r="V177" i="4"/>
  <c r="Q177" i="5" s="1"/>
  <c r="T177" i="5"/>
  <c r="U177" i="4"/>
  <c r="Z177" i="4"/>
  <c r="U177" i="5" s="1"/>
  <c r="V169" i="4"/>
  <c r="Q169" i="5" s="1"/>
  <c r="T169" i="5"/>
  <c r="U169" i="4"/>
  <c r="Z169" i="4"/>
  <c r="U169" i="5" s="1"/>
  <c r="Y174" i="4"/>
  <c r="S174" i="5"/>
  <c r="Y196" i="4"/>
  <c r="S196" i="5"/>
  <c r="Y193" i="4"/>
  <c r="S193" i="5"/>
  <c r="Y170" i="4"/>
  <c r="S170" i="5"/>
  <c r="W187" i="4"/>
  <c r="R187" i="5" s="1"/>
  <c r="P187" i="5"/>
  <c r="R152" i="4"/>
  <c r="K152" i="5"/>
  <c r="Y184" i="4"/>
  <c r="S184" i="5"/>
  <c r="T189" i="5"/>
  <c r="U189" i="4"/>
  <c r="Z189" i="4"/>
  <c r="U189" i="5" s="1"/>
  <c r="V189" i="4"/>
  <c r="Q189" i="5" s="1"/>
  <c r="U157" i="4"/>
  <c r="T157" i="5"/>
  <c r="Z157" i="4"/>
  <c r="U157" i="5" s="1"/>
  <c r="V157" i="4"/>
  <c r="Q157" i="5" s="1"/>
  <c r="Y185" i="4"/>
  <c r="S185" i="5"/>
  <c r="V183" i="4"/>
  <c r="Q183" i="5" s="1"/>
  <c r="T183" i="5"/>
  <c r="Z183" i="4"/>
  <c r="U183" i="5" s="1"/>
  <c r="U183" i="4"/>
  <c r="V171" i="4"/>
  <c r="Q171" i="5" s="1"/>
  <c r="T171" i="5"/>
  <c r="U171" i="4"/>
  <c r="Z171" i="4"/>
  <c r="U171" i="5" s="1"/>
  <c r="V181" i="4"/>
  <c r="Q181" i="5" s="1"/>
  <c r="T181" i="5"/>
  <c r="Z181" i="4"/>
  <c r="U181" i="5" s="1"/>
  <c r="U181" i="4"/>
  <c r="R153" i="4"/>
  <c r="K153" i="5"/>
  <c r="V197" i="4"/>
  <c r="Q197" i="5" s="1"/>
  <c r="T197" i="5"/>
  <c r="Z197" i="4"/>
  <c r="U197" i="5" s="1"/>
  <c r="U197" i="4"/>
  <c r="V188" i="4"/>
  <c r="Q188" i="5" s="1"/>
  <c r="T188" i="5"/>
  <c r="U188" i="4"/>
  <c r="Z188" i="4"/>
  <c r="U188" i="5" s="1"/>
  <c r="Y156" i="4"/>
  <c r="S156" i="5"/>
  <c r="V186" i="4"/>
  <c r="Q186" i="5" s="1"/>
  <c r="T186" i="5"/>
  <c r="U186" i="4"/>
  <c r="Z186" i="4"/>
  <c r="U186" i="5" s="1"/>
  <c r="Y158" i="4"/>
  <c r="S158" i="5"/>
  <c r="V191" i="4"/>
  <c r="Q191" i="5" s="1"/>
  <c r="T191" i="5"/>
  <c r="Z191" i="4"/>
  <c r="U191" i="5" s="1"/>
  <c r="U191" i="4"/>
  <c r="Y167" i="4"/>
  <c r="S167" i="5"/>
  <c r="Y180" i="4"/>
  <c r="S180" i="5"/>
  <c r="V175" i="4"/>
  <c r="Q175" i="5" s="1"/>
  <c r="T175" i="5"/>
  <c r="Z175" i="4"/>
  <c r="U175" i="5" s="1"/>
  <c r="U175" i="4"/>
  <c r="U190" i="4"/>
  <c r="T190" i="5"/>
  <c r="V190" i="4"/>
  <c r="Q190" i="5" s="1"/>
  <c r="Z190" i="4"/>
  <c r="U190" i="5" s="1"/>
  <c r="Y161" i="4"/>
  <c r="S161" i="5"/>
  <c r="Y178" i="4"/>
  <c r="S178" i="5"/>
  <c r="V168" i="4"/>
  <c r="Q168" i="5" s="1"/>
  <c r="T168" i="5"/>
  <c r="U168" i="4"/>
  <c r="Z168" i="4"/>
  <c r="U168" i="5" s="1"/>
  <c r="O148" i="4"/>
  <c r="N148" i="4"/>
  <c r="O147" i="4"/>
  <c r="N147" i="4"/>
  <c r="O146" i="4"/>
  <c r="N146" i="4"/>
  <c r="P27" i="9"/>
  <c r="I142" i="4"/>
  <c r="P140" i="4"/>
  <c r="K140" i="5" s="1"/>
  <c r="W181" i="4" l="1"/>
  <c r="R181" i="5" s="1"/>
  <c r="P181" i="5"/>
  <c r="W168" i="4"/>
  <c r="R168" i="5" s="1"/>
  <c r="P168" i="5"/>
  <c r="V161" i="4"/>
  <c r="Q161" i="5" s="1"/>
  <c r="T161" i="5"/>
  <c r="U161" i="4"/>
  <c r="Z161" i="4"/>
  <c r="U161" i="5" s="1"/>
  <c r="T167" i="5"/>
  <c r="U167" i="4"/>
  <c r="Z167" i="4"/>
  <c r="U167" i="5" s="1"/>
  <c r="V167" i="4"/>
  <c r="Q167" i="5" s="1"/>
  <c r="U158" i="4"/>
  <c r="T158" i="5"/>
  <c r="Z158" i="4"/>
  <c r="U158" i="5" s="1"/>
  <c r="V158" i="4"/>
  <c r="Q158" i="5" s="1"/>
  <c r="V156" i="4"/>
  <c r="Q156" i="5" s="1"/>
  <c r="T156" i="5"/>
  <c r="Z156" i="4"/>
  <c r="U156" i="5" s="1"/>
  <c r="U156" i="4"/>
  <c r="V185" i="4"/>
  <c r="Q185" i="5" s="1"/>
  <c r="T185" i="5"/>
  <c r="Z185" i="4"/>
  <c r="U185" i="5" s="1"/>
  <c r="U185" i="4"/>
  <c r="T152" i="4"/>
  <c r="M152" i="5"/>
  <c r="U193" i="4"/>
  <c r="T193" i="5"/>
  <c r="V193" i="4"/>
  <c r="Q193" i="5" s="1"/>
  <c r="Z193" i="4"/>
  <c r="U193" i="5" s="1"/>
  <c r="W169" i="4"/>
  <c r="R169" i="5" s="1"/>
  <c r="P169" i="5"/>
  <c r="V195" i="4"/>
  <c r="Q195" i="5" s="1"/>
  <c r="T195" i="5"/>
  <c r="Z195" i="4"/>
  <c r="U195" i="5" s="1"/>
  <c r="U195" i="4"/>
  <c r="V173" i="4"/>
  <c r="Q173" i="5" s="1"/>
  <c r="T173" i="5"/>
  <c r="U173" i="4"/>
  <c r="Z173" i="4"/>
  <c r="U173" i="5" s="1"/>
  <c r="W163" i="4"/>
  <c r="R163" i="5" s="1"/>
  <c r="P163" i="5"/>
  <c r="Y155" i="4"/>
  <c r="S155" i="5"/>
  <c r="W191" i="4"/>
  <c r="R191" i="5" s="1"/>
  <c r="P191" i="5"/>
  <c r="W183" i="4"/>
  <c r="R183" i="5" s="1"/>
  <c r="P183" i="5"/>
  <c r="W189" i="4"/>
  <c r="R189" i="5" s="1"/>
  <c r="P189" i="5"/>
  <c r="X154" i="4"/>
  <c r="O154" i="5"/>
  <c r="Z165" i="4"/>
  <c r="U165" i="5" s="1"/>
  <c r="T165" i="5"/>
  <c r="V165" i="4"/>
  <c r="Q165" i="5" s="1"/>
  <c r="U165" i="4"/>
  <c r="V179" i="4"/>
  <c r="Q179" i="5" s="1"/>
  <c r="T179" i="5"/>
  <c r="Z179" i="4"/>
  <c r="U179" i="5" s="1"/>
  <c r="U179" i="4"/>
  <c r="W175" i="4"/>
  <c r="R175" i="5" s="1"/>
  <c r="P175" i="5"/>
  <c r="W186" i="4"/>
  <c r="R186" i="5" s="1"/>
  <c r="P186" i="5"/>
  <c r="W188" i="4"/>
  <c r="R188" i="5" s="1"/>
  <c r="P188" i="5"/>
  <c r="U196" i="4"/>
  <c r="T196" i="5"/>
  <c r="V196" i="4"/>
  <c r="Q196" i="5" s="1"/>
  <c r="Z196" i="4"/>
  <c r="U196" i="5" s="1"/>
  <c r="T159" i="5"/>
  <c r="V159" i="4"/>
  <c r="Q159" i="5" s="1"/>
  <c r="U159" i="4"/>
  <c r="Z159" i="4"/>
  <c r="U159" i="5" s="1"/>
  <c r="U176" i="4"/>
  <c r="T176" i="5"/>
  <c r="Z176" i="4"/>
  <c r="U176" i="5" s="1"/>
  <c r="V176" i="4"/>
  <c r="Q176" i="5" s="1"/>
  <c r="V172" i="4"/>
  <c r="Q172" i="5" s="1"/>
  <c r="T172" i="5"/>
  <c r="U172" i="4"/>
  <c r="Z172" i="4"/>
  <c r="U172" i="5" s="1"/>
  <c r="W197" i="4"/>
  <c r="R197" i="5" s="1"/>
  <c r="P197" i="5"/>
  <c r="U160" i="4"/>
  <c r="T160" i="5"/>
  <c r="V160" i="4"/>
  <c r="Q160" i="5" s="1"/>
  <c r="Z160" i="4"/>
  <c r="U160" i="5" s="1"/>
  <c r="W166" i="4"/>
  <c r="R166" i="5" s="1"/>
  <c r="P166" i="5"/>
  <c r="W162" i="4"/>
  <c r="R162" i="5" s="1"/>
  <c r="P162" i="5"/>
  <c r="Z178" i="4"/>
  <c r="U178" i="5" s="1"/>
  <c r="T178" i="5"/>
  <c r="V178" i="4"/>
  <c r="Q178" i="5" s="1"/>
  <c r="U178" i="4"/>
  <c r="W190" i="4"/>
  <c r="R190" i="5" s="1"/>
  <c r="P190" i="5"/>
  <c r="U180" i="4"/>
  <c r="T180" i="5"/>
  <c r="V180" i="4"/>
  <c r="Q180" i="5" s="1"/>
  <c r="Z180" i="4"/>
  <c r="U180" i="5" s="1"/>
  <c r="T153" i="4"/>
  <c r="M153" i="5"/>
  <c r="W171" i="4"/>
  <c r="R171" i="5" s="1"/>
  <c r="P171" i="5"/>
  <c r="W157" i="4"/>
  <c r="R157" i="5" s="1"/>
  <c r="P157" i="5"/>
  <c r="V184" i="4"/>
  <c r="Q184" i="5" s="1"/>
  <c r="T184" i="5"/>
  <c r="Z184" i="4"/>
  <c r="U184" i="5" s="1"/>
  <c r="U184" i="4"/>
  <c r="U170" i="4"/>
  <c r="T170" i="5"/>
  <c r="V170" i="4"/>
  <c r="Q170" i="5" s="1"/>
  <c r="Z170" i="4"/>
  <c r="U170" i="5" s="1"/>
  <c r="V174" i="4"/>
  <c r="Q174" i="5" s="1"/>
  <c r="T174" i="5"/>
  <c r="Z174" i="4"/>
  <c r="U174" i="5" s="1"/>
  <c r="U174" i="4"/>
  <c r="W177" i="4"/>
  <c r="R177" i="5" s="1"/>
  <c r="P177" i="5"/>
  <c r="W164" i="4"/>
  <c r="R164" i="5" s="1"/>
  <c r="P164" i="5"/>
  <c r="V182" i="4"/>
  <c r="Q182" i="5" s="1"/>
  <c r="T182" i="5"/>
  <c r="Z182" i="4"/>
  <c r="U182" i="5" s="1"/>
  <c r="U182" i="4"/>
  <c r="U192" i="4"/>
  <c r="T192" i="5"/>
  <c r="V192" i="4"/>
  <c r="Q192" i="5" s="1"/>
  <c r="Z192" i="4"/>
  <c r="U192" i="5" s="1"/>
  <c r="W198" i="4"/>
  <c r="R198" i="5" s="1"/>
  <c r="P198" i="5"/>
  <c r="T151" i="4"/>
  <c r="M151" i="5"/>
  <c r="P141" i="4"/>
  <c r="L137" i="4"/>
  <c r="L139" i="4"/>
  <c r="M56" i="7"/>
  <c r="M41" i="7"/>
  <c r="P142" i="4"/>
  <c r="P135" i="4"/>
  <c r="Q135" i="4"/>
  <c r="P136" i="4"/>
  <c r="Q136" i="4"/>
  <c r="P137" i="4"/>
  <c r="Q137" i="4"/>
  <c r="P138" i="4"/>
  <c r="Q138" i="4"/>
  <c r="P139" i="4"/>
  <c r="Q139" i="4"/>
  <c r="Q140" i="4"/>
  <c r="R140" i="4"/>
  <c r="M140" i="5" s="1"/>
  <c r="Q141" i="4"/>
  <c r="Q142" i="4"/>
  <c r="P143" i="4"/>
  <c r="Q143" i="4"/>
  <c r="P144" i="4"/>
  <c r="Q144" i="4"/>
  <c r="P145" i="4"/>
  <c r="Q145" i="4"/>
  <c r="P146" i="4"/>
  <c r="Q146" i="4"/>
  <c r="P147" i="4"/>
  <c r="Q147" i="4"/>
  <c r="P148" i="4"/>
  <c r="Q148" i="4"/>
  <c r="Q149" i="4"/>
  <c r="R149" i="4"/>
  <c r="P150" i="4"/>
  <c r="Q150" i="4"/>
  <c r="L134" i="4"/>
  <c r="P134" i="4"/>
  <c r="Q134" i="4"/>
  <c r="P133" i="4"/>
  <c r="Q133" i="4"/>
  <c r="P132" i="4"/>
  <c r="Q132" i="4"/>
  <c r="P131" i="4"/>
  <c r="Q131" i="4"/>
  <c r="Q130" i="4"/>
  <c r="R130" i="4"/>
  <c r="K128" i="4"/>
  <c r="L105" i="4"/>
  <c r="O105" i="4" s="1"/>
  <c r="K105" i="4"/>
  <c r="L120" i="4"/>
  <c r="K120" i="4"/>
  <c r="L124" i="4"/>
  <c r="K124" i="4"/>
  <c r="K126" i="4"/>
  <c r="K125" i="4"/>
  <c r="R147" i="4" l="1"/>
  <c r="M147" i="5" s="1"/>
  <c r="K147" i="5"/>
  <c r="S130" i="4"/>
  <c r="N130" i="5" s="1"/>
  <c r="L130" i="5"/>
  <c r="S139" i="4"/>
  <c r="N139" i="5" s="1"/>
  <c r="L139" i="5"/>
  <c r="S131" i="4"/>
  <c r="N131" i="5" s="1"/>
  <c r="L131" i="5"/>
  <c r="S134" i="4"/>
  <c r="N134" i="5" s="1"/>
  <c r="L134" i="5"/>
  <c r="R146" i="4"/>
  <c r="M146" i="5" s="1"/>
  <c r="K146" i="5"/>
  <c r="R131" i="4"/>
  <c r="M131" i="5" s="1"/>
  <c r="K131" i="5"/>
  <c r="R134" i="4"/>
  <c r="M134" i="5" s="1"/>
  <c r="K134" i="5"/>
  <c r="S148" i="4"/>
  <c r="N148" i="5" s="1"/>
  <c r="L148" i="5"/>
  <c r="S145" i="4"/>
  <c r="N145" i="5" s="1"/>
  <c r="L145" i="5"/>
  <c r="S142" i="4"/>
  <c r="N142" i="5" s="1"/>
  <c r="L142" i="5"/>
  <c r="S138" i="4"/>
  <c r="N138" i="5" s="1"/>
  <c r="L138" i="5"/>
  <c r="S135" i="4"/>
  <c r="N135" i="5" s="1"/>
  <c r="L135" i="5"/>
  <c r="W174" i="4"/>
  <c r="R174" i="5" s="1"/>
  <c r="P174" i="5"/>
  <c r="W178" i="4"/>
  <c r="R178" i="5" s="1"/>
  <c r="P178" i="5"/>
  <c r="W179" i="4"/>
  <c r="R179" i="5" s="1"/>
  <c r="P179" i="5"/>
  <c r="W195" i="4"/>
  <c r="R195" i="5" s="1"/>
  <c r="P195" i="5"/>
  <c r="W185" i="4"/>
  <c r="R185" i="5" s="1"/>
  <c r="P185" i="5"/>
  <c r="R150" i="4"/>
  <c r="M150" i="5" s="1"/>
  <c r="K150" i="5"/>
  <c r="R137" i="4"/>
  <c r="M137" i="5" s="1"/>
  <c r="K137" i="5"/>
  <c r="R133" i="4"/>
  <c r="M133" i="5" s="1"/>
  <c r="K133" i="5"/>
  <c r="R148" i="4"/>
  <c r="M148" i="5" s="1"/>
  <c r="K148" i="5"/>
  <c r="R135" i="4"/>
  <c r="M135" i="5" s="1"/>
  <c r="K135" i="5"/>
  <c r="W180" i="4"/>
  <c r="R180" i="5" s="1"/>
  <c r="P180" i="5"/>
  <c r="W176" i="4"/>
  <c r="R176" i="5" s="1"/>
  <c r="P176" i="5"/>
  <c r="S146" i="4"/>
  <c r="N146" i="5" s="1"/>
  <c r="L146" i="5"/>
  <c r="S132" i="4"/>
  <c r="N132" i="5" s="1"/>
  <c r="L132" i="5"/>
  <c r="R145" i="4"/>
  <c r="M145" i="5" s="1"/>
  <c r="K145" i="5"/>
  <c r="S141" i="4"/>
  <c r="N141" i="5" s="1"/>
  <c r="L141" i="5"/>
  <c r="R138" i="4"/>
  <c r="M138" i="5" s="1"/>
  <c r="K138" i="5"/>
  <c r="R141" i="4"/>
  <c r="M141" i="5" s="1"/>
  <c r="K141" i="5"/>
  <c r="W170" i="4"/>
  <c r="R170" i="5" s="1"/>
  <c r="P170" i="5"/>
  <c r="R132" i="4"/>
  <c r="M132" i="5" s="1"/>
  <c r="K132" i="5"/>
  <c r="S150" i="4"/>
  <c r="N150" i="5" s="1"/>
  <c r="L150" i="5"/>
  <c r="S147" i="4"/>
  <c r="N147" i="5" s="1"/>
  <c r="L147" i="5"/>
  <c r="S144" i="4"/>
  <c r="N144" i="5" s="1"/>
  <c r="L144" i="5"/>
  <c r="S137" i="4"/>
  <c r="N137" i="5" s="1"/>
  <c r="L137" i="5"/>
  <c r="R142" i="4"/>
  <c r="M142" i="5" s="1"/>
  <c r="K142" i="5"/>
  <c r="W184" i="4"/>
  <c r="R184" i="5" s="1"/>
  <c r="P184" i="5"/>
  <c r="W167" i="4"/>
  <c r="R167" i="5" s="1"/>
  <c r="P167" i="5"/>
  <c r="Y154" i="4"/>
  <c r="S154" i="5"/>
  <c r="W173" i="4"/>
  <c r="R173" i="5" s="1"/>
  <c r="P173" i="5"/>
  <c r="W193" i="4"/>
  <c r="R193" i="5" s="1"/>
  <c r="P193" i="5"/>
  <c r="R144" i="4"/>
  <c r="M144" i="5" s="1"/>
  <c r="K144" i="5"/>
  <c r="X151" i="4"/>
  <c r="O151" i="5"/>
  <c r="S136" i="4"/>
  <c r="N136" i="5" s="1"/>
  <c r="L136" i="5"/>
  <c r="W182" i="4"/>
  <c r="R182" i="5" s="1"/>
  <c r="P182" i="5"/>
  <c r="W165" i="4"/>
  <c r="R165" i="5" s="1"/>
  <c r="P165" i="5"/>
  <c r="W156" i="4"/>
  <c r="R156" i="5" s="1"/>
  <c r="P156" i="5"/>
  <c r="S133" i="4"/>
  <c r="N133" i="5" s="1"/>
  <c r="L133" i="5"/>
  <c r="S140" i="4"/>
  <c r="N140" i="5" s="1"/>
  <c r="L140" i="5"/>
  <c r="W192" i="4"/>
  <c r="R192" i="5" s="1"/>
  <c r="P192" i="5"/>
  <c r="W172" i="4"/>
  <c r="R172" i="5" s="1"/>
  <c r="P172" i="5"/>
  <c r="S143" i="4"/>
  <c r="N143" i="5" s="1"/>
  <c r="L143" i="5"/>
  <c r="S149" i="4"/>
  <c r="N149" i="5" s="1"/>
  <c r="L149" i="5"/>
  <c r="R143" i="4"/>
  <c r="M143" i="5" s="1"/>
  <c r="K143" i="5"/>
  <c r="R139" i="4"/>
  <c r="M139" i="5" s="1"/>
  <c r="K139" i="5"/>
  <c r="R136" i="4"/>
  <c r="M136" i="5" s="1"/>
  <c r="K136" i="5"/>
  <c r="X153" i="4"/>
  <c r="O153" i="5"/>
  <c r="W160" i="4"/>
  <c r="R160" i="5" s="1"/>
  <c r="P160" i="5"/>
  <c r="W159" i="4"/>
  <c r="R159" i="5" s="1"/>
  <c r="P159" i="5"/>
  <c r="W196" i="4"/>
  <c r="R196" i="5" s="1"/>
  <c r="P196" i="5"/>
  <c r="V155" i="4"/>
  <c r="Q155" i="5" s="1"/>
  <c r="T155" i="5"/>
  <c r="U155" i="4"/>
  <c r="Z155" i="4"/>
  <c r="U155" i="5" s="1"/>
  <c r="X152" i="4"/>
  <c r="O152" i="5"/>
  <c r="W158" i="4"/>
  <c r="R158" i="5" s="1"/>
  <c r="P158" i="5"/>
  <c r="W161" i="4"/>
  <c r="R161" i="5" s="1"/>
  <c r="P161" i="5"/>
  <c r="N105" i="4"/>
  <c r="M105" i="4"/>
  <c r="M124" i="4"/>
  <c r="N128" i="4"/>
  <c r="M128" i="4"/>
  <c r="M120" i="4"/>
  <c r="O139" i="4"/>
  <c r="M139" i="4"/>
  <c r="N125" i="4"/>
  <c r="M125" i="4"/>
  <c r="O137" i="4"/>
  <c r="M137" i="4"/>
  <c r="N126" i="4"/>
  <c r="M126" i="4"/>
  <c r="M134" i="4"/>
  <c r="O134" i="4"/>
  <c r="T150" i="4"/>
  <c r="T146" i="4"/>
  <c r="T142" i="4"/>
  <c r="T132" i="4"/>
  <c r="T134" i="4"/>
  <c r="T131" i="4"/>
  <c r="T130" i="4"/>
  <c r="K123" i="4"/>
  <c r="T138" i="4" l="1"/>
  <c r="T140" i="4"/>
  <c r="T144" i="4"/>
  <c r="T136" i="4"/>
  <c r="T148" i="4"/>
  <c r="X150" i="4"/>
  <c r="O150" i="5"/>
  <c r="T133" i="4"/>
  <c r="T139" i="4"/>
  <c r="T145" i="4"/>
  <c r="Y151" i="4"/>
  <c r="S151" i="5"/>
  <c r="X140" i="4"/>
  <c r="O140" i="5"/>
  <c r="T135" i="4"/>
  <c r="T141" i="4"/>
  <c r="T147" i="4"/>
  <c r="X134" i="4"/>
  <c r="O134" i="5"/>
  <c r="X138" i="4"/>
  <c r="O138" i="5"/>
  <c r="X144" i="4"/>
  <c r="O144" i="5"/>
  <c r="X132" i="4"/>
  <c r="O132" i="5"/>
  <c r="X146" i="4"/>
  <c r="O146" i="5"/>
  <c r="X130" i="4"/>
  <c r="O130" i="5"/>
  <c r="X142" i="4"/>
  <c r="O142" i="5"/>
  <c r="Y152" i="4"/>
  <c r="S152" i="5"/>
  <c r="Y153" i="4"/>
  <c r="S153" i="5"/>
  <c r="U154" i="4"/>
  <c r="T154" i="5"/>
  <c r="V154" i="4"/>
  <c r="Q154" i="5" s="1"/>
  <c r="Z154" i="4"/>
  <c r="U154" i="5" s="1"/>
  <c r="X136" i="4"/>
  <c r="O136" i="5"/>
  <c r="X148" i="4"/>
  <c r="O148" i="5"/>
  <c r="X131" i="4"/>
  <c r="O131" i="5"/>
  <c r="T137" i="4"/>
  <c r="T143" i="4"/>
  <c r="T149" i="4"/>
  <c r="W155" i="4"/>
  <c r="R155" i="5" s="1"/>
  <c r="P155" i="5"/>
  <c r="N123" i="4"/>
  <c r="M123" i="4"/>
  <c r="H127" i="4"/>
  <c r="X143" i="4" l="1"/>
  <c r="O143" i="5"/>
  <c r="X147" i="4"/>
  <c r="O147" i="5"/>
  <c r="T151" i="5"/>
  <c r="V151" i="4"/>
  <c r="Q151" i="5" s="1"/>
  <c r="Z151" i="4"/>
  <c r="U151" i="5" s="1"/>
  <c r="U151" i="4"/>
  <c r="X137" i="4"/>
  <c r="O137" i="5"/>
  <c r="Y136" i="4"/>
  <c r="S136" i="5"/>
  <c r="U153" i="4"/>
  <c r="T153" i="5"/>
  <c r="Z153" i="4"/>
  <c r="U153" i="5" s="1"/>
  <c r="V153" i="4"/>
  <c r="Q153" i="5" s="1"/>
  <c r="Y130" i="4"/>
  <c r="S130" i="5"/>
  <c r="Y144" i="4"/>
  <c r="S144" i="5"/>
  <c r="X141" i="4"/>
  <c r="O141" i="5"/>
  <c r="X145" i="4"/>
  <c r="O145" i="5"/>
  <c r="X135" i="4"/>
  <c r="O135" i="5"/>
  <c r="X139" i="4"/>
  <c r="O139" i="5"/>
  <c r="Y131" i="4"/>
  <c r="S131" i="5"/>
  <c r="U152" i="4"/>
  <c r="T152" i="5"/>
  <c r="Z152" i="4"/>
  <c r="U152" i="5" s="1"/>
  <c r="V152" i="4"/>
  <c r="Q152" i="5" s="1"/>
  <c r="Y146" i="4"/>
  <c r="S146" i="5"/>
  <c r="Y138" i="4"/>
  <c r="S138" i="5"/>
  <c r="X133" i="4"/>
  <c r="O133" i="5"/>
  <c r="Y140" i="4"/>
  <c r="S140" i="5"/>
  <c r="X149" i="4"/>
  <c r="O149" i="5"/>
  <c r="Y148" i="4"/>
  <c r="S148" i="5"/>
  <c r="W154" i="4"/>
  <c r="R154" i="5" s="1"/>
  <c r="P154" i="5"/>
  <c r="Y142" i="4"/>
  <c r="S142" i="5"/>
  <c r="Y132" i="4"/>
  <c r="S132" i="5"/>
  <c r="Y134" i="4"/>
  <c r="S134" i="5"/>
  <c r="Y150" i="4"/>
  <c r="S150" i="5"/>
  <c r="O127" i="4"/>
  <c r="N127" i="4"/>
  <c r="H124" i="4"/>
  <c r="H122" i="4"/>
  <c r="H120" i="4"/>
  <c r="H116" i="4"/>
  <c r="B44" i="5"/>
  <c r="B45" i="5"/>
  <c r="B46" i="5"/>
  <c r="B47" i="5"/>
  <c r="B48" i="5"/>
  <c r="C44" i="5"/>
  <c r="C45" i="5"/>
  <c r="C46" i="5"/>
  <c r="C47" i="5"/>
  <c r="C48" i="5"/>
  <c r="D44" i="5"/>
  <c r="D45" i="5"/>
  <c r="D46" i="5"/>
  <c r="D47" i="5"/>
  <c r="D48" i="5"/>
  <c r="E44" i="5"/>
  <c r="E45" i="5"/>
  <c r="E48" i="5"/>
  <c r="F44" i="5"/>
  <c r="F45" i="5"/>
  <c r="F46" i="5"/>
  <c r="F47" i="5"/>
  <c r="F48" i="5"/>
  <c r="G44" i="5"/>
  <c r="G45" i="5"/>
  <c r="G46" i="5"/>
  <c r="G47" i="5"/>
  <c r="G48" i="5"/>
  <c r="H44" i="5"/>
  <c r="H45" i="5"/>
  <c r="H46" i="5"/>
  <c r="H47" i="5"/>
  <c r="H48" i="5"/>
  <c r="I44" i="5"/>
  <c r="I45" i="5"/>
  <c r="I46" i="5"/>
  <c r="I47" i="5"/>
  <c r="I48" i="5"/>
  <c r="V138" i="4" l="1"/>
  <c r="Q138" i="5" s="1"/>
  <c r="T138" i="5"/>
  <c r="Z138" i="4"/>
  <c r="U138" i="5" s="1"/>
  <c r="U138" i="4"/>
  <c r="V142" i="4"/>
  <c r="Q142" i="5" s="1"/>
  <c r="T142" i="5"/>
  <c r="Z142" i="4"/>
  <c r="U142" i="5" s="1"/>
  <c r="U142" i="4"/>
  <c r="U134" i="4"/>
  <c r="T134" i="5"/>
  <c r="V134" i="4"/>
  <c r="Q134" i="5" s="1"/>
  <c r="Z134" i="4"/>
  <c r="U134" i="5" s="1"/>
  <c r="V140" i="4"/>
  <c r="Q140" i="5" s="1"/>
  <c r="T140" i="5"/>
  <c r="U140" i="4"/>
  <c r="Z140" i="4"/>
  <c r="U140" i="5" s="1"/>
  <c r="V146" i="4"/>
  <c r="Q146" i="5" s="1"/>
  <c r="T146" i="5"/>
  <c r="Z146" i="4"/>
  <c r="U146" i="5" s="1"/>
  <c r="U146" i="4"/>
  <c r="U131" i="4"/>
  <c r="T131" i="5"/>
  <c r="Z131" i="4"/>
  <c r="U131" i="5" s="1"/>
  <c r="V131" i="4"/>
  <c r="Q131" i="5" s="1"/>
  <c r="Y145" i="4"/>
  <c r="S145" i="5"/>
  <c r="U130" i="4"/>
  <c r="T130" i="5"/>
  <c r="Z130" i="4"/>
  <c r="U130" i="5" s="1"/>
  <c r="V130" i="4"/>
  <c r="Q130" i="5" s="1"/>
  <c r="V136" i="4"/>
  <c r="Q136" i="5" s="1"/>
  <c r="T136" i="5"/>
  <c r="U136" i="4"/>
  <c r="Z136" i="4"/>
  <c r="U136" i="5" s="1"/>
  <c r="Y149" i="4"/>
  <c r="S149" i="5"/>
  <c r="U132" i="4"/>
  <c r="T132" i="5"/>
  <c r="V132" i="4"/>
  <c r="Q132" i="5" s="1"/>
  <c r="Z132" i="4"/>
  <c r="U132" i="5" s="1"/>
  <c r="V148" i="4"/>
  <c r="Q148" i="5" s="1"/>
  <c r="T148" i="5"/>
  <c r="Z148" i="4"/>
  <c r="U148" i="5" s="1"/>
  <c r="U148" i="4"/>
  <c r="Y133" i="4"/>
  <c r="S133" i="5"/>
  <c r="Y139" i="4"/>
  <c r="S139" i="5"/>
  <c r="Y141" i="4"/>
  <c r="S141" i="5"/>
  <c r="Y137" i="4"/>
  <c r="S137" i="5"/>
  <c r="Y147" i="4"/>
  <c r="S147" i="5"/>
  <c r="W151" i="4"/>
  <c r="R151" i="5" s="1"/>
  <c r="P151" i="5"/>
  <c r="V150" i="4"/>
  <c r="Q150" i="5" s="1"/>
  <c r="T150" i="5"/>
  <c r="Z150" i="4"/>
  <c r="U150" i="5" s="1"/>
  <c r="U150" i="4"/>
  <c r="W152" i="4"/>
  <c r="R152" i="5" s="1"/>
  <c r="P152" i="5"/>
  <c r="Y135" i="4"/>
  <c r="S135" i="5"/>
  <c r="T144" i="5"/>
  <c r="V144" i="4"/>
  <c r="Q144" i="5" s="1"/>
  <c r="U144" i="4"/>
  <c r="Z144" i="4"/>
  <c r="U144" i="5" s="1"/>
  <c r="W153" i="4"/>
  <c r="R153" i="5" s="1"/>
  <c r="P153" i="5"/>
  <c r="Y143" i="4"/>
  <c r="S143" i="5"/>
  <c r="O116" i="4"/>
  <c r="N116" i="4"/>
  <c r="N120" i="4"/>
  <c r="O120" i="4"/>
  <c r="O122" i="4"/>
  <c r="N122" i="4"/>
  <c r="O124" i="4"/>
  <c r="N124" i="4"/>
  <c r="C111" i="4"/>
  <c r="U139" i="4" l="1"/>
  <c r="T139" i="5"/>
  <c r="V139" i="4"/>
  <c r="Q139" i="5" s="1"/>
  <c r="Z139" i="4"/>
  <c r="U139" i="5" s="1"/>
  <c r="U141" i="4"/>
  <c r="T141" i="5"/>
  <c r="V141" i="4"/>
  <c r="Q141" i="5" s="1"/>
  <c r="Z141" i="4"/>
  <c r="U141" i="5" s="1"/>
  <c r="W132" i="4"/>
  <c r="R132" i="5" s="1"/>
  <c r="P132" i="5"/>
  <c r="W150" i="4"/>
  <c r="R150" i="5" s="1"/>
  <c r="P150" i="5"/>
  <c r="U149" i="4"/>
  <c r="T149" i="5"/>
  <c r="V149" i="4"/>
  <c r="Q149" i="5" s="1"/>
  <c r="Z149" i="4"/>
  <c r="U149" i="5" s="1"/>
  <c r="W138" i="4"/>
  <c r="R138" i="5" s="1"/>
  <c r="P138" i="5"/>
  <c r="U135" i="4"/>
  <c r="T135" i="5"/>
  <c r="V135" i="4"/>
  <c r="Q135" i="5" s="1"/>
  <c r="Z135" i="4"/>
  <c r="U135" i="5" s="1"/>
  <c r="V137" i="4"/>
  <c r="Q137" i="5" s="1"/>
  <c r="T137" i="5"/>
  <c r="Z137" i="4"/>
  <c r="U137" i="5" s="1"/>
  <c r="U137" i="4"/>
  <c r="U133" i="4"/>
  <c r="T133" i="5"/>
  <c r="V133" i="4"/>
  <c r="Q133" i="5" s="1"/>
  <c r="Z133" i="4"/>
  <c r="U133" i="5" s="1"/>
  <c r="W136" i="4"/>
  <c r="R136" i="5" s="1"/>
  <c r="P136" i="5"/>
  <c r="W130" i="4"/>
  <c r="R130" i="5" s="1"/>
  <c r="P130" i="5"/>
  <c r="W131" i="4"/>
  <c r="R131" i="5" s="1"/>
  <c r="P131" i="5"/>
  <c r="W140" i="4"/>
  <c r="R140" i="5" s="1"/>
  <c r="P140" i="5"/>
  <c r="W134" i="4"/>
  <c r="R134" i="5" s="1"/>
  <c r="P134" i="5"/>
  <c r="U143" i="4"/>
  <c r="T143" i="5"/>
  <c r="Z143" i="4"/>
  <c r="U143" i="5" s="1"/>
  <c r="V143" i="4"/>
  <c r="Q143" i="5" s="1"/>
  <c r="U147" i="4"/>
  <c r="T147" i="5"/>
  <c r="V147" i="4"/>
  <c r="Q147" i="5" s="1"/>
  <c r="Z147" i="4"/>
  <c r="U147" i="5" s="1"/>
  <c r="W148" i="4"/>
  <c r="R148" i="5" s="1"/>
  <c r="P148" i="5"/>
  <c r="W146" i="4"/>
  <c r="R146" i="5" s="1"/>
  <c r="P146" i="5"/>
  <c r="W142" i="4"/>
  <c r="R142" i="5" s="1"/>
  <c r="P142" i="5"/>
  <c r="W144" i="4"/>
  <c r="R144" i="5" s="1"/>
  <c r="P144" i="5"/>
  <c r="U145" i="4"/>
  <c r="T145" i="5"/>
  <c r="V145" i="4"/>
  <c r="Q145" i="5" s="1"/>
  <c r="Z145" i="4"/>
  <c r="U145" i="5" s="1"/>
  <c r="E111" i="4"/>
  <c r="D111" i="4"/>
  <c r="L102" i="4"/>
  <c r="H102" i="4"/>
  <c r="N102" i="4" s="1"/>
  <c r="H103" i="4"/>
  <c r="I99" i="4"/>
  <c r="Q99" i="4" s="1"/>
  <c r="L88" i="4"/>
  <c r="H95" i="4"/>
  <c r="Q95" i="4"/>
  <c r="P96" i="4"/>
  <c r="Q96" i="4"/>
  <c r="P97" i="4"/>
  <c r="Q97" i="4"/>
  <c r="P98" i="4"/>
  <c r="Q98" i="4"/>
  <c r="R99" i="4"/>
  <c r="P100" i="4"/>
  <c r="Q100" i="4"/>
  <c r="P101" i="4"/>
  <c r="Q101" i="4"/>
  <c r="Q102" i="4"/>
  <c r="Q103" i="4"/>
  <c r="P104" i="4"/>
  <c r="Q104" i="4"/>
  <c r="P105" i="4"/>
  <c r="Q105" i="4"/>
  <c r="P106" i="4"/>
  <c r="Q106" i="4"/>
  <c r="Q107" i="4"/>
  <c r="R107" i="4"/>
  <c r="Q108" i="4"/>
  <c r="R108" i="4"/>
  <c r="P109" i="4"/>
  <c r="Q109" i="4"/>
  <c r="P110" i="4"/>
  <c r="Q110" i="4"/>
  <c r="P111" i="4"/>
  <c r="Q111" i="4"/>
  <c r="P112" i="4"/>
  <c r="Q112" i="4"/>
  <c r="Q113" i="4"/>
  <c r="R113" i="4"/>
  <c r="P114" i="4"/>
  <c r="Q114" i="4"/>
  <c r="P115" i="4"/>
  <c r="Q115" i="4"/>
  <c r="P116" i="4"/>
  <c r="Q116" i="4"/>
  <c r="P117" i="4"/>
  <c r="Q117" i="4"/>
  <c r="Q118" i="4"/>
  <c r="R118" i="4"/>
  <c r="P119" i="4"/>
  <c r="Q119" i="4"/>
  <c r="P120" i="4"/>
  <c r="Q120" i="4"/>
  <c r="P121" i="4"/>
  <c r="Q121" i="4"/>
  <c r="P122" i="4"/>
  <c r="Q122" i="4"/>
  <c r="Q123" i="4"/>
  <c r="R123" i="4"/>
  <c r="M123" i="5" s="1"/>
  <c r="P124" i="4"/>
  <c r="Q124" i="4"/>
  <c r="P125" i="4"/>
  <c r="Q125" i="4"/>
  <c r="P126" i="4"/>
  <c r="Q126" i="4"/>
  <c r="P127" i="4"/>
  <c r="Q127" i="4"/>
  <c r="P128" i="4"/>
  <c r="Q128" i="4"/>
  <c r="P129" i="4"/>
  <c r="Q129" i="4"/>
  <c r="H70" i="4"/>
  <c r="P94" i="4"/>
  <c r="Q94" i="4"/>
  <c r="R93" i="4"/>
  <c r="Q93" i="4"/>
  <c r="P92" i="4"/>
  <c r="Q92" i="4"/>
  <c r="H89" i="4"/>
  <c r="H91" i="4"/>
  <c r="Q91" i="4"/>
  <c r="H88" i="4"/>
  <c r="N88" i="4" s="1"/>
  <c r="P90" i="4"/>
  <c r="Q90" i="4"/>
  <c r="Q89" i="4"/>
  <c r="Q88" i="4"/>
  <c r="Q87" i="4"/>
  <c r="R87" i="4"/>
  <c r="P86" i="4"/>
  <c r="Q86" i="4"/>
  <c r="H85" i="4"/>
  <c r="Q85" i="4"/>
  <c r="P84" i="4"/>
  <c r="Q84" i="4"/>
  <c r="Q83" i="4"/>
  <c r="R83" i="4"/>
  <c r="P82" i="4"/>
  <c r="Q82" i="4"/>
  <c r="P81" i="4"/>
  <c r="Q81" i="4"/>
  <c r="P80" i="4"/>
  <c r="Q80" i="4"/>
  <c r="P79" i="4"/>
  <c r="Q79" i="4"/>
  <c r="R78" i="4"/>
  <c r="Q78" i="4"/>
  <c r="I77" i="4"/>
  <c r="Q77" i="4" s="1"/>
  <c r="H77" i="4"/>
  <c r="P76" i="4"/>
  <c r="Q76" i="4"/>
  <c r="P75" i="4"/>
  <c r="Q75" i="4"/>
  <c r="Q74" i="4"/>
  <c r="R74" i="4"/>
  <c r="P73" i="4"/>
  <c r="Q73" i="4"/>
  <c r="J70" i="4"/>
  <c r="P69" i="4"/>
  <c r="P71" i="4"/>
  <c r="P72" i="4"/>
  <c r="Q69" i="4"/>
  <c r="Q70" i="4"/>
  <c r="Q71" i="4"/>
  <c r="Q72" i="4"/>
  <c r="J61" i="4"/>
  <c r="P68" i="4"/>
  <c r="Q68" i="4"/>
  <c r="H67" i="4"/>
  <c r="O67" i="4" s="1"/>
  <c r="K67" i="4"/>
  <c r="Q67" i="4"/>
  <c r="X67" i="4"/>
  <c r="P66" i="4"/>
  <c r="Q66" i="4"/>
  <c r="L64" i="4"/>
  <c r="P65" i="4"/>
  <c r="Q65" i="4"/>
  <c r="P64" i="4"/>
  <c r="Q64" i="4"/>
  <c r="R63" i="4"/>
  <c r="Q63" i="4"/>
  <c r="S65" i="4" l="1"/>
  <c r="N65" i="5" s="1"/>
  <c r="L65" i="5"/>
  <c r="R69" i="4"/>
  <c r="M69" i="5" s="1"/>
  <c r="K69" i="5"/>
  <c r="S78" i="4"/>
  <c r="N78" i="5" s="1"/>
  <c r="L78" i="5"/>
  <c r="R65" i="4"/>
  <c r="M65" i="5" s="1"/>
  <c r="K65" i="5"/>
  <c r="S71" i="4"/>
  <c r="N71" i="5" s="1"/>
  <c r="L71" i="5"/>
  <c r="R75" i="4"/>
  <c r="M75" i="5" s="1"/>
  <c r="K75" i="5"/>
  <c r="R81" i="4"/>
  <c r="M81" i="5" s="1"/>
  <c r="K81" i="5"/>
  <c r="R84" i="4"/>
  <c r="M84" i="5" s="1"/>
  <c r="K84" i="5"/>
  <c r="S87" i="4"/>
  <c r="N87" i="5" s="1"/>
  <c r="L87" i="5"/>
  <c r="S91" i="4"/>
  <c r="N91" i="5" s="1"/>
  <c r="L91" i="5"/>
  <c r="S128" i="4"/>
  <c r="N128" i="5" s="1"/>
  <c r="L128" i="5"/>
  <c r="S125" i="4"/>
  <c r="N125" i="5" s="1"/>
  <c r="L125" i="5"/>
  <c r="S122" i="4"/>
  <c r="N122" i="5" s="1"/>
  <c r="L122" i="5"/>
  <c r="S119" i="4"/>
  <c r="N119" i="5" s="1"/>
  <c r="L119" i="5"/>
  <c r="S116" i="4"/>
  <c r="N116" i="5" s="1"/>
  <c r="L116" i="5"/>
  <c r="S110" i="4"/>
  <c r="N110" i="5" s="1"/>
  <c r="L110" i="5"/>
  <c r="S104" i="4"/>
  <c r="N104" i="5" s="1"/>
  <c r="L104" i="5"/>
  <c r="S100" i="4"/>
  <c r="N100" i="5" s="1"/>
  <c r="L100" i="5"/>
  <c r="R97" i="4"/>
  <c r="M97" i="5" s="1"/>
  <c r="K97" i="5"/>
  <c r="S99" i="4"/>
  <c r="N99" i="5" s="1"/>
  <c r="L99" i="5"/>
  <c r="R64" i="4"/>
  <c r="M64" i="5" s="1"/>
  <c r="K64" i="5"/>
  <c r="S73" i="4"/>
  <c r="N73" i="5" s="1"/>
  <c r="L73" i="5"/>
  <c r="S79" i="4"/>
  <c r="N79" i="5" s="1"/>
  <c r="L79" i="5"/>
  <c r="S85" i="4"/>
  <c r="N85" i="5" s="1"/>
  <c r="L85" i="5"/>
  <c r="S94" i="4"/>
  <c r="N94" i="5" s="1"/>
  <c r="L94" i="5"/>
  <c r="R125" i="4"/>
  <c r="M125" i="5" s="1"/>
  <c r="K125" i="5"/>
  <c r="R119" i="4"/>
  <c r="M119" i="5" s="1"/>
  <c r="K119" i="5"/>
  <c r="R110" i="4"/>
  <c r="M110" i="5" s="1"/>
  <c r="K110" i="5"/>
  <c r="S107" i="4"/>
  <c r="N107" i="5" s="1"/>
  <c r="L107" i="5"/>
  <c r="R104" i="4"/>
  <c r="M104" i="5" s="1"/>
  <c r="K104" i="5"/>
  <c r="S96" i="4"/>
  <c r="N96" i="5" s="1"/>
  <c r="L96" i="5"/>
  <c r="W143" i="4"/>
  <c r="R143" i="5" s="1"/>
  <c r="P143" i="5"/>
  <c r="W141" i="4"/>
  <c r="R141" i="5" s="1"/>
  <c r="P141" i="5"/>
  <c r="S70" i="4"/>
  <c r="N70" i="5" s="1"/>
  <c r="L70" i="5"/>
  <c r="S76" i="4"/>
  <c r="N76" i="5" s="1"/>
  <c r="L76" i="5"/>
  <c r="S82" i="4"/>
  <c r="N82" i="5" s="1"/>
  <c r="L82" i="5"/>
  <c r="S88" i="4"/>
  <c r="N88" i="5" s="1"/>
  <c r="L88" i="5"/>
  <c r="R128" i="4"/>
  <c r="M128" i="5" s="1"/>
  <c r="K128" i="5"/>
  <c r="R122" i="4"/>
  <c r="M122" i="5" s="1"/>
  <c r="K122" i="5"/>
  <c r="R116" i="4"/>
  <c r="M116" i="5" s="1"/>
  <c r="K116" i="5"/>
  <c r="S113" i="4"/>
  <c r="N113" i="5" s="1"/>
  <c r="L113" i="5"/>
  <c r="R100" i="4"/>
  <c r="M100" i="5" s="1"/>
  <c r="K100" i="5"/>
  <c r="S66" i="4"/>
  <c r="N66" i="5" s="1"/>
  <c r="L66" i="5"/>
  <c r="S68" i="4"/>
  <c r="N68" i="5" s="1"/>
  <c r="L68" i="5"/>
  <c r="S69" i="4"/>
  <c r="N69" i="5" s="1"/>
  <c r="L69" i="5"/>
  <c r="R73" i="4"/>
  <c r="M73" i="5" s="1"/>
  <c r="K73" i="5"/>
  <c r="R76" i="4"/>
  <c r="M76" i="5" s="1"/>
  <c r="K76" i="5"/>
  <c r="R79" i="4"/>
  <c r="M79" i="5" s="1"/>
  <c r="K79" i="5"/>
  <c r="R82" i="4"/>
  <c r="M82" i="5" s="1"/>
  <c r="K82" i="5"/>
  <c r="S89" i="4"/>
  <c r="N89" i="5" s="1"/>
  <c r="L89" i="5"/>
  <c r="R94" i="4"/>
  <c r="M94" i="5" s="1"/>
  <c r="K94" i="5"/>
  <c r="S127" i="4"/>
  <c r="N127" i="5" s="1"/>
  <c r="L127" i="5"/>
  <c r="S124" i="4"/>
  <c r="N124" i="5" s="1"/>
  <c r="L124" i="5"/>
  <c r="S121" i="4"/>
  <c r="N121" i="5" s="1"/>
  <c r="L121" i="5"/>
  <c r="S115" i="4"/>
  <c r="N115" i="5" s="1"/>
  <c r="L115" i="5"/>
  <c r="S112" i="4"/>
  <c r="N112" i="5" s="1"/>
  <c r="L112" i="5"/>
  <c r="S109" i="4"/>
  <c r="N109" i="5" s="1"/>
  <c r="L109" i="5"/>
  <c r="S106" i="4"/>
  <c r="N106" i="5" s="1"/>
  <c r="L106" i="5"/>
  <c r="S103" i="4"/>
  <c r="N103" i="5" s="1"/>
  <c r="L103" i="5"/>
  <c r="R96" i="4"/>
  <c r="M96" i="5" s="1"/>
  <c r="K96" i="5"/>
  <c r="S67" i="4"/>
  <c r="N67" i="5" s="1"/>
  <c r="L67" i="5"/>
  <c r="S63" i="4"/>
  <c r="N63" i="5" s="1"/>
  <c r="L63" i="5"/>
  <c r="S64" i="4"/>
  <c r="N64" i="5" s="1"/>
  <c r="L64" i="5"/>
  <c r="R66" i="4"/>
  <c r="M66" i="5" s="1"/>
  <c r="K66" i="5"/>
  <c r="R68" i="4"/>
  <c r="M68" i="5" s="1"/>
  <c r="K68" i="5"/>
  <c r="R72" i="4"/>
  <c r="M72" i="5" s="1"/>
  <c r="K72" i="5"/>
  <c r="S80" i="4"/>
  <c r="N80" i="5" s="1"/>
  <c r="L80" i="5"/>
  <c r="S86" i="4"/>
  <c r="N86" i="5" s="1"/>
  <c r="L86" i="5"/>
  <c r="S90" i="4"/>
  <c r="N90" i="5" s="1"/>
  <c r="L90" i="5"/>
  <c r="S92" i="4"/>
  <c r="N92" i="5" s="1"/>
  <c r="L92" i="5"/>
  <c r="R127" i="4"/>
  <c r="M127" i="5" s="1"/>
  <c r="K127" i="5"/>
  <c r="R124" i="4"/>
  <c r="M124" i="5" s="1"/>
  <c r="K124" i="5"/>
  <c r="R121" i="4"/>
  <c r="M121" i="5" s="1"/>
  <c r="K121" i="5"/>
  <c r="S118" i="4"/>
  <c r="N118" i="5" s="1"/>
  <c r="L118" i="5"/>
  <c r="R115" i="4"/>
  <c r="M115" i="5" s="1"/>
  <c r="K115" i="5"/>
  <c r="R112" i="4"/>
  <c r="M112" i="5" s="1"/>
  <c r="K112" i="5"/>
  <c r="R109" i="4"/>
  <c r="M109" i="5" s="1"/>
  <c r="K109" i="5"/>
  <c r="R106" i="4"/>
  <c r="M106" i="5" s="1"/>
  <c r="K106" i="5"/>
  <c r="S102" i="4"/>
  <c r="N102" i="5" s="1"/>
  <c r="L102" i="5"/>
  <c r="S98" i="4"/>
  <c r="N98" i="5" s="1"/>
  <c r="L98" i="5"/>
  <c r="S95" i="4"/>
  <c r="N95" i="5" s="1"/>
  <c r="L95" i="5"/>
  <c r="W145" i="4"/>
  <c r="R145" i="5" s="1"/>
  <c r="P145" i="5"/>
  <c r="W147" i="4"/>
  <c r="R147" i="5" s="1"/>
  <c r="P147" i="5"/>
  <c r="W133" i="4"/>
  <c r="R133" i="5" s="1"/>
  <c r="P133" i="5"/>
  <c r="Y67" i="4"/>
  <c r="Z67" i="4" s="1"/>
  <c r="U67" i="5" s="1"/>
  <c r="S67" i="5"/>
  <c r="R71" i="4"/>
  <c r="M71" i="5" s="1"/>
  <c r="K71" i="5"/>
  <c r="S74" i="4"/>
  <c r="N74" i="5" s="1"/>
  <c r="L74" i="5"/>
  <c r="S77" i="4"/>
  <c r="N77" i="5" s="1"/>
  <c r="L77" i="5"/>
  <c r="R80" i="4"/>
  <c r="M80" i="5" s="1"/>
  <c r="K80" i="5"/>
  <c r="S83" i="4"/>
  <c r="N83" i="5" s="1"/>
  <c r="L83" i="5"/>
  <c r="R86" i="4"/>
  <c r="M86" i="5" s="1"/>
  <c r="K86" i="5"/>
  <c r="R90" i="4"/>
  <c r="M90" i="5" s="1"/>
  <c r="K90" i="5"/>
  <c r="R92" i="4"/>
  <c r="M92" i="5" s="1"/>
  <c r="K92" i="5"/>
  <c r="S129" i="4"/>
  <c r="N129" i="5" s="1"/>
  <c r="L129" i="5"/>
  <c r="S126" i="4"/>
  <c r="N126" i="5" s="1"/>
  <c r="L126" i="5"/>
  <c r="S120" i="4"/>
  <c r="N120" i="5" s="1"/>
  <c r="L120" i="5"/>
  <c r="S117" i="4"/>
  <c r="N117" i="5" s="1"/>
  <c r="L117" i="5"/>
  <c r="S114" i="4"/>
  <c r="N114" i="5" s="1"/>
  <c r="L114" i="5"/>
  <c r="S111" i="4"/>
  <c r="N111" i="5" s="1"/>
  <c r="L111" i="5"/>
  <c r="S105" i="4"/>
  <c r="N105" i="5" s="1"/>
  <c r="L105" i="5"/>
  <c r="S101" i="4"/>
  <c r="N101" i="5" s="1"/>
  <c r="L101" i="5"/>
  <c r="R98" i="4"/>
  <c r="M98" i="5" s="1"/>
  <c r="K98" i="5"/>
  <c r="W137" i="4"/>
  <c r="R137" i="5" s="1"/>
  <c r="P137" i="5"/>
  <c r="S72" i="4"/>
  <c r="N72" i="5" s="1"/>
  <c r="L72" i="5"/>
  <c r="S75" i="4"/>
  <c r="N75" i="5" s="1"/>
  <c r="L75" i="5"/>
  <c r="S81" i="4"/>
  <c r="N81" i="5" s="1"/>
  <c r="L81" i="5"/>
  <c r="S84" i="4"/>
  <c r="N84" i="5" s="1"/>
  <c r="L84" i="5"/>
  <c r="S93" i="4"/>
  <c r="N93" i="5" s="1"/>
  <c r="L93" i="5"/>
  <c r="R129" i="4"/>
  <c r="M129" i="5" s="1"/>
  <c r="K129" i="5"/>
  <c r="R126" i="4"/>
  <c r="M126" i="5" s="1"/>
  <c r="K126" i="5"/>
  <c r="S123" i="4"/>
  <c r="N123" i="5" s="1"/>
  <c r="L123" i="5"/>
  <c r="R120" i="4"/>
  <c r="M120" i="5" s="1"/>
  <c r="K120" i="5"/>
  <c r="R117" i="4"/>
  <c r="M117" i="5" s="1"/>
  <c r="K117" i="5"/>
  <c r="R114" i="4"/>
  <c r="M114" i="5" s="1"/>
  <c r="K114" i="5"/>
  <c r="R111" i="4"/>
  <c r="M111" i="5" s="1"/>
  <c r="K111" i="5"/>
  <c r="S108" i="4"/>
  <c r="N108" i="5" s="1"/>
  <c r="L108" i="5"/>
  <c r="R105" i="4"/>
  <c r="M105" i="5" s="1"/>
  <c r="K105" i="5"/>
  <c r="R101" i="4"/>
  <c r="M101" i="5" s="1"/>
  <c r="K101" i="5"/>
  <c r="S97" i="4"/>
  <c r="N97" i="5" s="1"/>
  <c r="L97" i="5"/>
  <c r="W135" i="4"/>
  <c r="R135" i="5" s="1"/>
  <c r="P135" i="5"/>
  <c r="W149" i="4"/>
  <c r="R149" i="5" s="1"/>
  <c r="P149" i="5"/>
  <c r="W139" i="4"/>
  <c r="R139" i="5" s="1"/>
  <c r="P139" i="5"/>
  <c r="O85" i="4"/>
  <c r="N85" i="4"/>
  <c r="O77" i="4"/>
  <c r="N77" i="4"/>
  <c r="O70" i="4"/>
  <c r="N70" i="4"/>
  <c r="O95" i="4"/>
  <c r="N95" i="4"/>
  <c r="O88" i="4"/>
  <c r="M88" i="4"/>
  <c r="N67" i="4"/>
  <c r="M67" i="4"/>
  <c r="O64" i="4"/>
  <c r="M64" i="4"/>
  <c r="O91" i="4"/>
  <c r="N91" i="4"/>
  <c r="O103" i="4"/>
  <c r="N103" i="4"/>
  <c r="O89" i="4"/>
  <c r="N89" i="4"/>
  <c r="M102" i="4"/>
  <c r="O102" i="4"/>
  <c r="R67" i="4"/>
  <c r="T67" i="4" s="1"/>
  <c r="O67" i="5" s="1"/>
  <c r="P102" i="4"/>
  <c r="P95" i="4"/>
  <c r="P103" i="4"/>
  <c r="R70" i="4"/>
  <c r="T70" i="4" s="1"/>
  <c r="P85" i="4"/>
  <c r="P88" i="4"/>
  <c r="T117" i="4"/>
  <c r="T126" i="4"/>
  <c r="T118" i="4"/>
  <c r="T110" i="4"/>
  <c r="T107" i="4"/>
  <c r="T100" i="4"/>
  <c r="T99" i="4"/>
  <c r="T112" i="4"/>
  <c r="T125" i="4"/>
  <c r="T78" i="4"/>
  <c r="T87" i="4"/>
  <c r="T96" i="4"/>
  <c r="P77" i="4"/>
  <c r="P89" i="4"/>
  <c r="P91" i="4"/>
  <c r="T81" i="4"/>
  <c r="T75" i="4"/>
  <c r="T69" i="4"/>
  <c r="T63" i="4"/>
  <c r="T65" i="4"/>
  <c r="P62" i="4"/>
  <c r="Q62" i="4"/>
  <c r="P61" i="4"/>
  <c r="Q61" i="4"/>
  <c r="P60" i="4"/>
  <c r="Q60" i="4"/>
  <c r="P59" i="4"/>
  <c r="Q59" i="4"/>
  <c r="H56" i="4"/>
  <c r="K58" i="4"/>
  <c r="Q9" i="4"/>
  <c r="S9" i="4" s="1"/>
  <c r="Q10" i="4"/>
  <c r="S10" i="4" s="1"/>
  <c r="Q11" i="4"/>
  <c r="S11" i="4" s="1"/>
  <c r="Q12" i="4"/>
  <c r="S12" i="4" s="1"/>
  <c r="Q13" i="4"/>
  <c r="S13" i="4" s="1"/>
  <c r="Q14" i="4"/>
  <c r="S14" i="4" s="1"/>
  <c r="Q15" i="4"/>
  <c r="S15" i="4" s="1"/>
  <c r="Q16" i="4"/>
  <c r="S16" i="4" s="1"/>
  <c r="Q17" i="4"/>
  <c r="S17" i="4" s="1"/>
  <c r="Q18" i="4"/>
  <c r="S18" i="4" s="1"/>
  <c r="Q19" i="4"/>
  <c r="S19" i="4" s="1"/>
  <c r="Q20" i="4"/>
  <c r="S20" i="4" s="1"/>
  <c r="Q21" i="4"/>
  <c r="S21" i="4" s="1"/>
  <c r="Q22" i="4"/>
  <c r="S22" i="4" s="1"/>
  <c r="Q23" i="4"/>
  <c r="S23" i="4" s="1"/>
  <c r="Q24" i="4"/>
  <c r="S24" i="4" s="1"/>
  <c r="Q25" i="4"/>
  <c r="S25" i="4" s="1"/>
  <c r="Q26" i="4"/>
  <c r="S26" i="4" s="1"/>
  <c r="Q27" i="4"/>
  <c r="S27" i="4" s="1"/>
  <c r="Q28" i="4"/>
  <c r="S28" i="4" s="1"/>
  <c r="Q29" i="4"/>
  <c r="S29" i="4" s="1"/>
  <c r="Q30" i="4"/>
  <c r="S30" i="4" s="1"/>
  <c r="Q31" i="4"/>
  <c r="S31" i="4" s="1"/>
  <c r="Q33" i="4"/>
  <c r="S33" i="4" s="1"/>
  <c r="Q34" i="4"/>
  <c r="S34" i="4" s="1"/>
  <c r="Q35" i="4"/>
  <c r="S35" i="4" s="1"/>
  <c r="Q36" i="4"/>
  <c r="S36" i="4" s="1"/>
  <c r="Q37" i="4"/>
  <c r="S37" i="4" s="1"/>
  <c r="Q38" i="4"/>
  <c r="S38" i="4" s="1"/>
  <c r="Q39" i="4"/>
  <c r="S39" i="4" s="1"/>
  <c r="Q40" i="4"/>
  <c r="S40" i="4" s="1"/>
  <c r="Q41" i="4"/>
  <c r="S41" i="4" s="1"/>
  <c r="Q43" i="4"/>
  <c r="S43" i="4" s="1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P9" i="4"/>
  <c r="R9" i="4" s="1"/>
  <c r="P10" i="4"/>
  <c r="R10" i="4" s="1"/>
  <c r="P11" i="4"/>
  <c r="R11" i="4" s="1"/>
  <c r="P12" i="4"/>
  <c r="R12" i="4" s="1"/>
  <c r="P13" i="4"/>
  <c r="R13" i="4" s="1"/>
  <c r="R14" i="4"/>
  <c r="P15" i="4"/>
  <c r="R15" i="4" s="1"/>
  <c r="P17" i="4"/>
  <c r="R17" i="4" s="1"/>
  <c r="R18" i="4"/>
  <c r="P19" i="4"/>
  <c r="R19" i="4" s="1"/>
  <c r="P20" i="4"/>
  <c r="R20" i="4" s="1"/>
  <c r="P21" i="4"/>
  <c r="R21" i="4" s="1"/>
  <c r="P22" i="4"/>
  <c r="R22" i="4" s="1"/>
  <c r="P23" i="4"/>
  <c r="R23" i="4" s="1"/>
  <c r="P24" i="4"/>
  <c r="R24" i="4" s="1"/>
  <c r="P25" i="4"/>
  <c r="R25" i="4" s="1"/>
  <c r="R26" i="4"/>
  <c r="P27" i="4"/>
  <c r="R27" i="4" s="1"/>
  <c r="P28" i="4"/>
  <c r="R28" i="4" s="1"/>
  <c r="P29" i="4"/>
  <c r="R29" i="4" s="1"/>
  <c r="P30" i="4"/>
  <c r="R30" i="4" s="1"/>
  <c r="R31" i="4"/>
  <c r="P32" i="4"/>
  <c r="R32" i="4" s="1"/>
  <c r="P33" i="4"/>
  <c r="R33" i="4" s="1"/>
  <c r="P34" i="4"/>
  <c r="R34" i="4" s="1"/>
  <c r="P35" i="4"/>
  <c r="R35" i="4" s="1"/>
  <c r="P36" i="4"/>
  <c r="R36" i="4" s="1"/>
  <c r="R37" i="4"/>
  <c r="R38" i="4"/>
  <c r="P39" i="4"/>
  <c r="R39" i="4" s="1"/>
  <c r="P40" i="4"/>
  <c r="R40" i="4" s="1"/>
  <c r="P41" i="4"/>
  <c r="R41" i="4" s="1"/>
  <c r="R43" i="4"/>
  <c r="P44" i="4"/>
  <c r="P45" i="4"/>
  <c r="P48" i="4"/>
  <c r="P50" i="4"/>
  <c r="R52" i="4"/>
  <c r="P53" i="4"/>
  <c r="P54" i="4"/>
  <c r="P55" i="4"/>
  <c r="P57" i="4"/>
  <c r="R58" i="4"/>
  <c r="T73" i="4" l="1"/>
  <c r="T84" i="4"/>
  <c r="T86" i="4"/>
  <c r="T109" i="4"/>
  <c r="T64" i="4"/>
  <c r="T79" i="4"/>
  <c r="T113" i="4"/>
  <c r="T127" i="4"/>
  <c r="T68" i="4"/>
  <c r="T93" i="4"/>
  <c r="T129" i="4"/>
  <c r="T122" i="4"/>
  <c r="R50" i="4"/>
  <c r="M50" i="5" s="1"/>
  <c r="K50" i="5"/>
  <c r="S53" i="4"/>
  <c r="N53" i="5" s="1"/>
  <c r="L53" i="5"/>
  <c r="X64" i="4"/>
  <c r="O64" i="5"/>
  <c r="X129" i="4"/>
  <c r="O129" i="5"/>
  <c r="R55" i="4"/>
  <c r="M55" i="5" s="1"/>
  <c r="K55" i="5"/>
  <c r="S57" i="4"/>
  <c r="N57" i="5" s="1"/>
  <c r="L57" i="5"/>
  <c r="R61" i="4"/>
  <c r="M61" i="5" s="1"/>
  <c r="K61" i="5"/>
  <c r="X113" i="4"/>
  <c r="O113" i="5"/>
  <c r="S49" i="4"/>
  <c r="N49" i="5" s="1"/>
  <c r="L49" i="5"/>
  <c r="R59" i="4"/>
  <c r="M59" i="5" s="1"/>
  <c r="K59" i="5"/>
  <c r="R62" i="4"/>
  <c r="M62" i="5" s="1"/>
  <c r="K62" i="5"/>
  <c r="X63" i="4"/>
  <c r="O63" i="5"/>
  <c r="X73" i="4"/>
  <c r="O73" i="5"/>
  <c r="X81" i="4"/>
  <c r="O81" i="5"/>
  <c r="X84" i="4"/>
  <c r="O84" i="5"/>
  <c r="T98" i="4"/>
  <c r="T105" i="4"/>
  <c r="X118" i="4"/>
  <c r="O118" i="5"/>
  <c r="X109" i="4"/>
  <c r="O109" i="5"/>
  <c r="T114" i="4"/>
  <c r="X70" i="4"/>
  <c r="O70" i="5"/>
  <c r="U67" i="4"/>
  <c r="T67" i="5"/>
  <c r="S54" i="4"/>
  <c r="N54" i="5" s="1"/>
  <c r="L54" i="5"/>
  <c r="S60" i="4"/>
  <c r="N60" i="5" s="1"/>
  <c r="L60" i="5"/>
  <c r="X65" i="4"/>
  <c r="O65" i="5"/>
  <c r="T76" i="4"/>
  <c r="T94" i="4"/>
  <c r="T83" i="4"/>
  <c r="T128" i="4"/>
  <c r="O128" i="5" s="1"/>
  <c r="X125" i="4"/>
  <c r="O125" i="5"/>
  <c r="T106" i="4"/>
  <c r="T119" i="4"/>
  <c r="T116" i="4"/>
  <c r="T104" i="4"/>
  <c r="R103" i="4"/>
  <c r="K103" i="5"/>
  <c r="R89" i="4"/>
  <c r="K89" i="5"/>
  <c r="X122" i="4"/>
  <c r="O122" i="5"/>
  <c r="T121" i="4"/>
  <c r="R57" i="4"/>
  <c r="M57" i="5" s="1"/>
  <c r="K57" i="5"/>
  <c r="S58" i="4"/>
  <c r="N58" i="5" s="1"/>
  <c r="L58" i="5"/>
  <c r="S52" i="4"/>
  <c r="N52" i="5" s="1"/>
  <c r="L52" i="5"/>
  <c r="S61" i="4"/>
  <c r="N61" i="5" s="1"/>
  <c r="L61" i="5"/>
  <c r="T66" i="4"/>
  <c r="T71" i="4"/>
  <c r="T74" i="4"/>
  <c r="T92" i="4"/>
  <c r="R77" i="4"/>
  <c r="K77" i="5"/>
  <c r="X87" i="4"/>
  <c r="O87" i="5"/>
  <c r="X99" i="4"/>
  <c r="O99" i="5"/>
  <c r="X110" i="4"/>
  <c r="O110" i="5"/>
  <c r="T123" i="4"/>
  <c r="T124" i="4"/>
  <c r="T120" i="4"/>
  <c r="R102" i="4"/>
  <c r="K102" i="5"/>
  <c r="X68" i="4"/>
  <c r="O68" i="5"/>
  <c r="X112" i="4"/>
  <c r="O112" i="5"/>
  <c r="R88" i="4"/>
  <c r="K88" i="5"/>
  <c r="R60" i="4"/>
  <c r="M60" i="5" s="1"/>
  <c r="K60" i="5"/>
  <c r="X93" i="4"/>
  <c r="O93" i="5"/>
  <c r="X107" i="4"/>
  <c r="O107" i="5"/>
  <c r="X117" i="4"/>
  <c r="O117" i="5"/>
  <c r="R95" i="4"/>
  <c r="K95" i="5"/>
  <c r="S51" i="4"/>
  <c r="N51" i="5" s="1"/>
  <c r="L51" i="5"/>
  <c r="X69" i="4"/>
  <c r="O69" i="5"/>
  <c r="X96" i="4"/>
  <c r="O96" i="5"/>
  <c r="X126" i="4"/>
  <c r="S126" i="5" s="1"/>
  <c r="O126" i="5"/>
  <c r="R54" i="4"/>
  <c r="M54" i="5" s="1"/>
  <c r="K54" i="5"/>
  <c r="S56" i="4"/>
  <c r="N56" i="5" s="1"/>
  <c r="L56" i="5"/>
  <c r="S50" i="4"/>
  <c r="N50" i="5" s="1"/>
  <c r="L50" i="5"/>
  <c r="S59" i="4"/>
  <c r="N59" i="5" s="1"/>
  <c r="L59" i="5"/>
  <c r="S62" i="4"/>
  <c r="N62" i="5" s="1"/>
  <c r="L62" i="5"/>
  <c r="V67" i="4"/>
  <c r="Q67" i="5" s="1"/>
  <c r="T72" i="4"/>
  <c r="T80" i="4"/>
  <c r="T90" i="4"/>
  <c r="T97" i="4"/>
  <c r="T82" i="4"/>
  <c r="T101" i="4"/>
  <c r="T115" i="4"/>
  <c r="T108" i="4"/>
  <c r="T111" i="4"/>
  <c r="R85" i="4"/>
  <c r="K85" i="5"/>
  <c r="X75" i="4"/>
  <c r="O75" i="5"/>
  <c r="X79" i="4"/>
  <c r="O79" i="5"/>
  <c r="R91" i="4"/>
  <c r="K91" i="5"/>
  <c r="X86" i="4"/>
  <c r="O86" i="5"/>
  <c r="X100" i="4"/>
  <c r="O100" i="5"/>
  <c r="X127" i="4"/>
  <c r="O127" i="5"/>
  <c r="R53" i="4"/>
  <c r="M53" i="5" s="1"/>
  <c r="K53" i="5"/>
  <c r="S55" i="4"/>
  <c r="N55" i="5" s="1"/>
  <c r="L55" i="5"/>
  <c r="X78" i="4"/>
  <c r="O78" i="5"/>
  <c r="N58" i="4"/>
  <c r="M58" i="4"/>
  <c r="O56" i="4"/>
  <c r="N56" i="4"/>
  <c r="P56" i="4"/>
  <c r="Y126" i="4"/>
  <c r="X128" i="4"/>
  <c r="R48" i="4"/>
  <c r="M48" i="5" s="1"/>
  <c r="K48" i="5"/>
  <c r="R44" i="4"/>
  <c r="M44" i="5" s="1"/>
  <c r="K44" i="5"/>
  <c r="S48" i="4"/>
  <c r="N48" i="5" s="1"/>
  <c r="L48" i="5"/>
  <c r="S46" i="4"/>
  <c r="N46" i="5" s="1"/>
  <c r="L46" i="5"/>
  <c r="S44" i="4"/>
  <c r="N44" i="5" s="1"/>
  <c r="L44" i="5"/>
  <c r="R45" i="4"/>
  <c r="M45" i="5" s="1"/>
  <c r="K45" i="5"/>
  <c r="S47" i="4"/>
  <c r="N47" i="5" s="1"/>
  <c r="L47" i="5"/>
  <c r="S45" i="4"/>
  <c r="N45" i="5" s="1"/>
  <c r="L45" i="5"/>
  <c r="T61" i="4"/>
  <c r="T59" i="4"/>
  <c r="T60" i="4"/>
  <c r="T62" i="4"/>
  <c r="T54" i="4"/>
  <c r="T38" i="4"/>
  <c r="X38" i="4" s="1"/>
  <c r="Y38" i="4" s="1"/>
  <c r="Z38" i="4" s="1"/>
  <c r="T34" i="4"/>
  <c r="X34" i="4" s="1"/>
  <c r="Y34" i="4" s="1"/>
  <c r="Z34" i="4" s="1"/>
  <c r="T30" i="4"/>
  <c r="X30" i="4" s="1"/>
  <c r="Y30" i="4" s="1"/>
  <c r="Z30" i="4" s="1"/>
  <c r="T26" i="4"/>
  <c r="X26" i="4" s="1"/>
  <c r="Y26" i="4" s="1"/>
  <c r="Z26" i="4" s="1"/>
  <c r="T22" i="4"/>
  <c r="X22" i="4" s="1"/>
  <c r="Y22" i="4" s="1"/>
  <c r="Z22" i="4" s="1"/>
  <c r="T18" i="4"/>
  <c r="X18" i="4" s="1"/>
  <c r="Y18" i="4" s="1"/>
  <c r="Z18" i="4" s="1"/>
  <c r="T14" i="4"/>
  <c r="X14" i="4" s="1"/>
  <c r="Y14" i="4" s="1"/>
  <c r="Z14" i="4" s="1"/>
  <c r="T10" i="4"/>
  <c r="X10" i="4" s="1"/>
  <c r="Y10" i="4" s="1"/>
  <c r="Z10" i="4" s="1"/>
  <c r="T52" i="4"/>
  <c r="T40" i="4"/>
  <c r="X40" i="4" s="1"/>
  <c r="Y40" i="4" s="1"/>
  <c r="Z40" i="4" s="1"/>
  <c r="T36" i="4"/>
  <c r="X36" i="4" s="1"/>
  <c r="Y36" i="4" s="1"/>
  <c r="Z36" i="4" s="1"/>
  <c r="T28" i="4"/>
  <c r="X28" i="4" s="1"/>
  <c r="Y28" i="4" s="1"/>
  <c r="Z28" i="4" s="1"/>
  <c r="T24" i="4"/>
  <c r="X24" i="4" s="1"/>
  <c r="Y24" i="4" s="1"/>
  <c r="Z24" i="4" s="1"/>
  <c r="T20" i="4"/>
  <c r="X20" i="4" s="1"/>
  <c r="Y20" i="4" s="1"/>
  <c r="Z20" i="4" s="1"/>
  <c r="T12" i="4"/>
  <c r="X12" i="4" s="1"/>
  <c r="Y12" i="4" s="1"/>
  <c r="Z12" i="4" s="1"/>
  <c r="T41" i="4"/>
  <c r="X41" i="4" s="1"/>
  <c r="Y41" i="4" s="1"/>
  <c r="Z41" i="4" s="1"/>
  <c r="T37" i="4"/>
  <c r="X37" i="4" s="1"/>
  <c r="Y37" i="4" s="1"/>
  <c r="Z37" i="4" s="1"/>
  <c r="T33" i="4"/>
  <c r="X33" i="4" s="1"/>
  <c r="Y33" i="4" s="1"/>
  <c r="Z33" i="4" s="1"/>
  <c r="T29" i="4"/>
  <c r="X29" i="4" s="1"/>
  <c r="Y29" i="4" s="1"/>
  <c r="Z29" i="4" s="1"/>
  <c r="T25" i="4"/>
  <c r="X25" i="4" s="1"/>
  <c r="Y25" i="4" s="1"/>
  <c r="Z25" i="4" s="1"/>
  <c r="T21" i="4"/>
  <c r="X21" i="4" s="1"/>
  <c r="Y21" i="4" s="1"/>
  <c r="Z21" i="4" s="1"/>
  <c r="T17" i="4"/>
  <c r="T13" i="4"/>
  <c r="X13" i="4" s="1"/>
  <c r="Y13" i="4" s="1"/>
  <c r="Z13" i="4" s="1"/>
  <c r="T9" i="4"/>
  <c r="X9" i="4" s="1"/>
  <c r="Y9" i="4" s="1"/>
  <c r="Z9" i="4" s="1"/>
  <c r="T58" i="4"/>
  <c r="T55" i="4"/>
  <c r="T43" i="4"/>
  <c r="X43" i="4" s="1"/>
  <c r="Y43" i="4" s="1"/>
  <c r="Z43" i="4" s="1"/>
  <c r="T39" i="4"/>
  <c r="X39" i="4" s="1"/>
  <c r="Y39" i="4" s="1"/>
  <c r="Z39" i="4" s="1"/>
  <c r="T35" i="4"/>
  <c r="X35" i="4" s="1"/>
  <c r="Y35" i="4" s="1"/>
  <c r="Z35" i="4" s="1"/>
  <c r="T31" i="4"/>
  <c r="X31" i="4" s="1"/>
  <c r="Y31" i="4" s="1"/>
  <c r="Z31" i="4" s="1"/>
  <c r="T27" i="4"/>
  <c r="X27" i="4" s="1"/>
  <c r="Y27" i="4" s="1"/>
  <c r="Z27" i="4" s="1"/>
  <c r="T23" i="4"/>
  <c r="X23" i="4" s="1"/>
  <c r="Y23" i="4" s="1"/>
  <c r="Z23" i="4" s="1"/>
  <c r="T19" i="4"/>
  <c r="X19" i="4" s="1"/>
  <c r="Y19" i="4" s="1"/>
  <c r="Z19" i="4" s="1"/>
  <c r="T15" i="4"/>
  <c r="X15" i="4" s="1"/>
  <c r="Y15" i="4" s="1"/>
  <c r="Z15" i="4" s="1"/>
  <c r="T11" i="4"/>
  <c r="X11" i="4" s="1"/>
  <c r="Y11" i="4" s="1"/>
  <c r="Z11" i="4" s="1"/>
  <c r="T57" i="4"/>
  <c r="T53" i="4" l="1"/>
  <c r="T50" i="4"/>
  <c r="X53" i="4"/>
  <c r="O53" i="5"/>
  <c r="X62" i="4"/>
  <c r="O62" i="5"/>
  <c r="X55" i="4"/>
  <c r="O55" i="5"/>
  <c r="X52" i="4"/>
  <c r="O52" i="5"/>
  <c r="X60" i="4"/>
  <c r="O60" i="5"/>
  <c r="Y100" i="4"/>
  <c r="S100" i="5"/>
  <c r="Y79" i="4"/>
  <c r="S79" i="5"/>
  <c r="X108" i="4"/>
  <c r="O108" i="5"/>
  <c r="X80" i="4"/>
  <c r="O80" i="5"/>
  <c r="Y69" i="4"/>
  <c r="S69" i="5"/>
  <c r="Y117" i="4"/>
  <c r="S117" i="5"/>
  <c r="Y68" i="4"/>
  <c r="S68" i="5"/>
  <c r="T89" i="4"/>
  <c r="M89" i="5"/>
  <c r="X106" i="4"/>
  <c r="O106" i="5"/>
  <c r="X76" i="4"/>
  <c r="O76" i="5"/>
  <c r="X58" i="4"/>
  <c r="O58" i="5"/>
  <c r="X59" i="4"/>
  <c r="O59" i="5"/>
  <c r="U126" i="4"/>
  <c r="T126" i="5"/>
  <c r="X115" i="4"/>
  <c r="O115" i="5"/>
  <c r="X72" i="4"/>
  <c r="O72" i="5"/>
  <c r="Y110" i="4"/>
  <c r="S110" i="5"/>
  <c r="T77" i="4"/>
  <c r="M77" i="5"/>
  <c r="Y109" i="4"/>
  <c r="S109" i="5"/>
  <c r="Y84" i="4"/>
  <c r="S84" i="5"/>
  <c r="Y63" i="4"/>
  <c r="S63" i="5"/>
  <c r="Y64" i="4"/>
  <c r="S64" i="5"/>
  <c r="X61" i="4"/>
  <c r="O61" i="5"/>
  <c r="Y86" i="4"/>
  <c r="S86" i="5"/>
  <c r="Y75" i="4"/>
  <c r="S75" i="5"/>
  <c r="X101" i="4"/>
  <c r="O101" i="5"/>
  <c r="Y107" i="4"/>
  <c r="S107" i="5"/>
  <c r="T88" i="4"/>
  <c r="M88" i="5"/>
  <c r="T102" i="4"/>
  <c r="M102" i="5"/>
  <c r="X92" i="4"/>
  <c r="O92" i="5"/>
  <c r="X121" i="4"/>
  <c r="O121" i="5"/>
  <c r="T103" i="4"/>
  <c r="M103" i="5"/>
  <c r="Y125" i="4"/>
  <c r="S125" i="5"/>
  <c r="Y65" i="4"/>
  <c r="S65" i="5"/>
  <c r="P67" i="5"/>
  <c r="W67" i="4"/>
  <c r="R67" i="5" s="1"/>
  <c r="X50" i="4"/>
  <c r="O50" i="5"/>
  <c r="X82" i="4"/>
  <c r="O82" i="5"/>
  <c r="X120" i="4"/>
  <c r="O120" i="5"/>
  <c r="Y99" i="4"/>
  <c r="S99" i="5"/>
  <c r="X74" i="4"/>
  <c r="O74" i="5"/>
  <c r="X104" i="4"/>
  <c r="O104" i="5"/>
  <c r="Y118" i="4"/>
  <c r="S118" i="5"/>
  <c r="Y81" i="4"/>
  <c r="S81" i="5"/>
  <c r="Y113" i="4"/>
  <c r="S113" i="5"/>
  <c r="X57" i="4"/>
  <c r="O57" i="5"/>
  <c r="X54" i="4"/>
  <c r="O54" i="5"/>
  <c r="R56" i="4"/>
  <c r="K56" i="5"/>
  <c r="Y78" i="4"/>
  <c r="S78" i="5"/>
  <c r="Y127" i="4"/>
  <c r="S127" i="5"/>
  <c r="T91" i="4"/>
  <c r="M91" i="5"/>
  <c r="T85" i="4"/>
  <c r="M85" i="5"/>
  <c r="X97" i="4"/>
  <c r="O97" i="5"/>
  <c r="Y96" i="4"/>
  <c r="S96" i="5"/>
  <c r="T95" i="4"/>
  <c r="M95" i="5"/>
  <c r="Y93" i="4"/>
  <c r="S93" i="5"/>
  <c r="Y112" i="4"/>
  <c r="S112" i="5"/>
  <c r="X124" i="4"/>
  <c r="O124" i="5"/>
  <c r="X71" i="4"/>
  <c r="O71" i="5"/>
  <c r="Y122" i="4"/>
  <c r="S122" i="5"/>
  <c r="X116" i="4"/>
  <c r="O116" i="5"/>
  <c r="X83" i="4"/>
  <c r="O83" i="5"/>
  <c r="Y70" i="4"/>
  <c r="S70" i="5"/>
  <c r="X105" i="4"/>
  <c r="O105" i="5"/>
  <c r="Y128" i="4"/>
  <c r="T128" i="5" s="1"/>
  <c r="S128" i="5"/>
  <c r="X111" i="4"/>
  <c r="O111" i="5"/>
  <c r="X90" i="4"/>
  <c r="O90" i="5"/>
  <c r="X123" i="4"/>
  <c r="O123" i="5"/>
  <c r="Y87" i="4"/>
  <c r="S87" i="5"/>
  <c r="X66" i="4"/>
  <c r="O66" i="5"/>
  <c r="X119" i="4"/>
  <c r="O119" i="5"/>
  <c r="X94" i="4"/>
  <c r="O94" i="5"/>
  <c r="X114" i="4"/>
  <c r="O114" i="5"/>
  <c r="X98" i="4"/>
  <c r="O98" i="5"/>
  <c r="Y73" i="4"/>
  <c r="S73" i="5"/>
  <c r="Y129" i="4"/>
  <c r="S129" i="5"/>
  <c r="T48" i="4"/>
  <c r="X48" i="4" s="1"/>
  <c r="Z126" i="4"/>
  <c r="U126" i="5" s="1"/>
  <c r="V126" i="4"/>
  <c r="Q126" i="5" s="1"/>
  <c r="Z128" i="4"/>
  <c r="U128" i="5" s="1"/>
  <c r="V128" i="4"/>
  <c r="Q128" i="5" s="1"/>
  <c r="T45" i="4"/>
  <c r="O45" i="5" s="1"/>
  <c r="T44" i="4"/>
  <c r="X44" i="4" s="1"/>
  <c r="V73" i="4" l="1"/>
  <c r="Q73" i="5" s="1"/>
  <c r="T73" i="5"/>
  <c r="Z73" i="4"/>
  <c r="U73" i="5" s="1"/>
  <c r="U73" i="4"/>
  <c r="Y94" i="4"/>
  <c r="S94" i="5"/>
  <c r="U87" i="4"/>
  <c r="T87" i="5"/>
  <c r="Z87" i="4"/>
  <c r="U87" i="5" s="1"/>
  <c r="V87" i="4"/>
  <c r="Q87" i="5" s="1"/>
  <c r="Y111" i="4"/>
  <c r="S111" i="5"/>
  <c r="V70" i="4"/>
  <c r="Q70" i="5" s="1"/>
  <c r="T70" i="5"/>
  <c r="Z70" i="4"/>
  <c r="U70" i="5" s="1"/>
  <c r="U70" i="4"/>
  <c r="Z122" i="4"/>
  <c r="U122" i="5" s="1"/>
  <c r="T122" i="5"/>
  <c r="V122" i="4"/>
  <c r="Q122" i="5" s="1"/>
  <c r="U122" i="4"/>
  <c r="V112" i="4"/>
  <c r="Q112" i="5" s="1"/>
  <c r="T112" i="5"/>
  <c r="U112" i="4"/>
  <c r="Z112" i="4"/>
  <c r="U112" i="5" s="1"/>
  <c r="V96" i="4"/>
  <c r="Q96" i="5" s="1"/>
  <c r="T96" i="5"/>
  <c r="U96" i="4"/>
  <c r="Z96" i="4"/>
  <c r="U96" i="5" s="1"/>
  <c r="X91" i="4"/>
  <c r="O91" i="5"/>
  <c r="T56" i="4"/>
  <c r="M56" i="5"/>
  <c r="Z113" i="4"/>
  <c r="U113" i="5" s="1"/>
  <c r="T113" i="5"/>
  <c r="V113" i="4"/>
  <c r="Q113" i="5" s="1"/>
  <c r="U113" i="4"/>
  <c r="Y104" i="4"/>
  <c r="S104" i="5"/>
  <c r="Y120" i="4"/>
  <c r="S120" i="5"/>
  <c r="X103" i="4"/>
  <c r="O103" i="5"/>
  <c r="X102" i="4"/>
  <c r="O102" i="5"/>
  <c r="Y101" i="4"/>
  <c r="S101" i="5"/>
  <c r="Y61" i="4"/>
  <c r="S61" i="5"/>
  <c r="U84" i="4"/>
  <c r="T84" i="5"/>
  <c r="V84" i="4"/>
  <c r="Q84" i="5" s="1"/>
  <c r="Z84" i="4"/>
  <c r="U84" i="5" s="1"/>
  <c r="Z110" i="4"/>
  <c r="U110" i="5" s="1"/>
  <c r="T110" i="5"/>
  <c r="V110" i="4"/>
  <c r="Q110" i="5" s="1"/>
  <c r="U110" i="4"/>
  <c r="W126" i="4"/>
  <c r="R126" i="5" s="1"/>
  <c r="P126" i="5"/>
  <c r="Y76" i="4"/>
  <c r="S76" i="5"/>
  <c r="U68" i="4"/>
  <c r="T68" i="5"/>
  <c r="V68" i="4"/>
  <c r="Q68" i="5" s="1"/>
  <c r="Z68" i="4"/>
  <c r="U68" i="5" s="1"/>
  <c r="Y80" i="4"/>
  <c r="S80" i="5"/>
  <c r="V100" i="4"/>
  <c r="Q100" i="5" s="1"/>
  <c r="T100" i="5"/>
  <c r="Z100" i="4"/>
  <c r="U100" i="5" s="1"/>
  <c r="U100" i="4"/>
  <c r="Y55" i="4"/>
  <c r="S55" i="5"/>
  <c r="Y98" i="4"/>
  <c r="S98" i="5"/>
  <c r="Y123" i="4"/>
  <c r="S123" i="5"/>
  <c r="Y83" i="4"/>
  <c r="S83" i="5"/>
  <c r="Y71" i="4"/>
  <c r="S71" i="5"/>
  <c r="U93" i="4"/>
  <c r="T93" i="5"/>
  <c r="V93" i="4"/>
  <c r="Q93" i="5" s="1"/>
  <c r="Z93" i="4"/>
  <c r="U93" i="5" s="1"/>
  <c r="Y97" i="4"/>
  <c r="S97" i="5"/>
  <c r="U127" i="4"/>
  <c r="T127" i="5"/>
  <c r="V127" i="4"/>
  <c r="Q127" i="5" s="1"/>
  <c r="Z127" i="4"/>
  <c r="U127" i="5" s="1"/>
  <c r="Y54" i="4"/>
  <c r="S54" i="5"/>
  <c r="V81" i="4"/>
  <c r="Q81" i="5" s="1"/>
  <c r="T81" i="5"/>
  <c r="U81" i="4"/>
  <c r="Z81" i="4"/>
  <c r="U81" i="5" s="1"/>
  <c r="Y74" i="4"/>
  <c r="S74" i="5"/>
  <c r="Y82" i="4"/>
  <c r="S82" i="5"/>
  <c r="U65" i="4"/>
  <c r="T65" i="5"/>
  <c r="V65" i="4"/>
  <c r="Q65" i="5" s="1"/>
  <c r="Z65" i="4"/>
  <c r="U65" i="5" s="1"/>
  <c r="Y121" i="4"/>
  <c r="S121" i="5"/>
  <c r="X88" i="4"/>
  <c r="O88" i="5"/>
  <c r="U75" i="4"/>
  <c r="T75" i="5"/>
  <c r="V75" i="4"/>
  <c r="Q75" i="5" s="1"/>
  <c r="Z75" i="4"/>
  <c r="U75" i="5" s="1"/>
  <c r="U64" i="4"/>
  <c r="T64" i="5"/>
  <c r="Z64" i="4"/>
  <c r="U64" i="5" s="1"/>
  <c r="V64" i="4"/>
  <c r="Q64" i="5" s="1"/>
  <c r="V109" i="4"/>
  <c r="Q109" i="5" s="1"/>
  <c r="T109" i="5"/>
  <c r="Z109" i="4"/>
  <c r="U109" i="5" s="1"/>
  <c r="U109" i="4"/>
  <c r="Y72" i="4"/>
  <c r="S72" i="5"/>
  <c r="Y59" i="4"/>
  <c r="S59" i="5"/>
  <c r="Y106" i="4"/>
  <c r="S106" i="5"/>
  <c r="Z117" i="4"/>
  <c r="U117" i="5" s="1"/>
  <c r="T117" i="5"/>
  <c r="V117" i="4"/>
  <c r="Q117" i="5" s="1"/>
  <c r="U117" i="4"/>
  <c r="Y108" i="4"/>
  <c r="S108" i="5"/>
  <c r="Y60" i="4"/>
  <c r="S60" i="5"/>
  <c r="Y62" i="4"/>
  <c r="S62" i="5"/>
  <c r="Y119" i="4"/>
  <c r="S119" i="5"/>
  <c r="U128" i="4"/>
  <c r="U129" i="4"/>
  <c r="T129" i="5"/>
  <c r="Z129" i="4"/>
  <c r="U129" i="5" s="1"/>
  <c r="V129" i="4"/>
  <c r="Q129" i="5" s="1"/>
  <c r="Y114" i="4"/>
  <c r="S114" i="5"/>
  <c r="Y66" i="4"/>
  <c r="S66" i="5"/>
  <c r="Y90" i="4"/>
  <c r="S90" i="5"/>
  <c r="Y105" i="4"/>
  <c r="S105" i="5"/>
  <c r="Y116" i="4"/>
  <c r="S116" i="5"/>
  <c r="Y124" i="4"/>
  <c r="S124" i="5"/>
  <c r="X95" i="4"/>
  <c r="O95" i="5"/>
  <c r="X85" i="4"/>
  <c r="O85" i="5"/>
  <c r="U78" i="4"/>
  <c r="T78" i="5"/>
  <c r="V78" i="4"/>
  <c r="Q78" i="5" s="1"/>
  <c r="Z78" i="4"/>
  <c r="U78" i="5" s="1"/>
  <c r="Y57" i="4"/>
  <c r="S57" i="5"/>
  <c r="Z118" i="4"/>
  <c r="U118" i="5" s="1"/>
  <c r="T118" i="5"/>
  <c r="V118" i="4"/>
  <c r="Q118" i="5" s="1"/>
  <c r="U118" i="4"/>
  <c r="V99" i="4"/>
  <c r="Q99" i="5" s="1"/>
  <c r="T99" i="5"/>
  <c r="U99" i="4"/>
  <c r="Z99" i="4"/>
  <c r="U99" i="5" s="1"/>
  <c r="Y50" i="4"/>
  <c r="S50" i="5"/>
  <c r="V125" i="4"/>
  <c r="Q125" i="5" s="1"/>
  <c r="T125" i="5"/>
  <c r="U125" i="4"/>
  <c r="Z125" i="4"/>
  <c r="U125" i="5" s="1"/>
  <c r="Y92" i="4"/>
  <c r="S92" i="5"/>
  <c r="V107" i="4"/>
  <c r="Q107" i="5" s="1"/>
  <c r="T107" i="5"/>
  <c r="Z107" i="4"/>
  <c r="U107" i="5" s="1"/>
  <c r="U107" i="4"/>
  <c r="U86" i="4"/>
  <c r="T86" i="5"/>
  <c r="Z86" i="4"/>
  <c r="U86" i="5" s="1"/>
  <c r="V86" i="4"/>
  <c r="Q86" i="5" s="1"/>
  <c r="U63" i="4"/>
  <c r="T63" i="5"/>
  <c r="Z63" i="4"/>
  <c r="U63" i="5" s="1"/>
  <c r="V63" i="4"/>
  <c r="Q63" i="5" s="1"/>
  <c r="X77" i="4"/>
  <c r="O77" i="5"/>
  <c r="Y115" i="4"/>
  <c r="S115" i="5"/>
  <c r="Y58" i="4"/>
  <c r="S58" i="5"/>
  <c r="X89" i="4"/>
  <c r="O89" i="5"/>
  <c r="V69" i="4"/>
  <c r="Q69" i="5" s="1"/>
  <c r="T69" i="5"/>
  <c r="Z69" i="4"/>
  <c r="U69" i="5" s="1"/>
  <c r="U69" i="4"/>
  <c r="U79" i="4"/>
  <c r="T79" i="5"/>
  <c r="V79" i="4"/>
  <c r="Q79" i="5" s="1"/>
  <c r="Z79" i="4"/>
  <c r="U79" i="5" s="1"/>
  <c r="Y52" i="4"/>
  <c r="S52" i="5"/>
  <c r="Y53" i="4"/>
  <c r="S53" i="5"/>
  <c r="O48" i="5"/>
  <c r="O44" i="5"/>
  <c r="X45" i="4"/>
  <c r="Y45" i="4" s="1"/>
  <c r="Y48" i="4"/>
  <c r="S48" i="5"/>
  <c r="Y44" i="4"/>
  <c r="S44" i="5"/>
  <c r="H49" i="4"/>
  <c r="V57" i="4"/>
  <c r="Q57" i="5" s="1"/>
  <c r="V55" i="4"/>
  <c r="Q55" i="5" s="1"/>
  <c r="H51" i="4"/>
  <c r="U59" i="4" l="1"/>
  <c r="T59" i="5"/>
  <c r="Z59" i="4"/>
  <c r="U59" i="5" s="1"/>
  <c r="V59" i="4"/>
  <c r="Q59" i="5" s="1"/>
  <c r="Z52" i="4"/>
  <c r="U52" i="5" s="1"/>
  <c r="T52" i="5"/>
  <c r="Z58" i="4"/>
  <c r="U58" i="5" s="1"/>
  <c r="T58" i="5"/>
  <c r="W86" i="4"/>
  <c r="R86" i="5" s="1"/>
  <c r="P86" i="5"/>
  <c r="U92" i="4"/>
  <c r="T92" i="5"/>
  <c r="V92" i="4"/>
  <c r="Q92" i="5" s="1"/>
  <c r="Z92" i="4"/>
  <c r="U92" i="5" s="1"/>
  <c r="Z50" i="4"/>
  <c r="U50" i="5" s="1"/>
  <c r="T50" i="5"/>
  <c r="Y95" i="4"/>
  <c r="S95" i="5"/>
  <c r="V105" i="4"/>
  <c r="Q105" i="5" s="1"/>
  <c r="T105" i="5"/>
  <c r="Z105" i="4"/>
  <c r="U105" i="5" s="1"/>
  <c r="U105" i="4"/>
  <c r="Z114" i="4"/>
  <c r="U114" i="5" s="1"/>
  <c r="T114" i="5"/>
  <c r="V114" i="4"/>
  <c r="Q114" i="5" s="1"/>
  <c r="U114" i="4"/>
  <c r="W109" i="4"/>
  <c r="R109" i="5" s="1"/>
  <c r="P109" i="5"/>
  <c r="W113" i="4"/>
  <c r="R113" i="5" s="1"/>
  <c r="P113" i="5"/>
  <c r="W107" i="4"/>
  <c r="R107" i="5" s="1"/>
  <c r="P107" i="5"/>
  <c r="Z119" i="4"/>
  <c r="U119" i="5" s="1"/>
  <c r="T119" i="5"/>
  <c r="U119" i="4"/>
  <c r="V119" i="4"/>
  <c r="Q119" i="5" s="1"/>
  <c r="V108" i="4"/>
  <c r="Q108" i="5" s="1"/>
  <c r="T108" i="5"/>
  <c r="U108" i="4"/>
  <c r="Z108" i="4"/>
  <c r="U108" i="5" s="1"/>
  <c r="Z106" i="4"/>
  <c r="U106" i="5" s="1"/>
  <c r="T106" i="5"/>
  <c r="V106" i="4"/>
  <c r="Q106" i="5" s="1"/>
  <c r="U106" i="4"/>
  <c r="W64" i="4"/>
  <c r="R64" i="5" s="1"/>
  <c r="P64" i="5"/>
  <c r="Y88" i="4"/>
  <c r="S88" i="5"/>
  <c r="W65" i="4"/>
  <c r="R65" i="5" s="1"/>
  <c r="P65" i="5"/>
  <c r="W81" i="4"/>
  <c r="R81" i="5" s="1"/>
  <c r="P81" i="5"/>
  <c r="U83" i="4"/>
  <c r="T83" i="5"/>
  <c r="Z83" i="4"/>
  <c r="U83" i="5" s="1"/>
  <c r="V83" i="4"/>
  <c r="Q83" i="5" s="1"/>
  <c r="Z55" i="4"/>
  <c r="U55" i="5" s="1"/>
  <c r="T55" i="5"/>
  <c r="U55" i="4"/>
  <c r="U80" i="4"/>
  <c r="T80" i="5"/>
  <c r="V80" i="4"/>
  <c r="Q80" i="5" s="1"/>
  <c r="Z80" i="4"/>
  <c r="U80" i="5" s="1"/>
  <c r="U76" i="4"/>
  <c r="T76" i="5"/>
  <c r="V76" i="4"/>
  <c r="Q76" i="5" s="1"/>
  <c r="Z76" i="4"/>
  <c r="U76" i="5" s="1"/>
  <c r="U61" i="4"/>
  <c r="T61" i="5"/>
  <c r="Z61" i="4"/>
  <c r="U61" i="5" s="1"/>
  <c r="V61" i="4"/>
  <c r="Q61" i="5" s="1"/>
  <c r="Y103" i="4"/>
  <c r="S103" i="5"/>
  <c r="Y91" i="4"/>
  <c r="S91" i="5"/>
  <c r="W112" i="4"/>
  <c r="R112" i="5" s="1"/>
  <c r="P112" i="5"/>
  <c r="T111" i="5"/>
  <c r="Z111" i="4"/>
  <c r="U111" i="5" s="1"/>
  <c r="V111" i="4"/>
  <c r="Q111" i="5" s="1"/>
  <c r="U111" i="4"/>
  <c r="V94" i="4"/>
  <c r="Q94" i="5" s="1"/>
  <c r="T94" i="5"/>
  <c r="Z94" i="4"/>
  <c r="U94" i="5" s="1"/>
  <c r="U94" i="4"/>
  <c r="T115" i="5"/>
  <c r="U115" i="4"/>
  <c r="Z115" i="4"/>
  <c r="U115" i="5" s="1"/>
  <c r="V115" i="4"/>
  <c r="Q115" i="5" s="1"/>
  <c r="W63" i="4"/>
  <c r="R63" i="5" s="1"/>
  <c r="P63" i="5"/>
  <c r="W125" i="4"/>
  <c r="R125" i="5" s="1"/>
  <c r="P125" i="5"/>
  <c r="W99" i="4"/>
  <c r="R99" i="5" s="1"/>
  <c r="P99" i="5"/>
  <c r="W78" i="4"/>
  <c r="R78" i="5" s="1"/>
  <c r="P78" i="5"/>
  <c r="V124" i="4"/>
  <c r="Q124" i="5" s="1"/>
  <c r="T124" i="5"/>
  <c r="Z124" i="4"/>
  <c r="U124" i="5" s="1"/>
  <c r="U124" i="4"/>
  <c r="U90" i="4"/>
  <c r="T90" i="5"/>
  <c r="Z90" i="4"/>
  <c r="U90" i="5" s="1"/>
  <c r="V90" i="4"/>
  <c r="Q90" i="5" s="1"/>
  <c r="W117" i="4"/>
  <c r="R117" i="5" s="1"/>
  <c r="P117" i="5"/>
  <c r="W100" i="4"/>
  <c r="R100" i="5" s="1"/>
  <c r="P100" i="5"/>
  <c r="W70" i="4"/>
  <c r="R70" i="5" s="1"/>
  <c r="P70" i="5"/>
  <c r="W73" i="4"/>
  <c r="R73" i="5" s="1"/>
  <c r="P73" i="5"/>
  <c r="Z121" i="4"/>
  <c r="U121" i="5" s="1"/>
  <c r="T121" i="5"/>
  <c r="U121" i="4"/>
  <c r="V121" i="4"/>
  <c r="Q121" i="5" s="1"/>
  <c r="U82" i="4"/>
  <c r="T82" i="5"/>
  <c r="V82" i="4"/>
  <c r="Q82" i="5" s="1"/>
  <c r="Z82" i="4"/>
  <c r="U82" i="5" s="1"/>
  <c r="W127" i="4"/>
  <c r="R127" i="5" s="1"/>
  <c r="P127" i="5"/>
  <c r="W93" i="4"/>
  <c r="R93" i="5" s="1"/>
  <c r="P93" i="5"/>
  <c r="V123" i="4"/>
  <c r="Q123" i="5" s="1"/>
  <c r="T123" i="5"/>
  <c r="Z123" i="4"/>
  <c r="U123" i="5" s="1"/>
  <c r="U123" i="4"/>
  <c r="V101" i="4"/>
  <c r="Q101" i="5" s="1"/>
  <c r="T101" i="5"/>
  <c r="Z101" i="4"/>
  <c r="U101" i="5" s="1"/>
  <c r="U101" i="4"/>
  <c r="T120" i="5"/>
  <c r="V120" i="4"/>
  <c r="Q120" i="5" s="1"/>
  <c r="U120" i="4"/>
  <c r="Z120" i="4"/>
  <c r="U120" i="5" s="1"/>
  <c r="W96" i="4"/>
  <c r="R96" i="5" s="1"/>
  <c r="P96" i="5"/>
  <c r="V62" i="4"/>
  <c r="Q62" i="5" s="1"/>
  <c r="T62" i="5"/>
  <c r="U62" i="4"/>
  <c r="Z62" i="4"/>
  <c r="U62" i="5" s="1"/>
  <c r="Z57" i="4"/>
  <c r="U57" i="5" s="1"/>
  <c r="T57" i="5"/>
  <c r="U57" i="4"/>
  <c r="Y85" i="4"/>
  <c r="S85" i="5"/>
  <c r="Z116" i="4"/>
  <c r="U116" i="5" s="1"/>
  <c r="T116" i="5"/>
  <c r="V116" i="4"/>
  <c r="Q116" i="5" s="1"/>
  <c r="U116" i="4"/>
  <c r="V66" i="4"/>
  <c r="Q66" i="5" s="1"/>
  <c r="T66" i="5"/>
  <c r="Z66" i="4"/>
  <c r="U66" i="5" s="1"/>
  <c r="U66" i="4"/>
  <c r="W129" i="4"/>
  <c r="R129" i="5" s="1"/>
  <c r="P129" i="5"/>
  <c r="W110" i="4"/>
  <c r="R110" i="5" s="1"/>
  <c r="P110" i="5"/>
  <c r="W122" i="4"/>
  <c r="R122" i="5" s="1"/>
  <c r="P122" i="5"/>
  <c r="Z53" i="4"/>
  <c r="U53" i="5" s="1"/>
  <c r="T53" i="5"/>
  <c r="W79" i="4"/>
  <c r="R79" i="5" s="1"/>
  <c r="P79" i="5"/>
  <c r="Y89" i="4"/>
  <c r="S89" i="5"/>
  <c r="Y77" i="4"/>
  <c r="S77" i="5"/>
  <c r="W69" i="4"/>
  <c r="R69" i="5" s="1"/>
  <c r="P69" i="5"/>
  <c r="W118" i="4"/>
  <c r="R118" i="5" s="1"/>
  <c r="P118" i="5"/>
  <c r="W128" i="4"/>
  <c r="R128" i="5" s="1"/>
  <c r="P128" i="5"/>
  <c r="U60" i="4"/>
  <c r="T60" i="5"/>
  <c r="Z60" i="4"/>
  <c r="U60" i="5" s="1"/>
  <c r="V60" i="4"/>
  <c r="Q60" i="5" s="1"/>
  <c r="U72" i="4"/>
  <c r="T72" i="5"/>
  <c r="V72" i="4"/>
  <c r="Q72" i="5" s="1"/>
  <c r="Z72" i="4"/>
  <c r="U72" i="5" s="1"/>
  <c r="W75" i="4"/>
  <c r="R75" i="5" s="1"/>
  <c r="P75" i="5"/>
  <c r="U74" i="4"/>
  <c r="T74" i="5"/>
  <c r="Z74" i="4"/>
  <c r="U74" i="5" s="1"/>
  <c r="V74" i="4"/>
  <c r="Q74" i="5" s="1"/>
  <c r="Z54" i="4"/>
  <c r="U54" i="5" s="1"/>
  <c r="T54" i="5"/>
  <c r="V97" i="4"/>
  <c r="Q97" i="5" s="1"/>
  <c r="T97" i="5"/>
  <c r="Z97" i="4"/>
  <c r="U97" i="5" s="1"/>
  <c r="U97" i="4"/>
  <c r="U71" i="4"/>
  <c r="T71" i="5"/>
  <c r="Z71" i="4"/>
  <c r="U71" i="5" s="1"/>
  <c r="V71" i="4"/>
  <c r="Q71" i="5" s="1"/>
  <c r="V98" i="4"/>
  <c r="Q98" i="5" s="1"/>
  <c r="T98" i="5"/>
  <c r="Z98" i="4"/>
  <c r="U98" i="5" s="1"/>
  <c r="U98" i="4"/>
  <c r="W68" i="4"/>
  <c r="R68" i="5" s="1"/>
  <c r="P68" i="5"/>
  <c r="W84" i="4"/>
  <c r="R84" i="5" s="1"/>
  <c r="P84" i="5"/>
  <c r="Y102" i="4"/>
  <c r="S102" i="5"/>
  <c r="V104" i="4"/>
  <c r="Q104" i="5" s="1"/>
  <c r="T104" i="5"/>
  <c r="Z104" i="4"/>
  <c r="U104" i="5" s="1"/>
  <c r="U104" i="4"/>
  <c r="X56" i="4"/>
  <c r="O56" i="5"/>
  <c r="W87" i="4"/>
  <c r="R87" i="5" s="1"/>
  <c r="P87" i="5"/>
  <c r="O51" i="4"/>
  <c r="N51" i="4"/>
  <c r="O49" i="4"/>
  <c r="N49" i="4"/>
  <c r="P51" i="4"/>
  <c r="R49" i="4"/>
  <c r="T49" i="4" s="1"/>
  <c r="S45" i="5"/>
  <c r="Z45" i="4"/>
  <c r="T45" i="5"/>
  <c r="Z44" i="4"/>
  <c r="T44" i="5"/>
  <c r="Z48" i="4"/>
  <c r="T48" i="5"/>
  <c r="J41" i="5"/>
  <c r="J42" i="5"/>
  <c r="J43" i="5"/>
  <c r="J44" i="5"/>
  <c r="J45" i="5"/>
  <c r="J46" i="5"/>
  <c r="J47" i="5"/>
  <c r="J4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H47" i="4"/>
  <c r="H46" i="4"/>
  <c r="I42" i="4"/>
  <c r="Q42" i="4" s="1"/>
  <c r="S42" i="4" s="1"/>
  <c r="H42" i="4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G9" i="5"/>
  <c r="G10" i="5"/>
  <c r="G11" i="5"/>
  <c r="G12" i="5"/>
  <c r="G13" i="5"/>
  <c r="G14" i="5"/>
  <c r="G15" i="5"/>
  <c r="G16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3" i="5"/>
  <c r="F34" i="5"/>
  <c r="F35" i="5"/>
  <c r="F36" i="5"/>
  <c r="F37" i="5"/>
  <c r="F38" i="5"/>
  <c r="F39" i="5"/>
  <c r="F40" i="5"/>
  <c r="F41" i="5"/>
  <c r="F42" i="5"/>
  <c r="F43" i="5"/>
  <c r="E9" i="5"/>
  <c r="E10" i="5"/>
  <c r="E11" i="5"/>
  <c r="E12" i="5"/>
  <c r="E13" i="5"/>
  <c r="E14" i="5"/>
  <c r="E15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3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8" i="5"/>
  <c r="D39" i="5"/>
  <c r="D40" i="5"/>
  <c r="D41" i="5"/>
  <c r="D42" i="5"/>
  <c r="D43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K43" i="5"/>
  <c r="L43" i="5"/>
  <c r="N43" i="5"/>
  <c r="W74" i="4" l="1"/>
  <c r="R74" i="5" s="1"/>
  <c r="P74" i="5"/>
  <c r="W72" i="4"/>
  <c r="R72" i="5" s="1"/>
  <c r="P72" i="5"/>
  <c r="U77" i="4"/>
  <c r="T77" i="5"/>
  <c r="V77" i="4"/>
  <c r="Q77" i="5" s="1"/>
  <c r="Z77" i="4"/>
  <c r="U77" i="5" s="1"/>
  <c r="W98" i="4"/>
  <c r="R98" i="5" s="1"/>
  <c r="P98" i="5"/>
  <c r="W66" i="4"/>
  <c r="R66" i="5" s="1"/>
  <c r="P66" i="5"/>
  <c r="W90" i="4"/>
  <c r="R90" i="5" s="1"/>
  <c r="P90" i="5"/>
  <c r="V103" i="4"/>
  <c r="Q103" i="5" s="1"/>
  <c r="T103" i="5"/>
  <c r="U103" i="4"/>
  <c r="Z103" i="4"/>
  <c r="U103" i="5" s="1"/>
  <c r="W80" i="4"/>
  <c r="R80" i="5" s="1"/>
  <c r="P80" i="5"/>
  <c r="W71" i="4"/>
  <c r="R71" i="5" s="1"/>
  <c r="P71" i="5"/>
  <c r="T89" i="5"/>
  <c r="Z89" i="4"/>
  <c r="U89" i="5" s="1"/>
  <c r="V89" i="4"/>
  <c r="Q89" i="5" s="1"/>
  <c r="U89" i="4"/>
  <c r="W124" i="4"/>
  <c r="R124" i="5" s="1"/>
  <c r="P124" i="5"/>
  <c r="W55" i="4"/>
  <c r="R55" i="5" s="1"/>
  <c r="P55" i="5"/>
  <c r="W83" i="4"/>
  <c r="R83" i="5" s="1"/>
  <c r="P83" i="5"/>
  <c r="V88" i="4"/>
  <c r="Q88" i="5" s="1"/>
  <c r="T88" i="5"/>
  <c r="Z88" i="4"/>
  <c r="U88" i="5" s="1"/>
  <c r="U88" i="4"/>
  <c r="W119" i="4"/>
  <c r="R119" i="5" s="1"/>
  <c r="P119" i="5"/>
  <c r="V95" i="4"/>
  <c r="Q95" i="5" s="1"/>
  <c r="T95" i="5"/>
  <c r="U95" i="4"/>
  <c r="Z95" i="4"/>
  <c r="U95" i="5" s="1"/>
  <c r="W92" i="4"/>
  <c r="R92" i="5" s="1"/>
  <c r="P92" i="5"/>
  <c r="Y56" i="4"/>
  <c r="V56" i="4" s="1"/>
  <c r="Q56" i="5" s="1"/>
  <c r="S56" i="5"/>
  <c r="W97" i="4"/>
  <c r="R97" i="5" s="1"/>
  <c r="P97" i="5"/>
  <c r="W62" i="4"/>
  <c r="R62" i="5" s="1"/>
  <c r="P62" i="5"/>
  <c r="W120" i="4"/>
  <c r="R120" i="5" s="1"/>
  <c r="P120" i="5"/>
  <c r="W82" i="4"/>
  <c r="R82" i="5" s="1"/>
  <c r="P82" i="5"/>
  <c r="W76" i="4"/>
  <c r="R76" i="5" s="1"/>
  <c r="P76" i="5"/>
  <c r="W105" i="4"/>
  <c r="R105" i="5" s="1"/>
  <c r="P105" i="5"/>
  <c r="V102" i="4"/>
  <c r="Q102" i="5" s="1"/>
  <c r="T102" i="5"/>
  <c r="Z102" i="4"/>
  <c r="U102" i="5" s="1"/>
  <c r="U102" i="4"/>
  <c r="W60" i="4"/>
  <c r="R60" i="5" s="1"/>
  <c r="P60" i="5"/>
  <c r="U85" i="4"/>
  <c r="T85" i="5"/>
  <c r="Z85" i="4"/>
  <c r="U85" i="5" s="1"/>
  <c r="V85" i="4"/>
  <c r="Q85" i="5" s="1"/>
  <c r="W123" i="4"/>
  <c r="R123" i="5" s="1"/>
  <c r="P123" i="5"/>
  <c r="W115" i="4"/>
  <c r="R115" i="5" s="1"/>
  <c r="P115" i="5"/>
  <c r="W111" i="4"/>
  <c r="R111" i="5" s="1"/>
  <c r="P111" i="5"/>
  <c r="W108" i="4"/>
  <c r="R108" i="5" s="1"/>
  <c r="P108" i="5"/>
  <c r="W104" i="4"/>
  <c r="R104" i="5" s="1"/>
  <c r="P104" i="5"/>
  <c r="X49" i="4"/>
  <c r="O49" i="5"/>
  <c r="W116" i="4"/>
  <c r="R116" i="5" s="1"/>
  <c r="P116" i="5"/>
  <c r="W57" i="4"/>
  <c r="R57" i="5" s="1"/>
  <c r="P57" i="5"/>
  <c r="W121" i="4"/>
  <c r="R121" i="5" s="1"/>
  <c r="P121" i="5"/>
  <c r="T91" i="5"/>
  <c r="V91" i="4"/>
  <c r="Q91" i="5" s="1"/>
  <c r="Z91" i="4"/>
  <c r="U91" i="5" s="1"/>
  <c r="U91" i="4"/>
  <c r="W61" i="4"/>
  <c r="R61" i="5" s="1"/>
  <c r="P61" i="5"/>
  <c r="W106" i="4"/>
  <c r="R106" i="5" s="1"/>
  <c r="P106" i="5"/>
  <c r="W114" i="4"/>
  <c r="R114" i="5" s="1"/>
  <c r="P114" i="5"/>
  <c r="R51" i="4"/>
  <c r="K51" i="5"/>
  <c r="W101" i="4"/>
  <c r="R101" i="5" s="1"/>
  <c r="P101" i="5"/>
  <c r="W94" i="4"/>
  <c r="R94" i="5" s="1"/>
  <c r="P94" i="5"/>
  <c r="W59" i="4"/>
  <c r="R59" i="5" s="1"/>
  <c r="P59" i="5"/>
  <c r="N42" i="4"/>
  <c r="O42" i="4"/>
  <c r="O46" i="4"/>
  <c r="N46" i="4"/>
  <c r="O47" i="4"/>
  <c r="N47" i="4"/>
  <c r="E42" i="5"/>
  <c r="L42" i="5"/>
  <c r="E47" i="5"/>
  <c r="E46" i="5"/>
  <c r="U48" i="5"/>
  <c r="U44" i="5"/>
  <c r="U45" i="5"/>
  <c r="E41" i="5"/>
  <c r="P42" i="4"/>
  <c r="R42" i="4" s="1"/>
  <c r="T42" i="4" s="1"/>
  <c r="X42" i="4" s="1"/>
  <c r="Y42" i="4" s="1"/>
  <c r="Z42" i="4" s="1"/>
  <c r="P47" i="4"/>
  <c r="K47" i="5" s="1"/>
  <c r="V53" i="4"/>
  <c r="Q53" i="5" s="1"/>
  <c r="U53" i="4"/>
  <c r="U56" i="4"/>
  <c r="V54" i="4"/>
  <c r="Q54" i="5" s="1"/>
  <c r="U54" i="4"/>
  <c r="V58" i="4"/>
  <c r="Q58" i="5" s="1"/>
  <c r="U58" i="4"/>
  <c r="M43" i="5"/>
  <c r="W91" i="4" l="1"/>
  <c r="R91" i="5" s="1"/>
  <c r="P91" i="5"/>
  <c r="W88" i="4"/>
  <c r="R88" i="5" s="1"/>
  <c r="P88" i="5"/>
  <c r="W95" i="4"/>
  <c r="R95" i="5" s="1"/>
  <c r="P95" i="5"/>
  <c r="W103" i="4"/>
  <c r="R103" i="5" s="1"/>
  <c r="P103" i="5"/>
  <c r="W77" i="4"/>
  <c r="R77" i="5" s="1"/>
  <c r="P77" i="5"/>
  <c r="W85" i="4"/>
  <c r="R85" i="5" s="1"/>
  <c r="P85" i="5"/>
  <c r="W58" i="4"/>
  <c r="R58" i="5" s="1"/>
  <c r="P58" i="5"/>
  <c r="T51" i="4"/>
  <c r="M51" i="5"/>
  <c r="Y49" i="4"/>
  <c r="S49" i="5"/>
  <c r="Z56" i="4"/>
  <c r="U56" i="5" s="1"/>
  <c r="T56" i="5"/>
  <c r="W56" i="4"/>
  <c r="R56" i="5" s="1"/>
  <c r="P56" i="5"/>
  <c r="W54" i="4"/>
  <c r="R54" i="5" s="1"/>
  <c r="P54" i="5"/>
  <c r="W53" i="4"/>
  <c r="R53" i="5" s="1"/>
  <c r="P53" i="5"/>
  <c r="W102" i="4"/>
  <c r="R102" i="5" s="1"/>
  <c r="P102" i="5"/>
  <c r="W89" i="4"/>
  <c r="R89" i="5" s="1"/>
  <c r="P89" i="5"/>
  <c r="R46" i="4"/>
  <c r="K46" i="5"/>
  <c r="M42" i="5"/>
  <c r="R47" i="4"/>
  <c r="M47" i="5" s="1"/>
  <c r="V40" i="4"/>
  <c r="U40" i="4"/>
  <c r="W40" i="4" s="1"/>
  <c r="V52" i="4"/>
  <c r="Q52" i="5" s="1"/>
  <c r="U52" i="4"/>
  <c r="V50" i="4"/>
  <c r="Q50" i="5" s="1"/>
  <c r="U50" i="4"/>
  <c r="V43" i="4"/>
  <c r="U43" i="4"/>
  <c r="W43" i="4" s="1"/>
  <c r="V44" i="4"/>
  <c r="Q44" i="5" s="1"/>
  <c r="U44" i="4"/>
  <c r="K42" i="5"/>
  <c r="N42" i="5"/>
  <c r="O43" i="5"/>
  <c r="Z49" i="4" l="1"/>
  <c r="U49" i="5" s="1"/>
  <c r="T49" i="5"/>
  <c r="V49" i="4"/>
  <c r="Q49" i="5" s="1"/>
  <c r="U49" i="4"/>
  <c r="W50" i="4"/>
  <c r="R50" i="5" s="1"/>
  <c r="P50" i="5"/>
  <c r="X51" i="4"/>
  <c r="O51" i="5"/>
  <c r="W52" i="4"/>
  <c r="R52" i="5" s="1"/>
  <c r="P52" i="5"/>
  <c r="W44" i="4"/>
  <c r="R44" i="5" s="1"/>
  <c r="P44" i="5"/>
  <c r="T46" i="4"/>
  <c r="M46" i="5"/>
  <c r="T47" i="4"/>
  <c r="O47" i="5" s="1"/>
  <c r="V42" i="4"/>
  <c r="U42" i="4"/>
  <c r="W42" i="4" s="1"/>
  <c r="V45" i="4"/>
  <c r="Q45" i="5" s="1"/>
  <c r="U45" i="4"/>
  <c r="O42" i="5"/>
  <c r="S43" i="5"/>
  <c r="S42" i="5"/>
  <c r="J40" i="5"/>
  <c r="L41" i="5"/>
  <c r="J39" i="5"/>
  <c r="J38" i="5"/>
  <c r="G37" i="4"/>
  <c r="J37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I32" i="4"/>
  <c r="Q32" i="4" s="1"/>
  <c r="S32" i="4" s="1"/>
  <c r="T32" i="4" s="1"/>
  <c r="X32" i="4" s="1"/>
  <c r="Y32" i="4" s="1"/>
  <c r="Z32" i="4" s="1"/>
  <c r="J17" i="4"/>
  <c r="X17" i="4" s="1"/>
  <c r="Y17" i="4" s="1"/>
  <c r="Z17" i="4" s="1"/>
  <c r="H16" i="4"/>
  <c r="W49" i="4" l="1"/>
  <c r="R49" i="5" s="1"/>
  <c r="P49" i="5"/>
  <c r="Y51" i="4"/>
  <c r="S51" i="5"/>
  <c r="O16" i="4"/>
  <c r="N16" i="4"/>
  <c r="P16" i="4"/>
  <c r="R16" i="4" s="1"/>
  <c r="T16" i="4" s="1"/>
  <c r="X16" i="4" s="1"/>
  <c r="Y16" i="4" s="1"/>
  <c r="Z16" i="4" s="1"/>
  <c r="W45" i="4"/>
  <c r="R45" i="5" s="1"/>
  <c r="P45" i="5"/>
  <c r="X46" i="4"/>
  <c r="O46" i="5"/>
  <c r="X47" i="4"/>
  <c r="S47" i="5" s="1"/>
  <c r="V48" i="4"/>
  <c r="Q48" i="5" s="1"/>
  <c r="U48" i="4"/>
  <c r="D36" i="5"/>
  <c r="D37" i="5"/>
  <c r="M40" i="5"/>
  <c r="M41" i="5"/>
  <c r="K40" i="5"/>
  <c r="K41" i="5"/>
  <c r="G17" i="5"/>
  <c r="K38" i="5"/>
  <c r="K36" i="5"/>
  <c r="M34" i="5"/>
  <c r="K34" i="5"/>
  <c r="M32" i="5"/>
  <c r="K32" i="5"/>
  <c r="M30" i="5"/>
  <c r="K30" i="5"/>
  <c r="M28" i="5"/>
  <c r="K28" i="5"/>
  <c r="M26" i="5"/>
  <c r="K26" i="5"/>
  <c r="M24" i="5"/>
  <c r="K24" i="5"/>
  <c r="M22" i="5"/>
  <c r="K22" i="5"/>
  <c r="M20" i="5"/>
  <c r="K20" i="5"/>
  <c r="M18" i="5"/>
  <c r="K18" i="5"/>
  <c r="M15" i="5"/>
  <c r="K15" i="5"/>
  <c r="M13" i="5"/>
  <c r="K13" i="5"/>
  <c r="M11" i="5"/>
  <c r="K11" i="5"/>
  <c r="M9" i="5"/>
  <c r="K9" i="5"/>
  <c r="L38" i="5"/>
  <c r="L36" i="5"/>
  <c r="N34" i="5"/>
  <c r="L34" i="5"/>
  <c r="N31" i="5"/>
  <c r="L31" i="5"/>
  <c r="N29" i="5"/>
  <c r="L29" i="5"/>
  <c r="N27" i="5"/>
  <c r="L27" i="5"/>
  <c r="N25" i="5"/>
  <c r="L25" i="5"/>
  <c r="N23" i="5"/>
  <c r="L23" i="5"/>
  <c r="N21" i="5"/>
  <c r="L21" i="5"/>
  <c r="N19" i="5"/>
  <c r="L19" i="5"/>
  <c r="N17" i="5"/>
  <c r="L17" i="5"/>
  <c r="N15" i="5"/>
  <c r="L15" i="5"/>
  <c r="N13" i="5"/>
  <c r="L13" i="5"/>
  <c r="N11" i="5"/>
  <c r="L11" i="5"/>
  <c r="N9" i="5"/>
  <c r="L9" i="5"/>
  <c r="L40" i="5"/>
  <c r="E16" i="5"/>
  <c r="F32" i="5"/>
  <c r="M39" i="5"/>
  <c r="K39" i="5"/>
  <c r="M37" i="5"/>
  <c r="K37" i="5"/>
  <c r="M35" i="5"/>
  <c r="K35" i="5"/>
  <c r="M33" i="5"/>
  <c r="K33" i="5"/>
  <c r="M31" i="5"/>
  <c r="K31" i="5"/>
  <c r="M29" i="5"/>
  <c r="K29" i="5"/>
  <c r="M27" i="5"/>
  <c r="K27" i="5"/>
  <c r="M25" i="5"/>
  <c r="K25" i="5"/>
  <c r="M23" i="5"/>
  <c r="K23" i="5"/>
  <c r="M21" i="5"/>
  <c r="K21" i="5"/>
  <c r="M19" i="5"/>
  <c r="K19" i="5"/>
  <c r="M17" i="5"/>
  <c r="K17" i="5"/>
  <c r="M14" i="5"/>
  <c r="K14" i="5"/>
  <c r="M12" i="5"/>
  <c r="K12" i="5"/>
  <c r="M10" i="5"/>
  <c r="K10" i="5"/>
  <c r="N39" i="5"/>
  <c r="L39" i="5"/>
  <c r="N37" i="5"/>
  <c r="L37" i="5"/>
  <c r="N35" i="5"/>
  <c r="L35" i="5"/>
  <c r="N33" i="5"/>
  <c r="L33" i="5"/>
  <c r="N30" i="5"/>
  <c r="L30" i="5"/>
  <c r="N28" i="5"/>
  <c r="L28" i="5"/>
  <c r="N26" i="5"/>
  <c r="L26" i="5"/>
  <c r="N24" i="5"/>
  <c r="L24" i="5"/>
  <c r="N22" i="5"/>
  <c r="L22" i="5"/>
  <c r="N20" i="5"/>
  <c r="L20" i="5"/>
  <c r="N18" i="5"/>
  <c r="L18" i="5"/>
  <c r="N16" i="5"/>
  <c r="L16" i="5"/>
  <c r="N14" i="5"/>
  <c r="L14" i="5"/>
  <c r="N12" i="5"/>
  <c r="L12" i="5"/>
  <c r="N10" i="5"/>
  <c r="L10" i="5"/>
  <c r="T43" i="5"/>
  <c r="Q43" i="5"/>
  <c r="Z51" i="4" l="1"/>
  <c r="U51" i="5" s="1"/>
  <c r="T51" i="5"/>
  <c r="V51" i="4"/>
  <c r="Q51" i="5" s="1"/>
  <c r="U51" i="4"/>
  <c r="W48" i="4"/>
  <c r="R48" i="5" s="1"/>
  <c r="P48" i="5"/>
  <c r="Y46" i="4"/>
  <c r="S46" i="5"/>
  <c r="Y47" i="4"/>
  <c r="T47" i="5" s="1"/>
  <c r="N36" i="5"/>
  <c r="N38" i="5"/>
  <c r="M36" i="5"/>
  <c r="M38" i="5"/>
  <c r="N40" i="5"/>
  <c r="N41" i="5"/>
  <c r="O13" i="5"/>
  <c r="O29" i="5"/>
  <c r="M16" i="5"/>
  <c r="K16" i="5"/>
  <c r="R43" i="5"/>
  <c r="P43" i="5"/>
  <c r="O12" i="5"/>
  <c r="O30" i="5"/>
  <c r="U43" i="5"/>
  <c r="L32" i="5"/>
  <c r="W51" i="4" l="1"/>
  <c r="R51" i="5" s="1"/>
  <c r="P51" i="5"/>
  <c r="Z46" i="4"/>
  <c r="T46" i="5"/>
  <c r="Z47" i="4"/>
  <c r="U47" i="5" s="1"/>
  <c r="U47" i="4"/>
  <c r="P47" i="5" s="1"/>
  <c r="V47" i="4"/>
  <c r="Q47" i="5" s="1"/>
  <c r="V28" i="4"/>
  <c r="U28" i="4"/>
  <c r="W28" i="4" s="1"/>
  <c r="V20" i="4"/>
  <c r="U20" i="4"/>
  <c r="W20" i="4" s="1"/>
  <c r="V41" i="4"/>
  <c r="U41" i="4"/>
  <c r="W41" i="4" s="1"/>
  <c r="V31" i="4"/>
  <c r="U31" i="4"/>
  <c r="W31" i="4" s="1"/>
  <c r="V23" i="4"/>
  <c r="U23" i="4"/>
  <c r="W23" i="4" s="1"/>
  <c r="V15" i="4"/>
  <c r="U15" i="4"/>
  <c r="W15" i="4" s="1"/>
  <c r="V26" i="4"/>
  <c r="U26" i="4"/>
  <c r="W26" i="4" s="1"/>
  <c r="V39" i="4"/>
  <c r="U39" i="4"/>
  <c r="W39" i="4" s="1"/>
  <c r="V25" i="4"/>
  <c r="U25" i="4"/>
  <c r="W25" i="4" s="1"/>
  <c r="V38" i="4"/>
  <c r="U38" i="4"/>
  <c r="W38" i="4" s="1"/>
  <c r="V35" i="4"/>
  <c r="U35" i="4"/>
  <c r="W35" i="4" s="1"/>
  <c r="V29" i="4"/>
  <c r="U29" i="4"/>
  <c r="W29" i="4" s="1"/>
  <c r="V34" i="4"/>
  <c r="U34" i="4"/>
  <c r="W34" i="4" s="1"/>
  <c r="V37" i="4"/>
  <c r="U37" i="4"/>
  <c r="W37" i="4" s="1"/>
  <c r="V24" i="4"/>
  <c r="U24" i="4"/>
  <c r="W24" i="4" s="1"/>
  <c r="V14" i="4"/>
  <c r="U14" i="4"/>
  <c r="W14" i="4" s="1"/>
  <c r="V36" i="4"/>
  <c r="U36" i="4"/>
  <c r="W36" i="4" s="1"/>
  <c r="V27" i="4"/>
  <c r="U27" i="4"/>
  <c r="W27" i="4" s="1"/>
  <c r="V19" i="4"/>
  <c r="U19" i="4"/>
  <c r="W19" i="4" s="1"/>
  <c r="V11" i="4"/>
  <c r="U11" i="4"/>
  <c r="W11" i="4" s="1"/>
  <c r="V18" i="4"/>
  <c r="U18" i="4"/>
  <c r="W18" i="4" s="1"/>
  <c r="V33" i="4"/>
  <c r="U33" i="4"/>
  <c r="W33" i="4" s="1"/>
  <c r="V17" i="4"/>
  <c r="U17" i="4"/>
  <c r="W17" i="4" s="1"/>
  <c r="V22" i="4"/>
  <c r="U22" i="4"/>
  <c r="W22" i="4" s="1"/>
  <c r="V21" i="4"/>
  <c r="U21" i="4"/>
  <c r="W21" i="4" s="1"/>
  <c r="V30" i="4"/>
  <c r="U30" i="4"/>
  <c r="W30" i="4" s="1"/>
  <c r="V13" i="4"/>
  <c r="U13" i="4"/>
  <c r="W13" i="4" s="1"/>
  <c r="V12" i="4"/>
  <c r="U12" i="4"/>
  <c r="W12" i="4" s="1"/>
  <c r="V46" i="4"/>
  <c r="Q46" i="5" s="1"/>
  <c r="U46" i="4"/>
  <c r="O41" i="5"/>
  <c r="O9" i="5"/>
  <c r="O37" i="5"/>
  <c r="O34" i="5"/>
  <c r="O38" i="5"/>
  <c r="O25" i="5"/>
  <c r="O26" i="5"/>
  <c r="O39" i="5"/>
  <c r="O18" i="5"/>
  <c r="O33" i="5"/>
  <c r="O17" i="5"/>
  <c r="O21" i="5"/>
  <c r="O22" i="5"/>
  <c r="N32" i="5"/>
  <c r="S38" i="5"/>
  <c r="S30" i="5"/>
  <c r="S22" i="5"/>
  <c r="S12" i="5"/>
  <c r="S37" i="5"/>
  <c r="S33" i="5"/>
  <c r="S25" i="5"/>
  <c r="S17" i="5"/>
  <c r="S9" i="5"/>
  <c r="O28" i="5"/>
  <c r="O20" i="5"/>
  <c r="O10" i="5"/>
  <c r="O31" i="5"/>
  <c r="O23" i="5"/>
  <c r="O15" i="5"/>
  <c r="O36" i="5"/>
  <c r="O24" i="5"/>
  <c r="O14" i="5"/>
  <c r="O40" i="5"/>
  <c r="O35" i="5"/>
  <c r="O27" i="5"/>
  <c r="O19" i="5"/>
  <c r="O11" i="5"/>
  <c r="S34" i="5"/>
  <c r="S26" i="5"/>
  <c r="S18" i="5"/>
  <c r="S39" i="5"/>
  <c r="S29" i="5"/>
  <c r="S21" i="5"/>
  <c r="S13" i="5"/>
  <c r="W46" i="4" l="1"/>
  <c r="R46" i="5" s="1"/>
  <c r="P46" i="5"/>
  <c r="U46" i="5"/>
  <c r="W47" i="4"/>
  <c r="R47" i="5" s="1"/>
  <c r="U9" i="4"/>
  <c r="W9" i="4" s="1"/>
  <c r="V9" i="4"/>
  <c r="Q9" i="5" s="1"/>
  <c r="V16" i="4"/>
  <c r="U16" i="4"/>
  <c r="W16" i="4" s="1"/>
  <c r="V32" i="4"/>
  <c r="U32" i="4"/>
  <c r="W32" i="4" s="1"/>
  <c r="S41" i="5"/>
  <c r="T13" i="5"/>
  <c r="Q13" i="5"/>
  <c r="T21" i="5"/>
  <c r="Q21" i="5"/>
  <c r="T29" i="5"/>
  <c r="Q29" i="5"/>
  <c r="T39" i="5"/>
  <c r="Q39" i="5"/>
  <c r="T18" i="5"/>
  <c r="Q18" i="5"/>
  <c r="T26" i="5"/>
  <c r="Q26" i="5"/>
  <c r="T34" i="5"/>
  <c r="Q34" i="5"/>
  <c r="S11" i="5"/>
  <c r="S19" i="5"/>
  <c r="S27" i="5"/>
  <c r="S35" i="5"/>
  <c r="S40" i="5"/>
  <c r="S14" i="5"/>
  <c r="S24" i="5"/>
  <c r="S36" i="5"/>
  <c r="S15" i="5"/>
  <c r="S23" i="5"/>
  <c r="S31" i="5"/>
  <c r="O32" i="5"/>
  <c r="O16" i="5"/>
  <c r="S10" i="5"/>
  <c r="S20" i="5"/>
  <c r="S28" i="5"/>
  <c r="T9" i="5"/>
  <c r="T17" i="5"/>
  <c r="Q17" i="5"/>
  <c r="T25" i="5"/>
  <c r="Q25" i="5"/>
  <c r="T33" i="5"/>
  <c r="Q33" i="5"/>
  <c r="T37" i="5"/>
  <c r="T12" i="5"/>
  <c r="Q12" i="5"/>
  <c r="T22" i="5"/>
  <c r="Q22" i="5"/>
  <c r="T30" i="5"/>
  <c r="Q30" i="5"/>
  <c r="T38" i="5"/>
  <c r="Q38" i="5"/>
  <c r="V10" i="4" l="1"/>
  <c r="Q10" i="5" s="1"/>
  <c r="U10" i="4"/>
  <c r="W10" i="4" s="1"/>
  <c r="T42" i="5"/>
  <c r="U41" i="5"/>
  <c r="T41" i="5"/>
  <c r="P38" i="5"/>
  <c r="R22" i="5"/>
  <c r="P22" i="5"/>
  <c r="R12" i="5"/>
  <c r="P12" i="5"/>
  <c r="R33" i="5"/>
  <c r="P33" i="5"/>
  <c r="R25" i="5"/>
  <c r="P25" i="5"/>
  <c r="R9" i="5"/>
  <c r="P9" i="5"/>
  <c r="R26" i="5"/>
  <c r="P26" i="5"/>
  <c r="R18" i="5"/>
  <c r="P18" i="5"/>
  <c r="R39" i="5"/>
  <c r="P39" i="5"/>
  <c r="U39" i="5"/>
  <c r="R29" i="5"/>
  <c r="P29" i="5"/>
  <c r="R21" i="5"/>
  <c r="P21" i="5"/>
  <c r="R13" i="5"/>
  <c r="P13" i="5"/>
  <c r="U38" i="5"/>
  <c r="R30" i="5"/>
  <c r="P30" i="5"/>
  <c r="U30" i="5"/>
  <c r="U22" i="5"/>
  <c r="U12" i="5"/>
  <c r="U37" i="5"/>
  <c r="U33" i="5"/>
  <c r="U25" i="5"/>
  <c r="R17" i="5"/>
  <c r="P17" i="5"/>
  <c r="U17" i="5"/>
  <c r="U9" i="5"/>
  <c r="T28" i="5"/>
  <c r="Q28" i="5"/>
  <c r="T20" i="5"/>
  <c r="Q20" i="5"/>
  <c r="T10" i="5"/>
  <c r="S16" i="5"/>
  <c r="S32" i="5"/>
  <c r="T31" i="5"/>
  <c r="Q31" i="5"/>
  <c r="T23" i="5"/>
  <c r="Q23" i="5"/>
  <c r="T15" i="5"/>
  <c r="Q15" i="5"/>
  <c r="T36" i="5"/>
  <c r="T24" i="5"/>
  <c r="Q24" i="5"/>
  <c r="T14" i="5"/>
  <c r="Q14" i="5"/>
  <c r="T40" i="5"/>
  <c r="Q40" i="5"/>
  <c r="T35" i="5"/>
  <c r="Q35" i="5"/>
  <c r="T27" i="5"/>
  <c r="Q27" i="5"/>
  <c r="T19" i="5"/>
  <c r="Q19" i="5"/>
  <c r="T11" i="5"/>
  <c r="Q11" i="5"/>
  <c r="R34" i="5"/>
  <c r="P34" i="5"/>
  <c r="U34" i="5"/>
  <c r="U26" i="5"/>
  <c r="U18" i="5"/>
  <c r="U29" i="5"/>
  <c r="U21" i="5"/>
  <c r="U13" i="5"/>
  <c r="P41" i="5" l="1"/>
  <c r="Q36" i="5"/>
  <c r="P37" i="5"/>
  <c r="Q41" i="5"/>
  <c r="Q42" i="5"/>
  <c r="U42" i="5"/>
  <c r="R38" i="5"/>
  <c r="R42" i="5"/>
  <c r="P42" i="5"/>
  <c r="Q37" i="5"/>
  <c r="R11" i="5"/>
  <c r="P11" i="5"/>
  <c r="R19" i="5"/>
  <c r="P19" i="5"/>
  <c r="R27" i="5"/>
  <c r="P27" i="5"/>
  <c r="R35" i="5"/>
  <c r="P35" i="5"/>
  <c r="U40" i="5"/>
  <c r="R14" i="5"/>
  <c r="P14" i="5"/>
  <c r="R24" i="5"/>
  <c r="P24" i="5"/>
  <c r="R36" i="5"/>
  <c r="P36" i="5"/>
  <c r="R15" i="5"/>
  <c r="P15" i="5"/>
  <c r="R23" i="5"/>
  <c r="P23" i="5"/>
  <c r="R31" i="5"/>
  <c r="P31" i="5"/>
  <c r="R10" i="5"/>
  <c r="P10" i="5"/>
  <c r="R20" i="5"/>
  <c r="P20" i="5"/>
  <c r="R28" i="5"/>
  <c r="P28" i="5"/>
  <c r="U11" i="5"/>
  <c r="U19" i="5"/>
  <c r="U27" i="5"/>
  <c r="U35" i="5"/>
  <c r="R40" i="5"/>
  <c r="P40" i="5"/>
  <c r="U14" i="5"/>
  <c r="U24" i="5"/>
  <c r="U36" i="5"/>
  <c r="U15" i="5"/>
  <c r="U23" i="5"/>
  <c r="U31" i="5"/>
  <c r="T32" i="5"/>
  <c r="Q32" i="5"/>
  <c r="T16" i="5"/>
  <c r="Q16" i="5"/>
  <c r="U10" i="5"/>
  <c r="U20" i="5"/>
  <c r="U28" i="5"/>
  <c r="R41" i="5" l="1"/>
  <c r="R37" i="5"/>
  <c r="R32" i="5"/>
  <c r="P32" i="5"/>
  <c r="R16" i="5"/>
  <c r="P16" i="5"/>
  <c r="U16" i="5"/>
  <c r="U32" i="5"/>
  <c r="BJ107" i="10" l="1"/>
  <c r="BD107" i="10"/>
  <c r="BG107" i="10"/>
  <c r="BF107" i="10"/>
  <c r="BG228" i="10"/>
  <c r="BJ228" i="10"/>
  <c r="BF228" i="10"/>
  <c r="BD228" i="10"/>
  <c r="BE228" i="10" l="1"/>
  <c r="BM228" i="10"/>
  <c r="BE107" i="10"/>
  <c r="BM10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tropical food export</author>
    <author>ALEX ANGULO</author>
  </authors>
  <commentList>
    <comment ref="H70" authorId="0" shapeId="0" xr:uid="{AE0145F7-AC80-4EC0-A4C3-0500F3EABE50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90 dole resto banacol</t>
        </r>
      </text>
    </comment>
    <comment ref="H71" authorId="0" shapeId="0" xr:uid="{56587155-478D-4F36-9DD0-E09B93450FC7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dole</t>
        </r>
      </text>
    </comment>
    <comment ref="H126" authorId="0" shapeId="0" xr:uid="{9773C66F-E42C-44C2-A1A7-6CC6D3EA04F8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100 DE BANACOL             
 50 MARILI</t>
        </r>
      </text>
    </comment>
    <comment ref="H132" authorId="0" shapeId="0" xr:uid="{9CC67AE0-5470-4BC7-B7F4-BAD47320C04F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OTRO CLIENTE</t>
        </r>
      </text>
    </comment>
    <comment ref="H154" authorId="0" shapeId="0" xr:uid="{7E4AB008-A3D3-4034-A874-ED142FA95687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OTRO CLIENTE</t>
        </r>
      </text>
    </comment>
    <comment ref="H155" authorId="0" shapeId="0" xr:uid="{0602FE67-348B-47D4-92B1-D34AD88C9257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OTROS CLIENTE</t>
        </r>
      </text>
    </comment>
    <comment ref="I203" authorId="1" shapeId="0" xr:uid="{02CF8DFC-684A-457D-8C96-8B5132A90757}">
      <text>
        <r>
          <rPr>
            <b/>
            <sz val="9"/>
            <color indexed="81"/>
            <rFont val="Tahoma"/>
            <family val="2"/>
          </rPr>
          <t>ALEX ANGULO:</t>
        </r>
        <r>
          <rPr>
            <sz val="9"/>
            <color indexed="81"/>
            <rFont val="Tahoma"/>
            <family val="2"/>
          </rPr>
          <t xml:space="preserve">
las bolsas las lleno un solo trabajador </t>
        </r>
      </text>
    </comment>
    <comment ref="H208" authorId="0" shapeId="0" xr:uid="{DAE085DA-02A2-4B38-8E06-26857D4253D9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CAJA 2DA
</t>
        </r>
      </text>
    </comment>
    <comment ref="H210" authorId="0" shapeId="0" xr:uid="{45D8F720-A4E0-4E86-AA5F-D1EB5217C50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2DA MARILIN</t>
        </r>
      </text>
    </comment>
    <comment ref="H215" authorId="0" shapeId="0" xr:uid="{552C3B13-0D04-4309-B37A-D724082FFAFA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2DA MARILIN</t>
        </r>
      </text>
    </comment>
    <comment ref="H220" authorId="0" shapeId="0" xr:uid="{D5F779E9-486B-45A5-9EFA-099F5BA3E4D2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2DA MARILIN</t>
        </r>
      </text>
    </comment>
    <comment ref="H221" authorId="0" shapeId="0" xr:uid="{32192574-FAB2-415C-9EC2-76FCF4592BD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2DA MARILIN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tropical food export</author>
  </authors>
  <commentList>
    <comment ref="F101" authorId="0" shapeId="0" xr:uid="{2439894A-E3DB-4E96-8357-4B80B2B642B7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PARO ARMADO</t>
        </r>
      </text>
    </comment>
    <comment ref="S115" authorId="0" shapeId="0" xr:uid="{1EBFFAC9-B2AF-444A-B9C5-A0C45B7F4E4E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NO HUBO BARCADILLERA</t>
        </r>
      </text>
    </comment>
    <comment ref="S117" authorId="0" shapeId="0" xr:uid="{274DDC69-CD21-4642-8AF2-F5ACCAF8F77F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NO HUBO BARCADILLERA</t>
        </r>
      </text>
    </comment>
    <comment ref="S130" authorId="0" shapeId="0" xr:uid="{CB71AADC-0A58-4DCA-BD5F-372366D88048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NO HUBO BARCADILLERA</t>
        </r>
      </text>
    </comment>
    <comment ref="AC133" authorId="0" shapeId="0" xr:uid="{2FF81721-4AD4-470A-8491-7D8C430863CC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7 SACAS DE 85 KILOS
45 BOLSAS
</t>
        </r>
      </text>
    </comment>
    <comment ref="AC134" authorId="0" shapeId="0" xr:uid="{7F9DAFAA-FB1D-47DE-A5CB-1CC8977D75BF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64 BOLSAS
2 SACAS DE 85 KILOS
</t>
        </r>
      </text>
    </comment>
    <comment ref="AC135" authorId="0" shapeId="0" xr:uid="{B7667C2E-BA48-4549-9AAB-A52C02C8A67C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31 BOLSAS
23 SACAS DE 85 KILOS
</t>
        </r>
      </text>
    </comment>
    <comment ref="AC136" authorId="0" shapeId="0" xr:uid="{8663DF70-7277-40B5-AD8A-53D98D6423CA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6,5 SACAS DE 85 KILOS
114 BOLSAS</t>
        </r>
      </text>
    </comment>
    <comment ref="AC138" authorId="0" shapeId="0" xr:uid="{0D84D494-F3B0-4318-AADF-65F0E79177CF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65 BOLSAS
2,8 SACAS DE 85 KILOS
</t>
        </r>
      </text>
    </comment>
    <comment ref="AC140" authorId="0" shapeId="0" xr:uid="{870900CD-C8BD-4640-91B1-2E75FC204A53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119 BOSAS
2 SACAS DE 85 KILOS</t>
        </r>
      </text>
    </comment>
    <comment ref="AC143" authorId="0" shapeId="0" xr:uid="{4C907BB9-805D-4CF1-99D8-5BE7D0E335F4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46 BOLSAS
1,5 SACAS DE 85 KILO
</t>
        </r>
      </text>
    </comment>
    <comment ref="AC144" authorId="0" shapeId="0" xr:uid="{830C6399-7544-4A03-BB97-BA868D9CE658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BOLSAS</t>
        </r>
      </text>
    </comment>
    <comment ref="F146" authorId="0" shapeId="0" xr:uid="{20B74E1C-AC79-4008-8692-1F7A00915BFF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123 BANACOL
45 OTRO CLIENTE
</t>
        </r>
      </text>
    </comment>
    <comment ref="F147" authorId="0" shapeId="0" xr:uid="{8B4F1909-78D1-4E87-8B5B-9999AD539569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OTRO CLIENTE</t>
        </r>
      </text>
    </comment>
    <comment ref="AC148" authorId="0" shapeId="0" xr:uid="{91689113-A110-4424-A548-F3A30B8974F4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COMPRADOR DE BOLSAS NUEVO A PARTIR DE ESTA SEMANA</t>
        </r>
      </text>
    </comment>
    <comment ref="F200" authorId="0" shapeId="0" xr:uid="{189A3241-D072-46F4-B6B6-43DBF5041E58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01" authorId="0" shapeId="0" xr:uid="{0D99B77D-0501-41F9-ADF0-B82A12DDE1C0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
</t>
        </r>
      </text>
    </comment>
    <comment ref="F202" authorId="0" shapeId="0" xr:uid="{2C367AB6-6EE1-4235-8588-99A4C3E7CBC6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BI202" authorId="0" shapeId="0" xr:uid="{D35DA24D-C776-40E1-B008-DADE89F4C1DB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PERSONAL DE F PEDRITO
JULIAN BARON
JAIR NISPERUZA
MERQUIN PEÑA
DEISI DE LA ROSA
JHON LLORENTE</t>
        </r>
      </text>
    </comment>
    <comment ref="F203" authorId="0" shapeId="0" xr:uid="{81D198CB-E667-4137-90FD-3E53F740C533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206" authorId="0" shapeId="0" xr:uid="{D279E912-0933-44C1-9499-C1BD45D33F5F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X213" authorId="0" shapeId="0" xr:uid="{991780C8-75A0-440D-BC13-D14071B5E92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NEDER TORRES</t>
        </r>
      </text>
    </comment>
    <comment ref="F214" authorId="0" shapeId="0" xr:uid="{5BAAF2C2-67CC-450B-8B9F-8E0698FACE45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X214" authorId="0" shapeId="0" xr:uid="{467B25EA-E982-49F4-BE2E-E679F83D0A76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NEDER TORRES</t>
        </r>
      </text>
    </comment>
    <comment ref="F215" authorId="0" shapeId="0" xr:uid="{B89C79C3-A45C-45AC-A443-197D224BE0BC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
</t>
        </r>
      </text>
    </comment>
    <comment ref="F216" authorId="0" shapeId="0" xr:uid="{E3A1C775-DD29-4410-BF2A-44910536D4FC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
</t>
        </r>
      </text>
    </comment>
    <comment ref="F217" authorId="0" shapeId="0" xr:uid="{45A7BCA5-5E13-489B-89E8-708C0C681207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X217" authorId="0" shapeId="0" xr:uid="{2CCFDF71-1C00-41B2-BB5A-17C206546F2A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NEDER TORRES</t>
        </r>
      </text>
    </comment>
    <comment ref="F218" authorId="0" shapeId="0" xr:uid="{9243BC01-46E6-48B0-A031-D7008699AD3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220" authorId="0" shapeId="0" xr:uid="{653E8EA8-B6EE-45B6-8FFA-19DE18BC9BD9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221" authorId="0" shapeId="0" xr:uid="{3B8AAE67-E02E-421E-BA5A-A27AEEA411F6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222" authorId="0" shapeId="0" xr:uid="{E4AE88B0-DE6C-4A20-9E85-575CCE5F522D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223" authorId="0" shapeId="0" xr:uid="{E2155BAA-B50C-4332-A1AD-8420FC115315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224" authorId="0" shapeId="0" xr:uid="{67580D53-5D55-46E9-91BB-484407E92217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225" authorId="0" shapeId="0" xr:uid="{51DDE027-DFF8-4D47-BCD1-53CA2602A29D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226" authorId="0" shapeId="0" xr:uid="{ABA828F7-7E25-445A-B28C-62E6A003D850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227" authorId="0" shapeId="0" xr:uid="{88D7BE01-08D2-4583-B39E-D5143EED2EC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228" authorId="0" shapeId="0" xr:uid="{4B296337-53E7-44CB-AA59-AB86BDCAE436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229" authorId="0" shapeId="0" xr:uid="{5E21242B-1D8F-4B85-B9DF-4065B96452B6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230" authorId="0" shapeId="0" xr:uid="{ED9783F1-8238-4079-B4CA-F64007C1B504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31" authorId="0" shapeId="0" xr:uid="{CC9A6D93-DE90-4879-8FA7-235A07896E52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32" authorId="0" shapeId="0" xr:uid="{13ECA60A-140C-4CDC-B044-B306D0F1A44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AD232" authorId="0" shapeId="0" xr:uid="{FEDF72F4-EFF9-487D-BE2A-B6665A0A173F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SE VENDIO A CARRO AMARILLO</t>
        </r>
      </text>
    </comment>
    <comment ref="F233" authorId="0" shapeId="0" xr:uid="{6B47AE39-266D-4898-A433-9D9E6760BEED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34" authorId="0" shapeId="0" xr:uid="{1BA3797B-958A-45F0-9306-63EF8A51D588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35" authorId="0" shapeId="0" xr:uid="{E88EE87A-AE27-49B9-B75C-1CC7C4BC4FB6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36" authorId="0" shapeId="0" xr:uid="{04B6B95D-6B97-4332-AA1A-04185CFE2917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37" authorId="0" shapeId="0" xr:uid="{16142A08-5BED-4C50-AF9E-D82D4EFEC7C9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38" authorId="0" shapeId="0" xr:uid="{6A01AD5F-758C-4082-B7AF-4C3F45572F3B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39" authorId="0" shapeId="0" xr:uid="{0BC348E2-BC15-41CD-9A1A-E7A4518B05C4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40" authorId="0" shapeId="0" xr:uid="{BE61A83E-910D-4064-94EC-49C4EF1E486C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41" authorId="0" shapeId="0" xr:uid="{79954EF8-2DA4-43C1-8785-5CE7726670C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42" authorId="0" shapeId="0" xr:uid="{441FBF0F-99D6-49A0-B4F3-A93B09E79AE5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43" authorId="0" shapeId="0" xr:uid="{ACD2F710-4E13-41E9-8418-366A73633EFF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44" authorId="0" shapeId="0" xr:uid="{88F63D65-870F-434C-AE7B-C1F97A18A294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45" authorId="0" shapeId="0" xr:uid="{18A2F0E5-67E1-413B-9686-62C23A5503C5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46" authorId="0" shapeId="0" xr:uid="{9358B5D8-D205-4A35-8F50-63942F7D3989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47" authorId="0" shapeId="0" xr:uid="{36B31062-E9F2-45EE-A097-083D5F6E229A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48" authorId="0" shapeId="0" xr:uid="{4AE8F353-C3D5-4EA6-81CA-6C2C7048B85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49" authorId="0" shapeId="0" xr:uid="{1B02C0E0-706A-41A8-A851-D4851064F04B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50" authorId="0" shapeId="0" xr:uid="{42CBD1B7-9413-45DB-88EF-511BDE70DF9D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51" authorId="0" shapeId="0" xr:uid="{557D77BD-E6F6-44B8-B16E-DEA7DD34CFCF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52" authorId="0" shapeId="0" xr:uid="{1F30D1DB-680B-412B-9283-15D60EBC9B8F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53" authorId="0" shapeId="0" xr:uid="{A3EC01FE-82A9-4036-8EA8-38ABF893D092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54" authorId="0" shapeId="0" xr:uid="{903C0FB0-FED5-44FD-B830-6CA551ADC7C0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55" authorId="0" shapeId="0" xr:uid="{F5055BF0-3605-4D43-A746-5406C7F5EE10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56" authorId="0" shapeId="0" xr:uid="{46360C14-BA82-43FD-B5FD-6D0F4822734B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57" authorId="0" shapeId="0" xr:uid="{949371C1-5E63-48A1-A04B-F59B4124DC90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58" authorId="0" shapeId="0" xr:uid="{FFFD5B82-B7A6-40F7-BA7B-F77D69D85A5C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59" authorId="0" shapeId="0" xr:uid="{053D3D79-052A-4F26-BE7C-C389D1804112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60" authorId="0" shapeId="0" xr:uid="{64C090C6-1A70-42BF-94D7-ABD82E2BCD44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61" authorId="0" shapeId="0" xr:uid="{6A95A0FB-6170-472D-BBBF-DE564783FD32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62" authorId="0" shapeId="0" xr:uid="{6868B180-3916-45E0-AFA0-E8E4B91F47CC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63" authorId="0" shapeId="0" xr:uid="{A58F4F7B-7D88-4ABC-BF50-32E22F45AC4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64" authorId="0" shapeId="0" xr:uid="{CFCDA3E4-B537-45B8-873F-E7732560C270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65" authorId="0" shapeId="0" xr:uid="{006BB0C8-77BE-4885-8D78-E46DC5DE3F83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66" authorId="0" shapeId="0" xr:uid="{1F18B9FB-6D52-467A-A244-19E2D1B95838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67" authorId="0" shapeId="0" xr:uid="{A73CABB0-C9C7-4ABF-90B0-963BE45E663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68" authorId="0" shapeId="0" xr:uid="{7B35BFB3-8578-4180-9BB1-92AB0CA87E2A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69" authorId="0" shapeId="0" xr:uid="{8E66AE51-C2FB-47C3-BF3E-358EF6563B30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70" authorId="0" shapeId="0" xr:uid="{ED73450D-A418-4CA9-901D-69BDA449338C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71" authorId="0" shapeId="0" xr:uid="{0C03EB1F-3706-402D-A760-35F4C7DB6908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72" authorId="0" shapeId="0" xr:uid="{CFC0113D-6116-435E-8275-733E0A99FE43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73" authorId="0" shapeId="0" xr:uid="{93AC15E1-173B-4693-A2F9-144C4FF83C9A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74" authorId="0" shapeId="0" xr:uid="{45A4396B-1AE9-4524-A054-D1BBEC7BC0C6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75" authorId="0" shapeId="0" xr:uid="{E67F5E0F-57B7-4737-A540-4DDCB923117F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76" authorId="0" shapeId="0" xr:uid="{B0DC664E-6B6B-4453-A463-5485B72CD4AB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77" authorId="0" shapeId="0" xr:uid="{52F83601-FA6B-4729-B800-31735004A606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78" authorId="0" shapeId="0" xr:uid="{3E448566-A3EF-4FAF-81F1-FA55B0CDCE52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79" authorId="0" shapeId="0" xr:uid="{B59B1733-7630-4FBD-8744-7D7BA740FFBE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80" authorId="0" shapeId="0" xr:uid="{A1DEF03A-6800-4C80-A8B5-E38476289CB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E281" authorId="0" shapeId="0" xr:uid="{BA95C250-D27D-473A-A7B6-48A0DAEA1796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1800 PAGADO EN COMISION</t>
        </r>
      </text>
    </comment>
    <comment ref="F281" authorId="0" shapeId="0" xr:uid="{6962FD2C-969B-4071-A827-48D20EAB2CFC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82" authorId="0" shapeId="0" xr:uid="{F62EF544-8FFE-4274-9BF9-F0432C3703A8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83" authorId="0" shapeId="0" xr:uid="{E01F2D1E-2E9C-45E8-AD2C-00A2F109F82D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84" authorId="0" shapeId="0" xr:uid="{ACC3091C-C389-4B91-AE36-89211ACA5C60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85" authorId="0" shapeId="0" xr:uid="{51FFAB29-6FB8-4EA5-A743-4646CDF82FD9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86" authorId="0" shapeId="0" xr:uid="{9C1000B5-BA9D-42B9-9754-4CDB8517BC64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87" authorId="0" shapeId="0" xr:uid="{1883CA94-AD1C-435E-98FF-5DFA518826E9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88" authorId="0" shapeId="0" xr:uid="{45C36904-7DC4-4B7B-B424-D8BFF6FF0748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89" authorId="0" shapeId="0" xr:uid="{9707E7BE-9110-4C66-896A-046DE554745E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90" authorId="0" shapeId="0" xr:uid="{EE3DE87B-BDE7-4170-8F67-CCD610D6B20C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91" authorId="0" shapeId="0" xr:uid="{576EB205-F16E-4E7A-B0CB-0D3EEFBF3CC7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92" authorId="0" shapeId="0" xr:uid="{5BDFE4D1-A9B9-455F-B8B7-1388D2B78D53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93" authorId="0" shapeId="0" xr:uid="{966A6E6F-44BB-4FE9-9CD8-6422B3FF7DCF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94" authorId="0" shapeId="0" xr:uid="{EA9A0DE4-45E5-4EF5-9097-20B847E4275D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95" authorId="0" shapeId="0" xr:uid="{E993FAEF-D11D-4E7E-B4F2-ABFBA68C1DC9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96" authorId="0" shapeId="0" xr:uid="{E2EF3E9D-A6AE-4E2E-A2FB-F7AD482FD8D4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97" authorId="0" shapeId="0" xr:uid="{061749FD-1464-4662-A992-DD65174D8CBE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98" authorId="0" shapeId="0" xr:uid="{9A7ED17A-6253-48CB-9364-2F3F767A0286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299" authorId="0" shapeId="0" xr:uid="{9458A5CB-5BCA-4856-B782-5848FA6A158B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00" authorId="0" shapeId="0" xr:uid="{264BA33B-2833-422E-89B8-74B5B67752FA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01" authorId="0" shapeId="0" xr:uid="{0AD2F880-C7F5-45BA-A0BF-0DED190BD23B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02" authorId="0" shapeId="0" xr:uid="{2514B3ED-03A9-4ECA-9AF2-8CE577C1CCB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03" authorId="0" shapeId="0" xr:uid="{0627504D-F732-41F7-83F5-0A17199BBCEA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04" authorId="0" shapeId="0" xr:uid="{54AF7635-FA94-420C-AFF4-7CA4C47923FA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05" authorId="0" shapeId="0" xr:uid="{E8544687-8A9C-43BD-95D8-5A76E1E8E7B4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06" authorId="0" shapeId="0" xr:uid="{3E009A5A-33CE-4987-BB49-A3D63B4CB33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07" authorId="0" shapeId="0" xr:uid="{9F27C45B-4544-44B3-8ADF-39FD4F0B81D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08" authorId="0" shapeId="0" xr:uid="{A60F886D-C495-4B00-A29D-AC2E02AC0AAB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09" authorId="0" shapeId="0" xr:uid="{28BEB3E1-6D25-4A1B-90E1-3C718B89781F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S309" authorId="0" shapeId="0" xr:uid="{7FA17B66-299B-4F70-85B6-F2F56AF6A6D5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TARDIA 11/03/23
</t>
        </r>
      </text>
    </comment>
    <comment ref="F310" authorId="0" shapeId="0" xr:uid="{7B3C5F11-D19B-483C-A148-215E611117BB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11" authorId="0" shapeId="0" xr:uid="{03E8C4AF-B2AD-4DFC-A6E8-9BC6105265D2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12" authorId="0" shapeId="0" xr:uid="{ED18A96C-DA5D-4B71-B865-AC30BDCD0948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13" authorId="0" shapeId="0" xr:uid="{FC764C7D-B438-4F08-B2B0-3A387D12283D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14" authorId="0" shapeId="0" xr:uid="{D57179E3-3874-4AFF-A4F4-3A8E523CEFE6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15" authorId="0" shapeId="0" xr:uid="{728FD414-4A7C-4225-80F7-3E7C5B20F0F4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16" authorId="0" shapeId="0" xr:uid="{764B652A-A57C-4CEE-B1AA-055C9FEBEB86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17" authorId="0" shapeId="0" xr:uid="{BD210ECB-579E-4079-8FD8-743D02FB15F5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18" authorId="0" shapeId="0" xr:uid="{3092A413-EF7B-44F3-8459-C07CB3E36E5B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BB318" authorId="0" shapeId="0" xr:uid="{3C5EE094-4AE5-48A5-A467-53F7F0C80A18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LUIS GUERRA
</t>
        </r>
      </text>
    </comment>
    <comment ref="F319" authorId="0" shapeId="0" xr:uid="{56B2C9A7-E40F-481E-BFAD-417DB03B33E0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20" authorId="0" shapeId="0" xr:uid="{F9E6BC10-DF15-46DB-B535-923A9DFB0383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21" authorId="0" shapeId="0" xr:uid="{F89558C9-D539-4258-8E6A-1B75BB73C3F4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22" authorId="0" shapeId="0" xr:uid="{EEFFFC0A-C259-4F85-97ED-A5B2BD35C4F0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23" authorId="0" shapeId="0" xr:uid="{9A17A9B5-6C7D-47E2-B145-5B0F36DD54F7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24" authorId="0" shapeId="0" xr:uid="{73769ECC-FAB0-4444-AB6E-85411D7D05E8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25" authorId="0" shapeId="0" xr:uid="{BD5D7FDF-A1AA-4A29-BEED-10EDA90387E6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26" authorId="0" shapeId="0" xr:uid="{E6FD4EF0-989B-435C-BD1B-93D41B2E72E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27" authorId="0" shapeId="0" xr:uid="{B9DC3E54-2EE1-4ABB-830B-CB505D0AF526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28" authorId="0" shapeId="0" xr:uid="{B61F7F9F-EE32-4AC7-94DA-EDA6A98FE9A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29" authorId="0" shapeId="0" xr:uid="{568EEF6C-6C21-45C1-85FC-722AE0CE1942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30" authorId="0" shapeId="0" xr:uid="{BBA5D780-A5EE-45A8-954B-62FD613866B5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31" authorId="0" shapeId="0" xr:uid="{471DB1B8-CD24-4BE3-8466-4BA1477AF1B2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32" authorId="0" shapeId="0" xr:uid="{53AB7731-DFE7-4204-9074-C81219AE8955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33" authorId="0" shapeId="0" xr:uid="{3D078163-83AF-48A5-91A8-90149912A572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34" authorId="0" shapeId="0" xr:uid="{C3F6C2A5-C91E-48A8-92F4-617BBFC07C8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35" authorId="0" shapeId="0" xr:uid="{03480981-6147-44B5-8D0F-53A5E88DA173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36" authorId="0" shapeId="0" xr:uid="{474343E9-7872-43F4-80FF-E6DCD721047F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37" authorId="0" shapeId="0" xr:uid="{6827ADC7-7D03-401D-9974-9FF29C1E259A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38" authorId="0" shapeId="0" xr:uid="{A4EFD90D-96F2-4C16-852D-9F007CCBD59B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39" authorId="0" shapeId="0" xr:uid="{9877A1D0-E5B0-4C1E-B2EF-2D99C171EBC2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40" authorId="0" shapeId="0" xr:uid="{09D7FA86-25B0-44AC-B141-61C43E61707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41" authorId="0" shapeId="0" xr:uid="{CA6B091A-96D0-4AF1-9449-E0B536654BF9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42" authorId="0" shapeId="0" xr:uid="{2E5DF4E7-22D7-4E5E-A46D-9793275E28E5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43" authorId="0" shapeId="0" xr:uid="{E962CC95-D906-41BD-A8C0-B8C6CC2BA12C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44" authorId="0" shapeId="0" xr:uid="{911C31A0-29C6-4651-8F44-8D6935543CB8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45" authorId="0" shapeId="0" xr:uid="{60B2C05E-7FD2-4DA1-AC91-D55CF1505C76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46" authorId="0" shapeId="0" xr:uid="{1CFC635F-4A3D-4824-A615-E8F27BF57A37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47" authorId="0" shapeId="0" xr:uid="{01E6A011-E08D-48B9-9169-8F0720B63D69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48" authorId="0" shapeId="0" xr:uid="{CE8DA0C8-0279-4364-966A-062DB84F5097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BC348" authorId="0" shapeId="0" xr:uid="{1BE8D212-848F-4A49-A9A7-51930BEE42B7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ever jaramillo empezo con 50 cajas menos
</t>
        </r>
      </text>
    </comment>
    <comment ref="F349" authorId="0" shapeId="0" xr:uid="{589BC9BE-3305-4B50-BEC8-E5411892073B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50" authorId="0" shapeId="0" xr:uid="{B0E82BAD-B567-4F13-ABE4-585E41AE2123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51" authorId="0" shapeId="0" xr:uid="{6298E113-F8D5-4F4F-BC3A-A2047618F33D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52" authorId="0" shapeId="0" xr:uid="{BABCB707-B6F0-4565-8AEE-C187ECC03296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53" authorId="0" shapeId="0" xr:uid="{3C25D8C8-4037-4E8A-A77F-0A451C7BE97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54" authorId="0" shapeId="0" xr:uid="{023E156C-583C-46B3-A498-823CD3FC25C3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55" authorId="0" shapeId="0" xr:uid="{909C7BBE-DB20-48E8-AFEA-C064FF22D68D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46 DEVOLUCION ARGOLD</t>
        </r>
      </text>
    </comment>
    <comment ref="F356" authorId="0" shapeId="0" xr:uid="{985DD682-3E20-4E2A-BEDD-218881F5CF0E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100 CAJAS CASOMA
65 ARGOLD</t>
        </r>
      </text>
    </comment>
    <comment ref="F357" authorId="0" shapeId="0" xr:uid="{9E5DA837-00AE-4B29-8F45-5FF534C8079E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REEMPAQUE DE CAJAS DEVUELTAS DE DAMAQUIEL 46
</t>
        </r>
      </text>
    </comment>
    <comment ref="F358" authorId="0" shapeId="0" xr:uid="{B4076B79-85CE-4F08-8639-EDDA655BACBE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AGRO FRESH</t>
        </r>
      </text>
    </comment>
    <comment ref="F359" authorId="0" shapeId="0" xr:uid="{F14E9990-6A45-4CB4-A1D5-ACA8BFEFBFA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120 CASOMA
64 ARGOL +7 BOSQUE</t>
        </r>
      </text>
    </comment>
    <comment ref="F364" authorId="0" shapeId="0" xr:uid="{B7978CD4-53E3-4DD5-9C2F-255C8AF7C417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CASOMA</t>
        </r>
      </text>
    </comment>
    <comment ref="F378" authorId="0" shapeId="0" xr:uid="{D726EEA0-C32F-4C3C-8DDD-65876A758337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CASOMA</t>
        </r>
      </text>
    </comment>
    <comment ref="F379" authorId="0" shapeId="0" xr:uid="{BABD11C7-C1E9-473E-8B7D-CCBEF458FAA4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CASOMA</t>
        </r>
      </text>
    </comment>
    <comment ref="F380" authorId="0" shapeId="0" xr:uid="{BCB3749F-9C69-4960-B45C-5E9302837169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CASOMA</t>
        </r>
      </text>
    </comment>
    <comment ref="S380" authorId="0" shapeId="0" xr:uid="{709C6682-13F3-48C9-A64C-5072CCE6CEB3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NO SE REALIZO BARCADILLA</t>
        </r>
      </text>
    </comment>
    <comment ref="F381" authorId="0" shapeId="0" xr:uid="{736422AB-2C3D-408B-9CD0-85D8A0C32480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382" authorId="0" shapeId="0" xr:uid="{8B67FDD8-5DFD-48CB-AAC5-90CCA4E7A445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383" authorId="0" shapeId="0" xr:uid="{2A48A561-9486-405C-82BD-D10DE6BE2F4A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CASOMA
</t>
        </r>
      </text>
    </comment>
    <comment ref="F384" authorId="0" shapeId="0" xr:uid="{6F929203-1B1B-4384-B7C9-7418C8B1821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385" authorId="0" shapeId="0" xr:uid="{71AE3977-1CD9-47D1-80DF-0503F4420A38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386" authorId="0" shapeId="0" xr:uid="{ACEC7398-8227-4259-ABCE-8A9BB28953BF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387" authorId="0" shapeId="0" xr:uid="{B03D0A1B-E6B2-423C-9002-D795B71A9903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388" authorId="0" shapeId="0" xr:uid="{B1E65763-691C-4226-9F59-A310BD3C7ECF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casoma</t>
        </r>
      </text>
    </comment>
    <comment ref="F389" authorId="0" shapeId="0" xr:uid="{B0E3C11E-955A-4921-BCC8-E113FBD0929B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390" authorId="0" shapeId="0" xr:uid="{4503B220-BB07-4608-8838-EB2EE2630600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391" authorId="0" shapeId="0" xr:uid="{54BE6556-231B-4BDA-967D-96EA505DD16C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392" authorId="0" shapeId="0" xr:uid="{9E643816-8529-4298-A484-36FE5FAF5E7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393" authorId="0" shapeId="0" xr:uid="{684E044A-2594-4E74-A4E9-CAE9D24278EC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394" authorId="0" shapeId="0" xr:uid="{1A06FB16-F5EC-4B5F-AC2E-F22CBE7EE2FC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CASOMA
</t>
        </r>
      </text>
    </comment>
    <comment ref="F395" authorId="0" shapeId="0" xr:uid="{28FD9D57-2BFB-41E1-9E60-356191E5BFAF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CASOMA
</t>
        </r>
      </text>
    </comment>
    <comment ref="F396" authorId="0" shapeId="0" xr:uid="{B6D796B6-60A0-45BA-AA6E-298F9D8F17A2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CASOMA
</t>
        </r>
      </text>
    </comment>
    <comment ref="F397" authorId="0" shapeId="0" xr:uid="{E641B348-BDD3-4A9D-B112-CD6D1967171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398" authorId="0" shapeId="0" xr:uid="{B7D26C2F-D46F-4AE5-8BE8-C636B4ABB9B4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CASOMA
</t>
        </r>
      </text>
    </comment>
    <comment ref="F399" authorId="0" shapeId="0" xr:uid="{448B17EA-A085-491E-9177-AC281E53FBA9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CASOMA
</t>
        </r>
      </text>
    </comment>
    <comment ref="F400" authorId="0" shapeId="0" xr:uid="{4FCD9619-7DB5-4A98-82BD-B3A3A61FD07A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COLFRUTA</t>
        </r>
      </text>
    </comment>
    <comment ref="F401" authorId="0" shapeId="0" xr:uid="{8E68F429-4AE3-4D95-B9FD-DFD3FC46022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COLFRUTA</t>
        </r>
      </text>
    </comment>
    <comment ref="F404" authorId="0" shapeId="0" xr:uid="{7A406F2F-A293-476B-8355-29A78156E7DF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COLFRUTA</t>
        </r>
      </text>
    </comment>
    <comment ref="F405" authorId="0" shapeId="0" xr:uid="{F95104DF-BC1F-4406-A83E-31BE6AF31664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COLFRUTA</t>
        </r>
      </text>
    </comment>
    <comment ref="F406" authorId="0" shapeId="0" xr:uid="{746D9EAE-3766-457E-9376-890F9297185B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COLFRUTA</t>
        </r>
      </text>
    </comment>
    <comment ref="F407" authorId="0" shapeId="0" xr:uid="{19ADE10B-742D-4413-9DA0-6C039EE62D00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</t>
        </r>
      </text>
    </comment>
    <comment ref="F408" authorId="0" shapeId="0" xr:uid="{27FD6A52-8147-440E-BA7E-C62892F3C30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COLFRUTA</t>
        </r>
      </text>
    </comment>
    <comment ref="F421" authorId="0" shapeId="0" xr:uid="{F59424C5-09F6-4D01-9853-709897F6CD2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422" authorId="0" shapeId="0" xr:uid="{43291F07-B756-4433-9362-3C1C4D9F48DB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423" authorId="0" shapeId="0" xr:uid="{0609DB04-4201-40A3-8C7A-A898B34CDADF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425" authorId="0" shapeId="0" xr:uid="{5657DB0F-C424-40C6-880D-85815C4F378B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426" authorId="0" shapeId="0" xr:uid="{E6F7B058-5223-4339-B24B-6DF38C4405A0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</t>
        </r>
      </text>
    </comment>
    <comment ref="F427" authorId="0" shapeId="0" xr:uid="{737B85F6-D011-4552-A0C9-7DEB650629AB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ESTER</t>
        </r>
      </text>
    </comment>
    <comment ref="F428" authorId="0" shapeId="0" xr:uid="{F5526D1C-7C9E-4BAC-9478-09ED571275FE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COLFRUTA</t>
        </r>
      </text>
    </comment>
    <comment ref="F429" authorId="0" shapeId="0" xr:uid="{FC35CD0F-B591-463F-A0DC-E63F574EEEB1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COLFRUTA</t>
        </r>
      </text>
    </comment>
    <comment ref="F430" authorId="0" shapeId="0" xr:uid="{2B54BCFD-BCE0-4DCD-800C-6BBED2F30F25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COLFRUTA</t>
        </r>
      </text>
    </comment>
    <comment ref="F433" authorId="0" shapeId="0" xr:uid="{4D0E7952-9AF8-471A-8997-7D08F1DB03D7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
</t>
        </r>
      </text>
    </comment>
    <comment ref="F434" authorId="0" shapeId="0" xr:uid="{F1BA397E-3D43-4AB3-9538-CAC99AB70F2F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argold
</t>
        </r>
      </text>
    </comment>
    <comment ref="F500" authorId="0" shapeId="0" xr:uid="{0915350F-E522-42C4-8947-9E228D2299EE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11 de 1era y 6 de 2da
</t>
        </r>
      </text>
    </comment>
    <comment ref="AD533" authorId="0" shapeId="0" xr:uid="{B2495889-4CC0-4AD6-A05B-DD3F9F1FA477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93 BOLSAS AOL
</t>
        </r>
      </text>
    </comment>
    <comment ref="AD539" authorId="0" shapeId="0" xr:uid="{7F1EE926-F586-4C2C-B791-C5D5EA158A1D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91 BOLSAS AOL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tropical food export</author>
  </authors>
  <commentList>
    <comment ref="F5" authorId="0" shapeId="0" xr:uid="{16E5A2DA-94D9-4B7B-ABA8-B33717F9D58B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100 DE BANACOL             
 50 MARILI</t>
        </r>
      </text>
    </comment>
    <comment ref="F6" authorId="0" shapeId="0" xr:uid="{2FD26BA7-DAF8-4D8E-9660-2080597460F0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OTRO CLIENTE</t>
        </r>
      </text>
    </comment>
    <comment ref="F10" authorId="0" shapeId="0" xr:uid="{62EF1241-B0F4-48DA-B505-597731D0D33C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OTRO CLIENTE</t>
        </r>
      </text>
    </comment>
    <comment ref="G44" authorId="0" shapeId="0" xr:uid="{EB7BF9B2-4EFC-48D3-A485-B3B0914ACB07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7 SACAS DE 85 KILOS
45 BOLSAS
</t>
        </r>
      </text>
    </comment>
    <comment ref="G46" authorId="0" shapeId="0" xr:uid="{08E457E5-EC99-40E1-AA25-DA5A09C297E0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BOLSAS</t>
        </r>
      </text>
    </comment>
    <comment ref="G47" authorId="0" shapeId="0" xr:uid="{E2DF4D46-331C-40AD-809D-3CA6A9FEEE40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COMPRADOR DE BOLSAS NUEVO A PARTIR DE ESTA SEMANA</t>
        </r>
      </text>
    </comment>
    <comment ref="G138" authorId="0" shapeId="0" xr:uid="{8D8226C8-0CE8-459A-ACDD-08E1333CF58A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31 BOLSAS
23 SACAS DE 85 KILOS
</t>
        </r>
      </text>
    </comment>
    <comment ref="F140" authorId="0" shapeId="0" xr:uid="{9B37F390-986F-4BB9-8BCF-02A8F2CCDFB5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OTRO CLIENTE</t>
        </r>
      </text>
    </comment>
    <comment ref="F234" authorId="0" shapeId="0" xr:uid="{8E8638DD-96B9-4971-8913-C0C88A8334FC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PARO ARMADO</t>
        </r>
      </text>
    </comment>
    <comment ref="G246" authorId="0" shapeId="0" xr:uid="{84A497A2-5D43-49A9-9231-B1F1752E2014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64 BOLSAS
2 SACAS DE 85 KILOS
</t>
        </r>
      </text>
    </comment>
    <comment ref="G247" authorId="0" shapeId="0" xr:uid="{A25AA955-357B-4AD1-B9D1-D0B64FE324AF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65 BOLSAS
2,8 SACAS DE 85 KILOS
</t>
        </r>
      </text>
    </comment>
    <comment ref="G249" authorId="0" shapeId="0" xr:uid="{3CD03152-3597-4BBB-BBA9-A92119BDA37C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46 BOLSAS
1,5 SACAS DE 85 KILO
</t>
        </r>
      </text>
    </comment>
    <comment ref="F250" authorId="0" shapeId="0" xr:uid="{61CFE42B-366F-4782-A925-282425C4EB86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123 BANACOL
45 OTRO CLIENTE
</t>
        </r>
      </text>
    </comment>
    <comment ref="F310" authorId="0" shapeId="0" xr:uid="{9696F7E4-AE2D-46F8-A184-EDBEF215981E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OTROS CLIENTE</t>
        </r>
      </text>
    </comment>
    <comment ref="G338" authorId="0" shapeId="0" xr:uid="{D0138392-81CF-4890-B783-C84C482F0513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6,5 SACAS DE 85 KILOS
114 BOLSAS</t>
        </r>
      </text>
    </comment>
    <comment ref="G340" authorId="0" shapeId="0" xr:uid="{2C3C88F5-8707-4752-9439-D1FEA1A129ED}">
      <text>
        <r>
          <rPr>
            <b/>
            <sz val="9"/>
            <color indexed="81"/>
            <rFont val="Tahoma"/>
            <family val="2"/>
          </rPr>
          <t>tropical food export:</t>
        </r>
        <r>
          <rPr>
            <sz val="9"/>
            <color indexed="81"/>
            <rFont val="Tahoma"/>
            <family val="2"/>
          </rPr>
          <t xml:space="preserve">
119 BOSAS
2 SACAS DE 85 KILOS</t>
        </r>
      </text>
    </comment>
  </commentList>
</comments>
</file>

<file path=xl/sharedStrings.xml><?xml version="1.0" encoding="utf-8"?>
<sst xmlns="http://schemas.openxmlformats.org/spreadsheetml/2006/main" count="2954" uniqueCount="283">
  <si>
    <t>PRECIO CAJA</t>
  </si>
  <si>
    <t>PRECIO BOLSA</t>
  </si>
  <si>
    <t>basico embarque</t>
  </si>
  <si>
    <t>BONIFICACION CAJA PEDRITO</t>
  </si>
  <si>
    <t>PRECIO CAJA PEDRITO</t>
  </si>
  <si>
    <t>PARA EL EMBARQUE SE CONTRATA DE ACUERDO A LA CANTIDAD DE CAJAS (20 CAJAS X PERSONA)</t>
  </si>
  <si>
    <t>FECHA</t>
  </si>
  <si>
    <t>N° SEMANA</t>
  </si>
  <si>
    <t>FINCA</t>
  </si>
  <si>
    <t>Cajas Elaboradas</t>
  </si>
  <si>
    <t>Bolsas Elaboradas</t>
  </si>
  <si>
    <t>N° DE PERSONAS EN EL EMBARQUE</t>
  </si>
  <si>
    <t>Rasimos Cosechados</t>
  </si>
  <si>
    <t>Rasimos Prosesados</t>
  </si>
  <si>
    <t>Rasimos Rechasados</t>
  </si>
  <si>
    <t>Ratio general</t>
  </si>
  <si>
    <t>Ratio Prosesado</t>
  </si>
  <si>
    <t>PRODUCIDO CAJA</t>
  </si>
  <si>
    <t>PRODUCIDO BOLSAS</t>
  </si>
  <si>
    <t>TOTAL PRODUCIDO</t>
  </si>
  <si>
    <t>Valor Pagado</t>
  </si>
  <si>
    <t>COEFICIENTE</t>
  </si>
  <si>
    <t>Precio Caja2</t>
  </si>
  <si>
    <t>VALOR GANADO</t>
  </si>
  <si>
    <t>VALOR  A PAGAR</t>
  </si>
  <si>
    <t>Columna1</t>
  </si>
  <si>
    <t>Columna2</t>
  </si>
  <si>
    <t>Columna3</t>
  </si>
  <si>
    <t>DAMAQUIEL</t>
  </si>
  <si>
    <t>SAN PEDRO</t>
  </si>
  <si>
    <t>UVEROS</t>
  </si>
  <si>
    <t>PEDRITO</t>
  </si>
  <si>
    <t xml:space="preserve">UVEROS </t>
  </si>
  <si>
    <t>uVEROS</t>
  </si>
  <si>
    <t>47100 aseo</t>
  </si>
  <si>
    <t>UVERO</t>
  </si>
  <si>
    <t>FORMATO DE TERMINACION DE EMBARQUE</t>
  </si>
  <si>
    <t>TROPICAL FOOD EXPORT ZOMAC S.A.S.</t>
  </si>
  <si>
    <t>DIA</t>
  </si>
  <si>
    <t>MES</t>
  </si>
  <si>
    <t>AÑO</t>
  </si>
  <si>
    <r>
      <t xml:space="preserve">SEMANA:                         </t>
    </r>
    <r>
      <rPr>
        <b/>
        <sz val="18"/>
        <color theme="1"/>
        <rFont val="Calibri"/>
        <family val="2"/>
        <scheme val="minor"/>
      </rPr>
      <t xml:space="preserve">        42</t>
    </r>
  </si>
  <si>
    <t>HORA 1ER VIAJE</t>
  </si>
  <si>
    <t>07:OO A.M</t>
  </si>
  <si>
    <t>CAJAS PROGRAMADAS</t>
  </si>
  <si>
    <t>HORA ULTIMO VIAJE</t>
  </si>
  <si>
    <t>04:00 P.M</t>
  </si>
  <si>
    <t>CAJAS PROCESADAS</t>
  </si>
  <si>
    <t>CAJAS X HOMBRE</t>
  </si>
  <si>
    <t>BANACOL</t>
  </si>
  <si>
    <t>RACIMOS DE 7 SEMANA</t>
  </si>
  <si>
    <t>DOLE</t>
  </si>
  <si>
    <t>RACIMOS DE 8 SEMANAS</t>
  </si>
  <si>
    <t>GENERICAS</t>
  </si>
  <si>
    <t>RACIMOS DE 9 SEMANA</t>
  </si>
  <si>
    <t>OTRA CAJA (1)</t>
  </si>
  <si>
    <t>RACIMOS DE 10 SEMANAS</t>
  </si>
  <si>
    <t>OTRA CAJA (2)</t>
  </si>
  <si>
    <t>TOTAL RACIMOS</t>
  </si>
  <si>
    <t>TOTAL CAJAS</t>
  </si>
  <si>
    <t>MERMA</t>
  </si>
  <si>
    <t>1120KLS = 58%</t>
  </si>
  <si>
    <t>BARCADILLERO:</t>
  </si>
  <si>
    <t>RATIO CORTADOS</t>
  </si>
  <si>
    <t>ERIKA MURILLO</t>
  </si>
  <si>
    <t>RATIO PROCESADOS</t>
  </si>
  <si>
    <t>2,700 KGS= 55</t>
  </si>
  <si>
    <t>6.50 am</t>
  </si>
  <si>
    <t>3.50m pm</t>
  </si>
  <si>
    <t>LUISA POLO</t>
  </si>
  <si>
    <t>06.10 AM</t>
  </si>
  <si>
    <t>100/10= 10</t>
  </si>
  <si>
    <t>1530 KILO = 17</t>
  </si>
  <si>
    <t>YARNESY MORELO</t>
  </si>
  <si>
    <r>
      <t xml:space="preserve">SEMANA:                         </t>
    </r>
    <r>
      <rPr>
        <b/>
        <sz val="18"/>
        <color theme="0"/>
        <rFont val="Calibri"/>
        <family val="2"/>
        <scheme val="minor"/>
      </rPr>
      <t xml:space="preserve">        43</t>
    </r>
  </si>
  <si>
    <t>07:3O A.M</t>
  </si>
  <si>
    <t>05:40 P.M</t>
  </si>
  <si>
    <t>644 = 25,76</t>
  </si>
  <si>
    <t>1890 x kilo =27</t>
  </si>
  <si>
    <t>RACIMOS DE 12 SEMANA</t>
  </si>
  <si>
    <t>CINTA CAIDA</t>
  </si>
  <si>
    <t>HERMINIA</t>
  </si>
  <si>
    <t>MARTA MARSIGLIA</t>
  </si>
  <si>
    <r>
      <t xml:space="preserve">SEMANA:                         </t>
    </r>
    <r>
      <rPr>
        <b/>
        <sz val="18"/>
        <color theme="0"/>
        <rFont val="Calibri"/>
        <family val="2"/>
        <scheme val="minor"/>
      </rPr>
      <t xml:space="preserve">        44</t>
    </r>
  </si>
  <si>
    <t xml:space="preserve"> SAN PEDRO</t>
  </si>
  <si>
    <t xml:space="preserve">     CAJAS MAURICIO</t>
  </si>
  <si>
    <t>SEMANA</t>
  </si>
  <si>
    <t>CANTIDAD</t>
  </si>
  <si>
    <t>TOTAL</t>
  </si>
  <si>
    <t>SRA GRACIELA</t>
  </si>
  <si>
    <t>TIA CANDELARIA</t>
  </si>
  <si>
    <t>POMA</t>
  </si>
  <si>
    <t>TIPO</t>
  </si>
  <si>
    <t>DEVOLUCION</t>
  </si>
  <si>
    <t xml:space="preserve">     CAJAS JUAN CARLO</t>
  </si>
  <si>
    <t>S PEDRO</t>
  </si>
  <si>
    <r>
      <t xml:space="preserve">SEMANA:                         </t>
    </r>
    <r>
      <rPr>
        <b/>
        <sz val="18"/>
        <rFont val="Calibri"/>
        <family val="2"/>
        <scheme val="minor"/>
      </rPr>
      <t xml:space="preserve">        45</t>
    </r>
  </si>
  <si>
    <t>5.50 PM</t>
  </si>
  <si>
    <t>JESUS MENDOZA</t>
  </si>
  <si>
    <t>RACIMOS DE11 SEMANAS</t>
  </si>
  <si>
    <t>RACIMOS DE 13 SEMANAS</t>
  </si>
  <si>
    <t>02:30PM</t>
  </si>
  <si>
    <t>270 KILOS</t>
  </si>
  <si>
    <t>ERIKA MORILLO</t>
  </si>
  <si>
    <r>
      <t xml:space="preserve">SEMANA:                         </t>
    </r>
    <r>
      <rPr>
        <b/>
        <sz val="18"/>
        <rFont val="Calibri"/>
        <family val="2"/>
        <scheme val="minor"/>
      </rPr>
      <t xml:space="preserve">        46</t>
    </r>
  </si>
  <si>
    <t>6;58 AM</t>
  </si>
  <si>
    <t>6;00 PM</t>
  </si>
  <si>
    <t>RACIMOS DE 11 SEMANAS</t>
  </si>
  <si>
    <t>RACIMO 11-12-13</t>
  </si>
  <si>
    <t>658 AM</t>
  </si>
  <si>
    <t>600PM</t>
  </si>
  <si>
    <t>810 kilos %25= 32,4 bolsas</t>
  </si>
  <si>
    <t>OTRA CAJA (2) JUAN CARLOS</t>
  </si>
  <si>
    <t>OTRA CAJA (1)MAURICIO</t>
  </si>
  <si>
    <t>LUISA MENA</t>
  </si>
  <si>
    <t>708 AM</t>
  </si>
  <si>
    <t>630 PM</t>
  </si>
  <si>
    <t>720 KILOS = 28,8 BOLSAS</t>
  </si>
  <si>
    <t>LUISA</t>
  </si>
  <si>
    <t>RACIMOS DE 11-12-13 SEMANAS</t>
  </si>
  <si>
    <t>GENERICA</t>
  </si>
  <si>
    <t>ojo</t>
  </si>
  <si>
    <t xml:space="preserve">     CAJAS FEDERICO</t>
  </si>
  <si>
    <t xml:space="preserve">     CAJAS MARILIN</t>
  </si>
  <si>
    <t>GRACIELA</t>
  </si>
  <si>
    <t>Precoerte</t>
  </si>
  <si>
    <t>Embarque</t>
  </si>
  <si>
    <t>Rechazo</t>
  </si>
  <si>
    <t>Fecha</t>
  </si>
  <si>
    <t>Semana</t>
  </si>
  <si>
    <t>Finca</t>
  </si>
  <si>
    <t>Cajas</t>
  </si>
  <si>
    <t>Precio Caja</t>
  </si>
  <si>
    <t>Total Racimos</t>
  </si>
  <si>
    <t>Ratio</t>
  </si>
  <si>
    <t>Precorte</t>
  </si>
  <si>
    <t>Cajas por Personas</t>
  </si>
  <si>
    <t>Bosas</t>
  </si>
  <si>
    <t>kilos</t>
  </si>
  <si>
    <t>Sacas</t>
  </si>
  <si>
    <t>Peso Sacas</t>
  </si>
  <si>
    <t>Personas13</t>
  </si>
  <si>
    <t>Bolsas</t>
  </si>
  <si>
    <t>Bolsas Por Personas</t>
  </si>
  <si>
    <t>Precio Bolsa</t>
  </si>
  <si>
    <t>Cajas Estimadas</t>
  </si>
  <si>
    <t>Valor Embarque Pesona</t>
  </si>
  <si>
    <t>Valor Precorte Pesona</t>
  </si>
  <si>
    <t>Valor bolsas Pesona</t>
  </si>
  <si>
    <t>Codigo Finca</t>
  </si>
  <si>
    <t>Nombre Finca</t>
  </si>
  <si>
    <t>San Pedro</t>
  </si>
  <si>
    <t>S20</t>
  </si>
  <si>
    <t>U21</t>
  </si>
  <si>
    <t>Uveros</t>
  </si>
  <si>
    <t>D22</t>
  </si>
  <si>
    <t>Damaquiel</t>
  </si>
  <si>
    <t>P23</t>
  </si>
  <si>
    <t>Pedrito</t>
  </si>
  <si>
    <t>Valor Precorte Pesona Precorte</t>
  </si>
  <si>
    <t>Cajas por Personas Precorte</t>
  </si>
  <si>
    <t>Valor Embarque Pesona3</t>
  </si>
  <si>
    <t>Cajas por Personas Embarque</t>
  </si>
  <si>
    <t>Valor bolsas Pesona2</t>
  </si>
  <si>
    <t>Personas Precorte</t>
  </si>
  <si>
    <t>Racimos Cortados</t>
  </si>
  <si>
    <t>Racimos Precortados</t>
  </si>
  <si>
    <t>Personas Precorte2</t>
  </si>
  <si>
    <t>Cajas Embarque</t>
  </si>
  <si>
    <t>Cajas por Personas2</t>
  </si>
  <si>
    <t>Caja Segunda</t>
  </si>
  <si>
    <t>Cajas Segunda</t>
  </si>
  <si>
    <t>Personas Intervienen</t>
  </si>
  <si>
    <t>Precio Caja Segunda</t>
  </si>
  <si>
    <t>PRECIO CAJA segunda</t>
  </si>
  <si>
    <t>Valor Embarque Pesona4</t>
  </si>
  <si>
    <t>Valor Embarque Pesona5</t>
  </si>
  <si>
    <t>Embarque primera</t>
  </si>
  <si>
    <t>Caja segunda</t>
  </si>
  <si>
    <t>Total Rechazo</t>
  </si>
  <si>
    <t>TOTAL A PAGAR</t>
  </si>
  <si>
    <t>Presonas Segunda</t>
  </si>
  <si>
    <t>Personas Rechazo</t>
  </si>
  <si>
    <t>Total Valor Segunda</t>
  </si>
  <si>
    <t>Perzona Primera</t>
  </si>
  <si>
    <t>Perzonas Precorte</t>
  </si>
  <si>
    <t>Total Valor Precorte</t>
  </si>
  <si>
    <t>Total Valor Primera</t>
  </si>
  <si>
    <t>A250</t>
  </si>
  <si>
    <t>A251</t>
  </si>
  <si>
    <t>A252</t>
  </si>
  <si>
    <t>A253</t>
  </si>
  <si>
    <t>Columna4</t>
  </si>
  <si>
    <t xml:space="preserve"> </t>
  </si>
  <si>
    <t>NO</t>
  </si>
  <si>
    <t>Columna7</t>
  </si>
  <si>
    <t>Columna8</t>
  </si>
  <si>
    <t>CUENTA BOLSAS DE 20 KILOS</t>
  </si>
  <si>
    <t xml:space="preserve">F SAN PEDRO </t>
  </si>
  <si>
    <t>FECHA 07/04/2022</t>
  </si>
  <si>
    <t>FLETE SRA GRACIELA</t>
  </si>
  <si>
    <t>CUANTO SE REAJUSTA</t>
  </si>
  <si>
    <t>TOTAL EMBARQUE REAJUSTADO</t>
  </si>
  <si>
    <t>Finca2</t>
  </si>
  <si>
    <t>Numero de Ocacionales</t>
  </si>
  <si>
    <t>EMBARQUE</t>
  </si>
  <si>
    <t>REAJUSTADO</t>
  </si>
  <si>
    <t>P023</t>
  </si>
  <si>
    <t>Pedrito 2</t>
  </si>
  <si>
    <t>BQ</t>
  </si>
  <si>
    <t>PEGA CARTON</t>
  </si>
  <si>
    <t>S020</t>
  </si>
  <si>
    <t>BARCADILLERO</t>
  </si>
  <si>
    <t xml:space="preserve">TOTALES </t>
  </si>
  <si>
    <t>COD FINCA</t>
  </si>
  <si>
    <t>P24</t>
  </si>
  <si>
    <t>NOTA</t>
  </si>
  <si>
    <t>S/NOTA</t>
  </si>
  <si>
    <t>RECIBO RECEPCION FRUTA ARGOLD</t>
  </si>
  <si>
    <t>CAJAS ELABORADAS</t>
  </si>
  <si>
    <t>CANTIDAD ENTREGADA</t>
  </si>
  <si>
    <t>S/NUMERO</t>
  </si>
  <si>
    <t>s020</t>
  </si>
  <si>
    <t>u21</t>
  </si>
  <si>
    <t>2953-2954-2955-2958</t>
  </si>
  <si>
    <t>2959-2960</t>
  </si>
  <si>
    <t>s/n</t>
  </si>
  <si>
    <t>S/N</t>
  </si>
  <si>
    <t>2962/63</t>
  </si>
  <si>
    <t>2964/2965</t>
  </si>
  <si>
    <t>TAPAS</t>
  </si>
  <si>
    <t>BASES</t>
  </si>
  <si>
    <t>LAMINILLAS</t>
  </si>
  <si>
    <t>DIVISIONES</t>
  </si>
  <si>
    <t>CANTIDAD ENTREGADA CAJAS ELABORADAS</t>
  </si>
  <si>
    <t>CARTON ENTREGADO ARGOLD</t>
  </si>
  <si>
    <t>EXISTENTE EN FINCAS</t>
  </si>
  <si>
    <t>ROSARIO</t>
  </si>
  <si>
    <t>CANTIDAD  CAJAS ELABORADAS</t>
  </si>
  <si>
    <t>INVENTARIO INICIAL</t>
  </si>
  <si>
    <t>TOTALES INVENTARIO DIF</t>
  </si>
  <si>
    <t>270 TAPAS + 280 BASES+200 DIVISIONES+300 LAMINILLA</t>
  </si>
  <si>
    <t>200 BASES+204 TAPAS</t>
  </si>
  <si>
    <t>BOLSAS CAMPO</t>
  </si>
  <si>
    <t>DESCRIPCION</t>
  </si>
  <si>
    <t>PRECIO</t>
  </si>
  <si>
    <t>RELACION CAJAS ELABORADAS</t>
  </si>
  <si>
    <t>U21-1</t>
  </si>
  <si>
    <t>D22-1</t>
  </si>
  <si>
    <t>BQ-1</t>
  </si>
  <si>
    <t>S020-1</t>
  </si>
  <si>
    <t>P023-1</t>
  </si>
  <si>
    <t>37 TAPAS EXOTIC</t>
  </si>
  <si>
    <t>OJO 119 TAPAS MARISCAL+85 BASES</t>
  </si>
  <si>
    <t>PAULA</t>
  </si>
  <si>
    <t>Año</t>
  </si>
  <si>
    <t>1 TAPA MARISCAL CAMPO+3 TAPAS Y BAESE USADAS</t>
  </si>
  <si>
    <t>TAPAS EXOTIC</t>
  </si>
  <si>
    <t>PÁULA</t>
  </si>
  <si>
    <t>s020-1</t>
  </si>
  <si>
    <t>CANDELATIA</t>
  </si>
  <si>
    <t>25 Y 26/04</t>
  </si>
  <si>
    <t>OJO 2 CAJAS OTRA EMPRESA</t>
  </si>
  <si>
    <t>CASOMA</t>
  </si>
  <si>
    <t>NOTA: HUBO DEVOLUCION 46 CAJAS</t>
  </si>
  <si>
    <t>ARGOL</t>
  </si>
  <si>
    <t>u21-1</t>
  </si>
  <si>
    <t>d22-1</t>
  </si>
  <si>
    <t>bq-1</t>
  </si>
  <si>
    <t>PRECORTE</t>
  </si>
  <si>
    <t xml:space="preserve">                                    </t>
  </si>
  <si>
    <t>TOE BONO 540 CAJAS SEMANALES</t>
  </si>
  <si>
    <t>P023-2</t>
  </si>
  <si>
    <t>BQ-2</t>
  </si>
  <si>
    <t>S020-2</t>
  </si>
  <si>
    <t>U21-2</t>
  </si>
  <si>
    <t>D22-2</t>
  </si>
  <si>
    <t>Precio Bolsa2</t>
  </si>
  <si>
    <t>Precio Rechazo</t>
  </si>
  <si>
    <t>s020-2</t>
  </si>
  <si>
    <t>p023-2</t>
  </si>
  <si>
    <t>u21-2</t>
  </si>
  <si>
    <t>d22-2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</si>
</sst>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[$-F800]dddd\,\ mmmm\ dd\,\ yyyy"/>
    <numFmt numFmtId="165" formatCode="_-* #,##0.0000_-;\-* #,##0.0000_-;_-* &quot;-&quot;_-;_-@_-"/>
    <numFmt numFmtId="166" formatCode="_-* #,##0.00_-;\-* #,##0.00_-;_-* &quot;-&quot;_-;_-@_-"/>
    <numFmt numFmtId="167" formatCode="0.0"/>
    <numFmt numFmtId="168" formatCode="dd/mm/yyyy;@"/>
    <numFmt numFmtId="169" formatCode="_-* #,##0_-;\-* #,##0_-;_-* &quot;-&quot;??_-;_-@_-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8"/>
      <color theme="1"/>
      <name val="Arial Nova Cond Light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8"/>
      <color theme="1"/>
      <name val="Arial Nova Cond Light"/>
      <family val="2"/>
    </font>
    <font>
      <b/>
      <sz val="26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Times New Roman"/>
      <family val="1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9"/>
      <color theme="4"/>
      <name val="Calibri"/>
      <family val="2"/>
      <scheme val="minor"/>
    </font>
    <font>
      <sz val="11"/>
      <color rgb="FF00206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83">
    <xf numFmtId="0" fontId="0" fillId="0" borderId="0" xfId="0"/>
    <xf numFmtId="14" fontId="0" fillId="0" borderId="0" xfId="0" applyNumberFormat="1"/>
    <xf numFmtId="41" fontId="4" fillId="0" borderId="0" xfId="1" applyFont="1" applyAlignment="1">
      <alignment vertical="center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/>
    </xf>
    <xf numFmtId="41" fontId="4" fillId="0" borderId="0" xfId="1" applyFont="1" applyFill="1" applyAlignment="1">
      <alignment vertical="center"/>
    </xf>
    <xf numFmtId="165" fontId="4" fillId="0" borderId="0" xfId="1" applyNumberFormat="1" applyFont="1" applyFill="1" applyAlignment="1">
      <alignment vertical="center"/>
    </xf>
    <xf numFmtId="41" fontId="4" fillId="0" borderId="0" xfId="1" applyFont="1" applyAlignment="1">
      <alignment horizontal="left" vertical="center"/>
    </xf>
    <xf numFmtId="1" fontId="4" fillId="8" borderId="6" xfId="1" applyNumberFormat="1" applyFont="1" applyFill="1" applyBorder="1" applyAlignment="1">
      <alignment horizontal="center" vertical="center"/>
    </xf>
    <xf numFmtId="1" fontId="4" fillId="8" borderId="7" xfId="1" applyNumberFormat="1" applyFont="1" applyFill="1" applyBorder="1" applyAlignment="1">
      <alignment horizontal="center" vertical="center"/>
    </xf>
    <xf numFmtId="41" fontId="4" fillId="8" borderId="6" xfId="1" applyFont="1" applyFill="1" applyBorder="1" applyAlignment="1">
      <alignment vertical="center"/>
    </xf>
    <xf numFmtId="41" fontId="4" fillId="6" borderId="8" xfId="1" applyFont="1" applyFill="1" applyBorder="1" applyAlignment="1">
      <alignment vertical="center"/>
    </xf>
    <xf numFmtId="41" fontId="4" fillId="6" borderId="1" xfId="1" applyFont="1" applyFill="1" applyBorder="1" applyAlignment="1">
      <alignment vertical="center"/>
    </xf>
    <xf numFmtId="165" fontId="4" fillId="6" borderId="8" xfId="1" applyNumberFormat="1" applyFont="1" applyFill="1" applyBorder="1" applyAlignment="1">
      <alignment vertical="center"/>
    </xf>
    <xf numFmtId="41" fontId="2" fillId="4" borderId="8" xfId="1" applyFont="1" applyFill="1" applyBorder="1" applyAlignment="1">
      <alignment vertical="center"/>
    </xf>
    <xf numFmtId="1" fontId="4" fillId="0" borderId="1" xfId="1" applyNumberFormat="1" applyFont="1" applyBorder="1" applyAlignment="1">
      <alignment horizontal="center" vertical="center"/>
    </xf>
    <xf numFmtId="41" fontId="4" fillId="0" borderId="1" xfId="1" applyFont="1" applyBorder="1" applyAlignment="1">
      <alignment horizontal="left" vertical="center"/>
    </xf>
    <xf numFmtId="1" fontId="4" fillId="0" borderId="8" xfId="1" applyNumberFormat="1" applyFont="1" applyBorder="1" applyAlignment="1">
      <alignment horizontal="center" vertical="center"/>
    </xf>
    <xf numFmtId="41" fontId="4" fillId="0" borderId="1" xfId="1" applyFont="1" applyBorder="1" applyAlignment="1">
      <alignment vertical="center"/>
    </xf>
    <xf numFmtId="41" fontId="4" fillId="5" borderId="8" xfId="1" applyFont="1" applyFill="1" applyBorder="1" applyAlignment="1">
      <alignment vertical="center"/>
    </xf>
    <xf numFmtId="41" fontId="4" fillId="5" borderId="1" xfId="1" applyFont="1" applyFill="1" applyBorder="1" applyAlignment="1">
      <alignment vertical="center"/>
    </xf>
    <xf numFmtId="165" fontId="4" fillId="5" borderId="8" xfId="1" applyNumberFormat="1" applyFont="1" applyFill="1" applyBorder="1" applyAlignment="1">
      <alignment vertical="center"/>
    </xf>
    <xf numFmtId="1" fontId="4" fillId="8" borderId="1" xfId="1" applyNumberFormat="1" applyFont="1" applyFill="1" applyBorder="1" applyAlignment="1">
      <alignment horizontal="center" vertical="center"/>
    </xf>
    <xf numFmtId="41" fontId="4" fillId="8" borderId="1" xfId="1" applyFont="1" applyFill="1" applyBorder="1" applyAlignment="1">
      <alignment horizontal="left" vertical="center"/>
    </xf>
    <xf numFmtId="1" fontId="4" fillId="8" borderId="8" xfId="1" applyNumberFormat="1" applyFont="1" applyFill="1" applyBorder="1" applyAlignment="1">
      <alignment horizontal="center" vertical="center"/>
    </xf>
    <xf numFmtId="41" fontId="4" fillId="8" borderId="1" xfId="1" applyFont="1" applyFill="1" applyBorder="1" applyAlignment="1">
      <alignment vertical="center"/>
    </xf>
    <xf numFmtId="1" fontId="4" fillId="8" borderId="4" xfId="1" applyNumberFormat="1" applyFont="1" applyFill="1" applyBorder="1" applyAlignment="1">
      <alignment horizontal="center" vertical="center"/>
    </xf>
    <xf numFmtId="41" fontId="4" fillId="8" borderId="4" xfId="1" applyFont="1" applyFill="1" applyBorder="1" applyAlignment="1">
      <alignment horizontal="left" vertical="center"/>
    </xf>
    <xf numFmtId="41" fontId="6" fillId="7" borderId="0" xfId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left" vertical="center"/>
    </xf>
    <xf numFmtId="164" fontId="4" fillId="0" borderId="5" xfId="1" applyNumberFormat="1" applyFont="1" applyBorder="1" applyAlignment="1">
      <alignment horizontal="left" vertical="center"/>
    </xf>
    <xf numFmtId="164" fontId="4" fillId="8" borderId="5" xfId="1" applyNumberFormat="1" applyFont="1" applyFill="1" applyBorder="1" applyAlignment="1">
      <alignment horizontal="left" vertical="center"/>
    </xf>
    <xf numFmtId="41" fontId="2" fillId="3" borderId="1" xfId="1" applyFont="1" applyFill="1" applyBorder="1" applyAlignment="1">
      <alignment vertical="center"/>
    </xf>
    <xf numFmtId="41" fontId="2" fillId="2" borderId="1" xfId="1" applyFont="1" applyFill="1" applyBorder="1" applyAlignment="1">
      <alignment vertical="center"/>
    </xf>
    <xf numFmtId="41" fontId="6" fillId="7" borderId="9" xfId="1" applyFont="1" applyFill="1" applyBorder="1" applyAlignment="1">
      <alignment horizontal="center" vertical="center"/>
    </xf>
    <xf numFmtId="41" fontId="6" fillId="7" borderId="10" xfId="1" applyFont="1" applyFill="1" applyBorder="1" applyAlignment="1">
      <alignment horizontal="center" vertical="center" wrapText="1"/>
    </xf>
    <xf numFmtId="41" fontId="6" fillId="7" borderId="11" xfId="1" applyFont="1" applyFill="1" applyBorder="1" applyAlignment="1">
      <alignment horizontal="center" vertical="center" wrapText="1"/>
    </xf>
    <xf numFmtId="41" fontId="6" fillId="7" borderId="4" xfId="1" applyFont="1" applyFill="1" applyBorder="1" applyAlignment="1">
      <alignment horizontal="center" vertical="center" wrapText="1"/>
    </xf>
    <xf numFmtId="41" fontId="6" fillId="7" borderId="3" xfId="1" applyFont="1" applyFill="1" applyBorder="1" applyAlignment="1">
      <alignment horizontal="center" vertical="center" wrapText="1"/>
    </xf>
    <xf numFmtId="165" fontId="6" fillId="7" borderId="3" xfId="1" applyNumberFormat="1" applyFont="1" applyFill="1" applyBorder="1" applyAlignment="1">
      <alignment horizontal="center" vertical="center" wrapText="1"/>
    </xf>
    <xf numFmtId="41" fontId="6" fillId="7" borderId="2" xfId="1" applyFont="1" applyFill="1" applyBorder="1" applyAlignment="1">
      <alignment horizontal="center" vertical="center" wrapText="1"/>
    </xf>
    <xf numFmtId="41" fontId="7" fillId="0" borderId="0" xfId="1" applyFont="1" applyAlignment="1">
      <alignment vertical="center"/>
    </xf>
    <xf numFmtId="41" fontId="4" fillId="0" borderId="0" xfId="1" applyFont="1" applyFill="1" applyAlignment="1">
      <alignment horizontal="left" vertical="center"/>
    </xf>
    <xf numFmtId="41" fontId="4" fillId="0" borderId="0" xfId="1" applyFont="1" applyFill="1" applyAlignment="1">
      <alignment horizontal="center" vertical="center"/>
    </xf>
    <xf numFmtId="41" fontId="6" fillId="0" borderId="12" xfId="1" applyFont="1" applyFill="1" applyBorder="1" applyAlignment="1">
      <alignment horizontal="center" vertical="center"/>
    </xf>
    <xf numFmtId="41" fontId="6" fillId="0" borderId="13" xfId="1" applyFont="1" applyFill="1" applyBorder="1" applyAlignment="1">
      <alignment horizontal="center" vertical="center" wrapText="1"/>
    </xf>
    <xf numFmtId="41" fontId="6" fillId="0" borderId="14" xfId="1" applyFont="1" applyFill="1" applyBorder="1" applyAlignment="1">
      <alignment horizontal="center" vertical="center" wrapText="1"/>
    </xf>
    <xf numFmtId="41" fontId="6" fillId="0" borderId="26" xfId="1" applyFont="1" applyFill="1" applyBorder="1" applyAlignment="1">
      <alignment horizontal="center" vertical="center" wrapText="1"/>
    </xf>
    <xf numFmtId="41" fontId="6" fillId="0" borderId="27" xfId="1" applyFont="1" applyFill="1" applyBorder="1" applyAlignment="1">
      <alignment horizontal="center" vertical="center" wrapText="1"/>
    </xf>
    <xf numFmtId="41" fontId="6" fillId="0" borderId="12" xfId="1" applyFont="1" applyFill="1" applyBorder="1" applyAlignment="1">
      <alignment horizontal="center" vertical="center" wrapText="1"/>
    </xf>
    <xf numFmtId="41" fontId="6" fillId="0" borderId="28" xfId="1" applyFont="1" applyFill="1" applyBorder="1" applyAlignment="1">
      <alignment horizontal="center" vertical="center" wrapText="1"/>
    </xf>
    <xf numFmtId="165" fontId="6" fillId="0" borderId="28" xfId="1" applyNumberFormat="1" applyFont="1" applyFill="1" applyBorder="1" applyAlignment="1">
      <alignment horizontal="center" vertical="center" wrapText="1"/>
    </xf>
    <xf numFmtId="41" fontId="6" fillId="0" borderId="7" xfId="1" applyFont="1" applyFill="1" applyBorder="1" applyAlignment="1">
      <alignment horizontal="center" vertical="center" wrapText="1"/>
    </xf>
    <xf numFmtId="41" fontId="6" fillId="0" borderId="6" xfId="1" applyFont="1" applyFill="1" applyBorder="1" applyAlignment="1">
      <alignment horizontal="center" vertical="center" wrapText="1"/>
    </xf>
    <xf numFmtId="41" fontId="6" fillId="0" borderId="21" xfId="1" applyFont="1" applyFill="1" applyBorder="1" applyAlignment="1">
      <alignment horizontal="center" vertical="center" wrapText="1"/>
    </xf>
    <xf numFmtId="41" fontId="5" fillId="0" borderId="0" xfId="1" applyFont="1" applyFill="1" applyAlignment="1">
      <alignment horizontal="center" vertical="center"/>
    </xf>
    <xf numFmtId="164" fontId="4" fillId="0" borderId="0" xfId="1" applyNumberFormat="1" applyFont="1" applyFill="1" applyBorder="1" applyAlignment="1">
      <alignment horizontal="left" vertical="center"/>
    </xf>
    <xf numFmtId="1" fontId="4" fillId="0" borderId="4" xfId="1" applyNumberFormat="1" applyFont="1" applyFill="1" applyBorder="1" applyAlignment="1">
      <alignment horizontal="center" vertical="center"/>
    </xf>
    <xf numFmtId="41" fontId="4" fillId="0" borderId="4" xfId="1" applyFont="1" applyFill="1" applyBorder="1" applyAlignment="1">
      <alignment horizontal="left" vertical="center"/>
    </xf>
    <xf numFmtId="1" fontId="4" fillId="0" borderId="3" xfId="1" applyNumberFormat="1" applyFont="1" applyFill="1" applyBorder="1" applyAlignment="1">
      <alignment horizontal="center" vertical="center"/>
    </xf>
    <xf numFmtId="41" fontId="4" fillId="0" borderId="22" xfId="1" applyFont="1" applyFill="1" applyBorder="1" applyAlignment="1">
      <alignment vertical="center"/>
    </xf>
    <xf numFmtId="41" fontId="4" fillId="0" borderId="23" xfId="1" applyFont="1" applyFill="1" applyBorder="1" applyAlignment="1">
      <alignment vertical="center"/>
    </xf>
    <xf numFmtId="166" fontId="4" fillId="0" borderId="24" xfId="1" applyNumberFormat="1" applyFont="1" applyFill="1" applyBorder="1" applyAlignment="1">
      <alignment vertical="center"/>
    </xf>
    <xf numFmtId="166" fontId="4" fillId="0" borderId="25" xfId="1" applyNumberFormat="1" applyFont="1" applyFill="1" applyBorder="1" applyAlignment="1">
      <alignment vertical="center"/>
    </xf>
    <xf numFmtId="41" fontId="4" fillId="0" borderId="0" xfId="1" applyFont="1" applyFill="1" applyBorder="1" applyAlignment="1">
      <alignment vertical="center"/>
    </xf>
    <xf numFmtId="41" fontId="4" fillId="0" borderId="4" xfId="1" applyFont="1" applyFill="1" applyBorder="1" applyAlignment="1">
      <alignment vertical="center"/>
    </xf>
    <xf numFmtId="41" fontId="4" fillId="0" borderId="3" xfId="1" applyFont="1" applyFill="1" applyBorder="1" applyAlignment="1">
      <alignment vertical="center"/>
    </xf>
    <xf numFmtId="166" fontId="8" fillId="0" borderId="3" xfId="1" applyNumberFormat="1" applyFont="1" applyFill="1" applyBorder="1" applyAlignment="1">
      <alignment vertical="center"/>
    </xf>
    <xf numFmtId="41" fontId="2" fillId="0" borderId="16" xfId="1" applyFont="1" applyFill="1" applyBorder="1" applyAlignment="1">
      <alignment vertical="center"/>
    </xf>
    <xf numFmtId="41" fontId="2" fillId="0" borderId="17" xfId="1" applyFont="1" applyFill="1" applyBorder="1" applyAlignment="1">
      <alignment vertical="center"/>
    </xf>
    <xf numFmtId="41" fontId="9" fillId="0" borderId="29" xfId="1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horizontal="left" vertical="center"/>
    </xf>
    <xf numFmtId="1" fontId="4" fillId="0" borderId="1" xfId="1" applyNumberFormat="1" applyFont="1" applyFill="1" applyBorder="1" applyAlignment="1">
      <alignment horizontal="center" vertical="center"/>
    </xf>
    <xf numFmtId="41" fontId="4" fillId="0" borderId="1" xfId="1" applyFont="1" applyFill="1" applyBorder="1" applyAlignment="1">
      <alignment horizontal="left" vertical="center"/>
    </xf>
    <xf numFmtId="1" fontId="4" fillId="0" borderId="8" xfId="1" applyNumberFormat="1" applyFont="1" applyFill="1" applyBorder="1" applyAlignment="1">
      <alignment horizontal="center" vertical="center"/>
    </xf>
    <xf numFmtId="41" fontId="4" fillId="0" borderId="18" xfId="1" applyFont="1" applyFill="1" applyBorder="1" applyAlignment="1">
      <alignment vertical="center"/>
    </xf>
    <xf numFmtId="41" fontId="4" fillId="0" borderId="20" xfId="1" applyFont="1" applyFill="1" applyBorder="1" applyAlignment="1">
      <alignment vertical="center"/>
    </xf>
    <xf numFmtId="166" fontId="4" fillId="0" borderId="15" xfId="1" applyNumberFormat="1" applyFont="1" applyFill="1" applyBorder="1" applyAlignment="1">
      <alignment vertical="center"/>
    </xf>
    <xf numFmtId="166" fontId="4" fillId="0" borderId="19" xfId="1" applyNumberFormat="1" applyFont="1" applyFill="1" applyBorder="1" applyAlignment="1">
      <alignment vertical="center"/>
    </xf>
    <xf numFmtId="41" fontId="4" fillId="0" borderId="5" xfId="1" applyFont="1" applyFill="1" applyBorder="1" applyAlignment="1">
      <alignment vertical="center"/>
    </xf>
    <xf numFmtId="41" fontId="4" fillId="0" borderId="1" xfId="1" applyFont="1" applyFill="1" applyBorder="1" applyAlignment="1">
      <alignment vertical="center"/>
    </xf>
    <xf numFmtId="41" fontId="4" fillId="0" borderId="8" xfId="1" applyFont="1" applyFill="1" applyBorder="1" applyAlignment="1">
      <alignment vertical="center"/>
    </xf>
    <xf numFmtId="166" fontId="8" fillId="0" borderId="8" xfId="1" applyNumberFormat="1" applyFont="1" applyFill="1" applyBorder="1" applyAlignment="1">
      <alignment vertical="center"/>
    </xf>
    <xf numFmtId="41" fontId="2" fillId="0" borderId="18" xfId="1" applyFont="1" applyFill="1" applyBorder="1" applyAlignment="1">
      <alignment vertical="center"/>
    </xf>
    <xf numFmtId="41" fontId="2" fillId="0" borderId="19" xfId="1" applyFont="1" applyFill="1" applyBorder="1" applyAlignment="1">
      <alignment vertical="center"/>
    </xf>
    <xf numFmtId="41" fontId="9" fillId="0" borderId="30" xfId="1" applyFont="1" applyFill="1" applyBorder="1" applyAlignment="1">
      <alignment vertical="center"/>
    </xf>
    <xf numFmtId="41" fontId="4" fillId="0" borderId="31" xfId="1" applyFont="1" applyFill="1" applyBorder="1" applyAlignment="1">
      <alignment vertical="center"/>
    </xf>
    <xf numFmtId="41" fontId="4" fillId="0" borderId="32" xfId="1" applyFont="1" applyFill="1" applyBorder="1" applyAlignment="1">
      <alignment vertical="center"/>
    </xf>
    <xf numFmtId="166" fontId="4" fillId="0" borderId="32" xfId="1" applyNumberFormat="1" applyFont="1" applyFill="1" applyBorder="1" applyAlignment="1">
      <alignment vertical="center"/>
    </xf>
    <xf numFmtId="166" fontId="4" fillId="0" borderId="33" xfId="1" applyNumberFormat="1" applyFont="1" applyFill="1" applyBorder="1" applyAlignment="1">
      <alignment vertical="center"/>
    </xf>
    <xf numFmtId="41" fontId="2" fillId="0" borderId="31" xfId="1" applyFont="1" applyFill="1" applyBorder="1" applyAlignment="1">
      <alignment vertical="center"/>
    </xf>
    <xf numFmtId="41" fontId="2" fillId="0" borderId="33" xfId="1" applyFont="1" applyFill="1" applyBorder="1" applyAlignment="1">
      <alignment vertical="center"/>
    </xf>
    <xf numFmtId="41" fontId="9" fillId="0" borderId="31" xfId="1" applyFont="1" applyFill="1" applyBorder="1" applyAlignment="1">
      <alignment vertical="center"/>
    </xf>
    <xf numFmtId="41" fontId="4" fillId="0" borderId="15" xfId="1" applyFont="1" applyFill="1" applyBorder="1" applyAlignment="1">
      <alignment vertical="center"/>
    </xf>
    <xf numFmtId="41" fontId="9" fillId="0" borderId="18" xfId="1" applyFont="1" applyFill="1" applyBorder="1" applyAlignment="1">
      <alignment vertical="center"/>
    </xf>
    <xf numFmtId="1" fontId="4" fillId="9" borderId="8" xfId="1" applyNumberFormat="1" applyFont="1" applyFill="1" applyBorder="1" applyAlignment="1">
      <alignment horizontal="center" vertical="center"/>
    </xf>
    <xf numFmtId="1" fontId="4" fillId="10" borderId="8" xfId="1" applyNumberFormat="1" applyFont="1" applyFill="1" applyBorder="1" applyAlignment="1">
      <alignment horizontal="center" vertical="center"/>
    </xf>
    <xf numFmtId="164" fontId="5" fillId="0" borderId="5" xfId="1" applyNumberFormat="1" applyFont="1" applyFill="1" applyBorder="1" applyAlignment="1">
      <alignment horizontal="left" vertical="center"/>
    </xf>
    <xf numFmtId="12" fontId="4" fillId="0" borderId="0" xfId="1" applyNumberFormat="1" applyFont="1" applyFill="1" applyAlignment="1">
      <alignment vertical="center"/>
    </xf>
    <xf numFmtId="167" fontId="4" fillId="0" borderId="1" xfId="1" applyNumberFormat="1" applyFont="1" applyFill="1" applyBorder="1" applyAlignment="1">
      <alignment horizontal="center" vertical="center"/>
    </xf>
    <xf numFmtId="41" fontId="6" fillId="0" borderId="10" xfId="1" applyFont="1" applyFill="1" applyBorder="1" applyAlignment="1">
      <alignment horizontal="center" vertical="center" wrapText="1"/>
    </xf>
    <xf numFmtId="164" fontId="12" fillId="0" borderId="5" xfId="1" applyNumberFormat="1" applyFont="1" applyFill="1" applyBorder="1" applyAlignment="1">
      <alignment horizontal="left" vertical="center"/>
    </xf>
    <xf numFmtId="1" fontId="12" fillId="0" borderId="1" xfId="1" applyNumberFormat="1" applyFont="1" applyFill="1" applyBorder="1" applyAlignment="1">
      <alignment horizontal="center" vertical="center"/>
    </xf>
    <xf numFmtId="41" fontId="12" fillId="0" borderId="1" xfId="1" applyFont="1" applyFill="1" applyBorder="1" applyAlignment="1">
      <alignment horizontal="left" vertical="center"/>
    </xf>
    <xf numFmtId="1" fontId="12" fillId="0" borderId="8" xfId="1" applyNumberFormat="1" applyFont="1" applyFill="1" applyBorder="1" applyAlignment="1">
      <alignment horizontal="center" vertical="center"/>
    </xf>
    <xf numFmtId="41" fontId="12" fillId="0" borderId="18" xfId="1" applyFont="1" applyFill="1" applyBorder="1" applyAlignment="1">
      <alignment vertical="center"/>
    </xf>
    <xf numFmtId="41" fontId="12" fillId="0" borderId="15" xfId="1" applyFont="1" applyFill="1" applyBorder="1" applyAlignment="1">
      <alignment vertical="center"/>
    </xf>
    <xf numFmtId="166" fontId="12" fillId="0" borderId="15" xfId="1" applyNumberFormat="1" applyFont="1" applyFill="1" applyBorder="1" applyAlignment="1">
      <alignment vertical="center"/>
    </xf>
    <xf numFmtId="166" fontId="12" fillId="0" borderId="19" xfId="1" applyNumberFormat="1" applyFont="1" applyFill="1" applyBorder="1" applyAlignment="1">
      <alignment vertical="center"/>
    </xf>
    <xf numFmtId="41" fontId="12" fillId="0" borderId="8" xfId="1" applyFont="1" applyFill="1" applyBorder="1" applyAlignment="1">
      <alignment vertical="center"/>
    </xf>
    <xf numFmtId="41" fontId="12" fillId="0" borderId="1" xfId="1" applyFont="1" applyFill="1" applyBorder="1" applyAlignment="1">
      <alignment vertical="center"/>
    </xf>
    <xf numFmtId="166" fontId="13" fillId="0" borderId="8" xfId="1" applyNumberFormat="1" applyFont="1" applyFill="1" applyBorder="1" applyAlignment="1">
      <alignment vertical="center"/>
    </xf>
    <xf numFmtId="41" fontId="12" fillId="0" borderId="5" xfId="1" applyFont="1" applyFill="1" applyBorder="1" applyAlignment="1">
      <alignment vertical="center"/>
    </xf>
    <xf numFmtId="41" fontId="14" fillId="0" borderId="18" xfId="1" applyFont="1" applyFill="1" applyBorder="1" applyAlignment="1">
      <alignment vertical="center"/>
    </xf>
    <xf numFmtId="41" fontId="14" fillId="0" borderId="19" xfId="1" applyFont="1" applyFill="1" applyBorder="1" applyAlignment="1">
      <alignment vertical="center"/>
    </xf>
    <xf numFmtId="0" fontId="18" fillId="9" borderId="30" xfId="0" applyFont="1" applyFill="1" applyBorder="1" applyAlignment="1">
      <alignment horizontal="center" vertical="center"/>
    </xf>
    <xf numFmtId="0" fontId="18" fillId="9" borderId="15" xfId="0" applyFont="1" applyFill="1" applyBorder="1" applyAlignment="1">
      <alignment horizontal="center" vertical="center"/>
    </xf>
    <xf numFmtId="0" fontId="18" fillId="9" borderId="20" xfId="0" applyFont="1" applyFill="1" applyBorder="1" applyAlignment="1">
      <alignment horizontal="center" vertical="center"/>
    </xf>
    <xf numFmtId="0" fontId="5" fillId="9" borderId="40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textRotation="255"/>
    </xf>
    <xf numFmtId="0" fontId="22" fillId="9" borderId="26" xfId="0" applyFont="1" applyFill="1" applyBorder="1" applyAlignment="1">
      <alignment horizontal="left" vertical="center"/>
    </xf>
    <xf numFmtId="0" fontId="22" fillId="9" borderId="56" xfId="0" applyFont="1" applyFill="1" applyBorder="1" applyAlignment="1">
      <alignment horizontal="center" vertical="center"/>
    </xf>
    <xf numFmtId="0" fontId="23" fillId="9" borderId="45" xfId="0" applyFont="1" applyFill="1" applyBorder="1" applyAlignment="1">
      <alignment horizontal="left" vertical="center"/>
    </xf>
    <xf numFmtId="0" fontId="0" fillId="9" borderId="58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59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13" fontId="4" fillId="0" borderId="0" xfId="1" applyNumberFormat="1" applyFont="1" applyFill="1" applyAlignment="1">
      <alignment vertical="center"/>
    </xf>
    <xf numFmtId="0" fontId="22" fillId="9" borderId="34" xfId="0" applyFont="1" applyFill="1" applyBorder="1" applyAlignment="1">
      <alignment horizontal="left" vertical="center"/>
    </xf>
    <xf numFmtId="0" fontId="22" fillId="9" borderId="38" xfId="0" applyFont="1" applyFill="1" applyBorder="1" applyAlignment="1">
      <alignment horizontal="center" vertical="center"/>
    </xf>
    <xf numFmtId="0" fontId="23" fillId="9" borderId="24" xfId="0" applyFont="1" applyFill="1" applyBorder="1" applyAlignment="1">
      <alignment horizontal="left" vertical="center"/>
    </xf>
    <xf numFmtId="0" fontId="22" fillId="9" borderId="20" xfId="0" applyFont="1" applyFill="1" applyBorder="1" applyAlignment="1">
      <alignment horizontal="left" vertical="center"/>
    </xf>
    <xf numFmtId="0" fontId="22" fillId="9" borderId="49" xfId="0" applyFont="1" applyFill="1" applyBorder="1" applyAlignment="1">
      <alignment horizontal="center" vertical="center"/>
    </xf>
    <xf numFmtId="1" fontId="32" fillId="0" borderId="8" xfId="1" applyNumberFormat="1" applyFont="1" applyFill="1" applyBorder="1" applyAlignment="1">
      <alignment horizontal="center" vertical="center"/>
    </xf>
    <xf numFmtId="0" fontId="23" fillId="13" borderId="24" xfId="0" applyFont="1" applyFill="1" applyBorder="1" applyAlignment="1">
      <alignment horizontal="center"/>
    </xf>
    <xf numFmtId="16" fontId="0" fillId="14" borderId="15" xfId="0" applyNumberFormat="1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16" fontId="0" fillId="15" borderId="15" xfId="0" applyNumberFormat="1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16" fontId="0" fillId="16" borderId="15" xfId="0" applyNumberFormat="1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16" fontId="0" fillId="3" borderId="15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" fontId="0" fillId="17" borderId="15" xfId="0" applyNumberFormat="1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9" borderId="0" xfId="0" applyFill="1"/>
    <xf numFmtId="0" fontId="23" fillId="12" borderId="5" xfId="0" applyFont="1" applyFill="1" applyBorder="1"/>
    <xf numFmtId="0" fontId="23" fillId="12" borderId="46" xfId="0" applyFont="1" applyFill="1" applyBorder="1"/>
    <xf numFmtId="0" fontId="23" fillId="0" borderId="0" xfId="0" applyFont="1"/>
    <xf numFmtId="0" fontId="23" fillId="18" borderId="15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15" xfId="0" applyFont="1" applyBorder="1" applyAlignment="1">
      <alignment horizontal="center"/>
    </xf>
    <xf numFmtId="168" fontId="23" fillId="0" borderId="15" xfId="0" applyNumberFormat="1" applyFont="1" applyBorder="1" applyAlignment="1">
      <alignment horizontal="center"/>
    </xf>
    <xf numFmtId="0" fontId="23" fillId="0" borderId="15" xfId="0" applyFont="1" applyBorder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22" fillId="6" borderId="15" xfId="0" applyFont="1" applyFill="1" applyBorder="1"/>
    <xf numFmtId="0" fontId="22" fillId="6" borderId="20" xfId="0" applyFont="1" applyFill="1" applyBorder="1"/>
    <xf numFmtId="0" fontId="2" fillId="6" borderId="49" xfId="0" applyFont="1" applyFill="1" applyBorder="1" applyAlignment="1">
      <alignment horizontal="center"/>
    </xf>
    <xf numFmtId="0" fontId="22" fillId="6" borderId="30" xfId="0" applyFont="1" applyFill="1" applyBorder="1"/>
    <xf numFmtId="0" fontId="22" fillId="6" borderId="20" xfId="0" applyFont="1" applyFill="1" applyBorder="1" applyAlignment="1">
      <alignment horizontal="center"/>
    </xf>
    <xf numFmtId="16" fontId="0" fillId="19" borderId="15" xfId="0" applyNumberFormat="1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9" borderId="15" xfId="0" applyFill="1" applyBorder="1"/>
    <xf numFmtId="16" fontId="0" fillId="9" borderId="15" xfId="0" applyNumberFormat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16" borderId="20" xfId="0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0" fontId="0" fillId="12" borderId="0" xfId="0" applyFill="1"/>
    <xf numFmtId="0" fontId="23" fillId="13" borderId="15" xfId="0" applyFont="1" applyFill="1" applyBorder="1" applyAlignment="1">
      <alignment horizontal="center"/>
    </xf>
    <xf numFmtId="0" fontId="23" fillId="21" borderId="5" xfId="0" applyFont="1" applyFill="1" applyBorder="1"/>
    <xf numFmtId="0" fontId="23" fillId="21" borderId="5" xfId="0" applyFont="1" applyFill="1" applyBorder="1" applyAlignment="1">
      <alignment horizontal="center" vertical="center" wrapText="1"/>
    </xf>
    <xf numFmtId="0" fontId="23" fillId="21" borderId="46" xfId="0" applyFont="1" applyFill="1" applyBorder="1"/>
    <xf numFmtId="0" fontId="0" fillId="21" borderId="46" xfId="0" applyFill="1" applyBorder="1" applyAlignment="1">
      <alignment vertical="center" wrapText="1"/>
    </xf>
    <xf numFmtId="0" fontId="23" fillId="13" borderId="2" xfId="0" applyFont="1" applyFill="1" applyBorder="1" applyAlignment="1">
      <alignment horizontal="center"/>
    </xf>
    <xf numFmtId="0" fontId="0" fillId="0" borderId="15" xfId="0" applyBorder="1"/>
    <xf numFmtId="0" fontId="23" fillId="13" borderId="23" xfId="0" applyFont="1" applyFill="1" applyBorder="1" applyAlignment="1">
      <alignment horizontal="center"/>
    </xf>
    <xf numFmtId="0" fontId="0" fillId="17" borderId="20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15" borderId="20" xfId="0" applyFill="1" applyBorder="1" applyAlignment="1">
      <alignment horizontal="center"/>
    </xf>
    <xf numFmtId="0" fontId="0" fillId="19" borderId="20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21" borderId="5" xfId="0" applyFill="1" applyBorder="1"/>
    <xf numFmtId="0" fontId="0" fillId="21" borderId="40" xfId="0" applyFill="1" applyBorder="1"/>
    <xf numFmtId="0" fontId="0" fillId="21" borderId="46" xfId="0" applyFill="1" applyBorder="1"/>
    <xf numFmtId="0" fontId="0" fillId="21" borderId="47" xfId="0" applyFill="1" applyBorder="1"/>
    <xf numFmtId="0" fontId="34" fillId="20" borderId="15" xfId="0" applyFont="1" applyFill="1" applyBorder="1" applyAlignment="1">
      <alignment horizontal="center"/>
    </xf>
    <xf numFmtId="0" fontId="21" fillId="20" borderId="15" xfId="0" applyFont="1" applyFill="1" applyBorder="1" applyAlignment="1">
      <alignment horizontal="center"/>
    </xf>
    <xf numFmtId="0" fontId="34" fillId="20" borderId="49" xfId="0" applyFont="1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33" fillId="18" borderId="15" xfId="0" applyFont="1" applyFill="1" applyBorder="1" applyAlignment="1">
      <alignment horizontal="center"/>
    </xf>
    <xf numFmtId="0" fontId="0" fillId="9" borderId="4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21" fillId="9" borderId="5" xfId="0" applyFont="1" applyFill="1" applyBorder="1" applyAlignment="1">
      <alignment horizontal="center" vertical="center"/>
    </xf>
    <xf numFmtId="0" fontId="21" fillId="9" borderId="40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30" fillId="9" borderId="5" xfId="0" applyFont="1" applyFill="1" applyBorder="1" applyAlignment="1">
      <alignment horizontal="center" vertical="center"/>
    </xf>
    <xf numFmtId="0" fontId="5" fillId="9" borderId="30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 textRotation="255"/>
    </xf>
    <xf numFmtId="0" fontId="30" fillId="9" borderId="34" xfId="0" applyFont="1" applyFill="1" applyBorder="1" applyAlignment="1">
      <alignment horizontal="center" vertical="center"/>
    </xf>
    <xf numFmtId="0" fontId="30" fillId="9" borderId="35" xfId="0" applyFont="1" applyFill="1" applyBorder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22" fillId="9" borderId="30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left" vertical="center"/>
    </xf>
    <xf numFmtId="0" fontId="22" fillId="9" borderId="5" xfId="0" applyFont="1" applyFill="1" applyBorder="1" applyAlignment="1">
      <alignment horizontal="center" vertical="center"/>
    </xf>
    <xf numFmtId="0" fontId="30" fillId="9" borderId="40" xfId="0" applyFont="1" applyFill="1" applyBorder="1" applyAlignment="1">
      <alignment horizontal="center" vertical="center"/>
    </xf>
    <xf numFmtId="0" fontId="22" fillId="9" borderId="4" xfId="0" applyFont="1" applyFill="1" applyBorder="1" applyAlignment="1">
      <alignment horizontal="left" vertical="center"/>
    </xf>
    <xf numFmtId="0" fontId="30" fillId="9" borderId="41" xfId="0" applyFont="1" applyFill="1" applyBorder="1" applyAlignment="1">
      <alignment horizontal="center" vertical="center"/>
    </xf>
    <xf numFmtId="0" fontId="21" fillId="9" borderId="3" xfId="0" applyFont="1" applyFill="1" applyBorder="1" applyAlignment="1">
      <alignment horizontal="center" vertical="center"/>
    </xf>
    <xf numFmtId="0" fontId="21" fillId="9" borderId="41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22" fillId="9" borderId="34" xfId="0" applyFont="1" applyFill="1" applyBorder="1" applyAlignment="1">
      <alignment horizontal="center" vertical="center"/>
    </xf>
    <xf numFmtId="0" fontId="24" fillId="9" borderId="20" xfId="0" applyFont="1" applyFill="1" applyBorder="1" applyAlignment="1">
      <alignment horizontal="center" vertical="center"/>
    </xf>
    <xf numFmtId="0" fontId="24" fillId="9" borderId="49" xfId="0" applyFont="1" applyFill="1" applyBorder="1" applyAlignment="1">
      <alignment horizontal="center" vertical="center"/>
    </xf>
    <xf numFmtId="0" fontId="24" fillId="9" borderId="30" xfId="0" applyFont="1" applyFill="1" applyBorder="1" applyAlignment="1">
      <alignment horizontal="center" vertical="center"/>
    </xf>
    <xf numFmtId="0" fontId="0" fillId="13" borderId="0" xfId="0" applyFill="1"/>
    <xf numFmtId="0" fontId="0" fillId="13" borderId="0" xfId="0" applyFill="1" applyAlignment="1">
      <alignment horizontal="center" wrapText="1"/>
    </xf>
    <xf numFmtId="0" fontId="0" fillId="23" borderId="15" xfId="0" applyFill="1" applyBorder="1" applyAlignment="1">
      <alignment horizontal="center"/>
    </xf>
    <xf numFmtId="0" fontId="0" fillId="23" borderId="0" xfId="0" applyFill="1"/>
    <xf numFmtId="41" fontId="2" fillId="23" borderId="18" xfId="1" applyFont="1" applyFill="1" applyBorder="1" applyAlignment="1">
      <alignment vertical="center"/>
    </xf>
    <xf numFmtId="0" fontId="34" fillId="13" borderId="49" xfId="0" applyFont="1" applyFill="1" applyBorder="1" applyAlignment="1">
      <alignment horizontal="center"/>
    </xf>
    <xf numFmtId="0" fontId="31" fillId="13" borderId="15" xfId="0" applyFont="1" applyFill="1" applyBorder="1" applyAlignment="1">
      <alignment horizontal="center"/>
    </xf>
    <xf numFmtId="0" fontId="31" fillId="13" borderId="20" xfId="0" applyFont="1" applyFill="1" applyBorder="1" applyAlignment="1">
      <alignment horizontal="center"/>
    </xf>
    <xf numFmtId="0" fontId="30" fillId="2" borderId="20" xfId="0" applyFont="1" applyFill="1" applyBorder="1" applyAlignment="1">
      <alignment horizontal="center"/>
    </xf>
    <xf numFmtId="14" fontId="30" fillId="2" borderId="20" xfId="0" applyNumberFormat="1" applyFont="1" applyFill="1" applyBorder="1" applyAlignment="1">
      <alignment horizontal="center"/>
    </xf>
    <xf numFmtId="4" fontId="4" fillId="0" borderId="1" xfId="1" applyNumberFormat="1" applyFont="1" applyFill="1" applyBorder="1" applyAlignment="1">
      <alignment horizontal="center" vertical="center"/>
    </xf>
    <xf numFmtId="0" fontId="23" fillId="12" borderId="0" xfId="0" applyFont="1" applyFill="1"/>
    <xf numFmtId="0" fontId="38" fillId="0" borderId="18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 wrapText="1"/>
    </xf>
    <xf numFmtId="0" fontId="38" fillId="0" borderId="19" xfId="0" applyFont="1" applyBorder="1" applyAlignment="1">
      <alignment horizontal="center" vertical="center" wrapText="1"/>
    </xf>
    <xf numFmtId="41" fontId="12" fillId="0" borderId="3" xfId="1" applyFont="1" applyFill="1" applyBorder="1" applyAlignment="1">
      <alignment vertical="center"/>
    </xf>
    <xf numFmtId="41" fontId="12" fillId="0" borderId="4" xfId="1" applyFont="1" applyFill="1" applyBorder="1" applyAlignment="1">
      <alignment vertical="center"/>
    </xf>
    <xf numFmtId="166" fontId="13" fillId="0" borderId="3" xfId="1" applyNumberFormat="1" applyFont="1" applyFill="1" applyBorder="1" applyAlignment="1">
      <alignment vertical="center"/>
    </xf>
    <xf numFmtId="41" fontId="12" fillId="0" borderId="0" xfId="1" applyFont="1" applyFill="1" applyBorder="1" applyAlignment="1">
      <alignment vertical="center"/>
    </xf>
    <xf numFmtId="0" fontId="0" fillId="0" borderId="0" xfId="0" applyAlignment="1">
      <alignment vertical="center"/>
    </xf>
    <xf numFmtId="43" fontId="38" fillId="2" borderId="15" xfId="2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30" xfId="0" applyBorder="1"/>
    <xf numFmtId="0" fontId="0" fillId="0" borderId="20" xfId="0" applyBorder="1"/>
    <xf numFmtId="0" fontId="0" fillId="0" borderId="4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0" xfId="0" applyBorder="1"/>
    <xf numFmtId="0" fontId="0" fillId="0" borderId="32" xfId="0" applyBorder="1"/>
    <xf numFmtId="0" fontId="0" fillId="0" borderId="1" xfId="0" applyBorder="1"/>
    <xf numFmtId="0" fontId="39" fillId="24" borderId="15" xfId="0" applyFont="1" applyFill="1" applyBorder="1" applyAlignment="1">
      <alignment horizontal="center" vertical="center" wrapText="1"/>
    </xf>
    <xf numFmtId="169" fontId="38" fillId="0" borderId="15" xfId="2" applyNumberFormat="1" applyFont="1" applyFill="1" applyBorder="1" applyAlignment="1">
      <alignment horizontal="center" vertical="center"/>
    </xf>
    <xf numFmtId="43" fontId="38" fillId="5" borderId="15" xfId="2" applyFont="1" applyFill="1" applyBorder="1" applyAlignment="1">
      <alignment vertical="center"/>
    </xf>
    <xf numFmtId="43" fontId="38" fillId="5" borderId="18" xfId="2" applyFont="1" applyFill="1" applyBorder="1" applyAlignment="1">
      <alignment vertical="center"/>
    </xf>
    <xf numFmtId="43" fontId="38" fillId="10" borderId="19" xfId="2" applyFont="1" applyFill="1" applyBorder="1" applyAlignment="1">
      <alignment vertical="center"/>
    </xf>
    <xf numFmtId="43" fontId="38" fillId="0" borderId="15" xfId="2" applyFont="1" applyFill="1" applyBorder="1" applyAlignment="1">
      <alignment horizontal="left" vertical="center" indent="1"/>
    </xf>
    <xf numFmtId="43" fontId="38" fillId="10" borderId="15" xfId="2" applyFont="1" applyFill="1" applyBorder="1" applyAlignment="1">
      <alignment vertical="center"/>
    </xf>
    <xf numFmtId="169" fontId="38" fillId="25" borderId="15" xfId="2" applyNumberFormat="1" applyFont="1" applyFill="1" applyBorder="1" applyAlignment="1">
      <alignment horizontal="center" vertical="center"/>
    </xf>
    <xf numFmtId="169" fontId="38" fillId="25" borderId="18" xfId="2" applyNumberFormat="1" applyFont="1" applyFill="1" applyBorder="1" applyAlignment="1">
      <alignment vertical="center"/>
    </xf>
    <xf numFmtId="169" fontId="38" fillId="25" borderId="15" xfId="2" applyNumberFormat="1" applyFont="1" applyFill="1" applyBorder="1" applyAlignment="1">
      <alignment vertical="center"/>
    </xf>
    <xf numFmtId="43" fontId="38" fillId="25" borderId="15" xfId="2" applyFont="1" applyFill="1" applyBorder="1" applyAlignment="1">
      <alignment vertical="center"/>
    </xf>
    <xf numFmtId="43" fontId="38" fillId="0" borderId="19" xfId="2" applyFont="1" applyFill="1" applyBorder="1" applyAlignment="1">
      <alignment horizontal="center" vertical="center"/>
    </xf>
    <xf numFmtId="43" fontId="38" fillId="25" borderId="18" xfId="2" applyFont="1" applyFill="1" applyBorder="1" applyAlignment="1">
      <alignment vertical="center"/>
    </xf>
    <xf numFmtId="164" fontId="4" fillId="0" borderId="31" xfId="1" applyNumberFormat="1" applyFont="1" applyFill="1" applyBorder="1" applyAlignment="1">
      <alignment horizontal="left" vertical="center"/>
    </xf>
    <xf numFmtId="169" fontId="38" fillId="25" borderId="32" xfId="2" applyNumberFormat="1" applyFont="1" applyFill="1" applyBorder="1" applyAlignment="1">
      <alignment horizontal="center" vertical="center"/>
    </xf>
    <xf numFmtId="169" fontId="38" fillId="0" borderId="32" xfId="2" applyNumberFormat="1" applyFont="1" applyFill="1" applyBorder="1" applyAlignment="1">
      <alignment horizontal="left" vertical="center" indent="1"/>
    </xf>
    <xf numFmtId="169" fontId="38" fillId="0" borderId="32" xfId="2" applyNumberFormat="1" applyFont="1" applyFill="1" applyBorder="1" applyAlignment="1">
      <alignment horizontal="center" vertical="center"/>
    </xf>
    <xf numFmtId="43" fontId="38" fillId="0" borderId="33" xfId="2" applyFont="1" applyFill="1" applyBorder="1" applyAlignment="1">
      <alignment horizontal="center" vertical="center"/>
    </xf>
    <xf numFmtId="169" fontId="38" fillId="25" borderId="32" xfId="2" applyNumberFormat="1" applyFont="1" applyFill="1" applyBorder="1" applyAlignment="1">
      <alignment vertical="center"/>
    </xf>
    <xf numFmtId="43" fontId="38" fillId="2" borderId="32" xfId="2" applyFont="1" applyFill="1" applyBorder="1" applyAlignment="1">
      <alignment vertical="center"/>
    </xf>
    <xf numFmtId="43" fontId="38" fillId="5" borderId="32" xfId="2" applyFont="1" applyFill="1" applyBorder="1" applyAlignment="1">
      <alignment vertical="center"/>
    </xf>
    <xf numFmtId="43" fontId="38" fillId="10" borderId="1" xfId="2" applyFont="1" applyFill="1" applyBorder="1" applyAlignment="1">
      <alignment vertical="center"/>
    </xf>
    <xf numFmtId="169" fontId="38" fillId="25" borderId="31" xfId="2" applyNumberFormat="1" applyFont="1" applyFill="1" applyBorder="1" applyAlignment="1">
      <alignment vertical="center"/>
    </xf>
    <xf numFmtId="43" fontId="38" fillId="10" borderId="33" xfId="2" applyFont="1" applyFill="1" applyBorder="1" applyAlignment="1">
      <alignment vertical="center"/>
    </xf>
    <xf numFmtId="43" fontId="38" fillId="25" borderId="31" xfId="2" applyFont="1" applyFill="1" applyBorder="1" applyAlignment="1">
      <alignment vertical="center"/>
    </xf>
    <xf numFmtId="43" fontId="38" fillId="25" borderId="32" xfId="2" applyFont="1" applyFill="1" applyBorder="1" applyAlignment="1">
      <alignment vertical="center"/>
    </xf>
    <xf numFmtId="43" fontId="38" fillId="5" borderId="31" xfId="2" applyFont="1" applyFill="1" applyBorder="1" applyAlignment="1">
      <alignment vertical="center"/>
    </xf>
    <xf numFmtId="43" fontId="38" fillId="10" borderId="32" xfId="2" applyFont="1" applyFill="1" applyBorder="1" applyAlignment="1">
      <alignment vertical="center"/>
    </xf>
    <xf numFmtId="43" fontId="41" fillId="10" borderId="19" xfId="2" applyFont="1" applyFill="1" applyBorder="1" applyAlignment="1">
      <alignment vertical="center"/>
    </xf>
    <xf numFmtId="169" fontId="0" fillId="0" borderId="15" xfId="0" applyNumberFormat="1" applyBorder="1" applyAlignment="1">
      <alignment horizontal="center" vertical="center"/>
    </xf>
    <xf numFmtId="169" fontId="38" fillId="10" borderId="15" xfId="2" applyNumberFormat="1" applyFont="1" applyFill="1" applyBorder="1" applyAlignment="1">
      <alignment vertical="center"/>
    </xf>
    <xf numFmtId="43" fontId="0" fillId="0" borderId="0" xfId="0" applyNumberFormat="1" applyAlignment="1">
      <alignment vertical="center"/>
    </xf>
    <xf numFmtId="169" fontId="38" fillId="0" borderId="15" xfId="2" applyNumberFormat="1" applyFont="1" applyFill="1" applyBorder="1" applyAlignment="1">
      <alignment horizontal="left" vertical="center" indent="1"/>
    </xf>
    <xf numFmtId="43" fontId="0" fillId="0" borderId="41" xfId="0" applyNumberFormat="1" applyBorder="1" applyAlignment="1">
      <alignment vertical="center"/>
    </xf>
    <xf numFmtId="169" fontId="0" fillId="0" borderId="41" xfId="0" applyNumberFormat="1" applyBorder="1" applyAlignment="1">
      <alignment vertical="center"/>
    </xf>
    <xf numFmtId="43" fontId="41" fillId="0" borderId="4" xfId="0" applyNumberFormat="1" applyFont="1" applyBorder="1" applyAlignment="1">
      <alignment vertical="center"/>
    </xf>
    <xf numFmtId="43" fontId="40" fillId="0" borderId="4" xfId="0" applyNumberFormat="1" applyFont="1" applyBorder="1" applyAlignment="1">
      <alignment vertical="center"/>
    </xf>
    <xf numFmtId="0" fontId="0" fillId="0" borderId="59" xfId="0" applyBorder="1" applyAlignment="1">
      <alignment vertical="center"/>
    </xf>
    <xf numFmtId="0" fontId="38" fillId="0" borderId="50" xfId="0" applyFont="1" applyBorder="1" applyAlignment="1">
      <alignment horizontal="center" vertical="center" wrapText="1"/>
    </xf>
    <xf numFmtId="169" fontId="2" fillId="0" borderId="50" xfId="0" applyNumberFormat="1" applyFont="1" applyBorder="1" applyAlignment="1">
      <alignment vertical="center"/>
    </xf>
    <xf numFmtId="169" fontId="40" fillId="0" borderId="19" xfId="2" applyNumberFormat="1" applyFont="1" applyBorder="1" applyAlignment="1">
      <alignment vertical="center"/>
    </xf>
    <xf numFmtId="169" fontId="0" fillId="0" borderId="0" xfId="0" applyNumberFormat="1" applyAlignment="1">
      <alignment vertical="center"/>
    </xf>
    <xf numFmtId="43" fontId="40" fillId="0" borderId="66" xfId="0" applyNumberFormat="1" applyFont="1" applyBorder="1" applyAlignment="1">
      <alignment vertical="center"/>
    </xf>
    <xf numFmtId="43" fontId="41" fillId="0" borderId="66" xfId="0" applyNumberFormat="1" applyFont="1" applyBorder="1" applyAlignment="1">
      <alignment vertical="center"/>
    </xf>
    <xf numFmtId="43" fontId="41" fillId="0" borderId="36" xfId="0" applyNumberFormat="1" applyFont="1" applyBorder="1" applyAlignment="1">
      <alignment vertical="center"/>
    </xf>
    <xf numFmtId="0" fontId="38" fillId="0" borderId="20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43" fontId="41" fillId="0" borderId="0" xfId="0" applyNumberFormat="1" applyFont="1" applyAlignment="1">
      <alignment vertical="center"/>
    </xf>
    <xf numFmtId="169" fontId="0" fillId="0" borderId="32" xfId="0" applyNumberFormat="1" applyBorder="1" applyAlignment="1">
      <alignment horizontal="center" vertical="center"/>
    </xf>
    <xf numFmtId="169" fontId="40" fillId="0" borderId="1" xfId="2" applyNumberFormat="1" applyFont="1" applyBorder="1" applyAlignment="1">
      <alignment vertical="center"/>
    </xf>
    <xf numFmtId="169" fontId="2" fillId="0" borderId="67" xfId="0" applyNumberFormat="1" applyFont="1" applyBorder="1" applyAlignment="1">
      <alignment vertical="center"/>
    </xf>
    <xf numFmtId="0" fontId="38" fillId="0" borderId="2" xfId="0" applyFont="1" applyBorder="1" applyAlignment="1">
      <alignment horizontal="center" vertical="center" wrapText="1"/>
    </xf>
    <xf numFmtId="0" fontId="38" fillId="0" borderId="33" xfId="0" applyFont="1" applyBorder="1" applyAlignment="1">
      <alignment horizontal="center" vertical="center"/>
    </xf>
    <xf numFmtId="1" fontId="4" fillId="0" borderId="15" xfId="1" applyNumberFormat="1" applyFont="1" applyFill="1" applyBorder="1" applyAlignment="1">
      <alignment horizontal="center" vertical="center"/>
    </xf>
    <xf numFmtId="1" fontId="4" fillId="9" borderId="1" xfId="1" applyNumberFormat="1" applyFont="1" applyFill="1" applyBorder="1" applyAlignment="1">
      <alignment horizontal="center" vertical="center"/>
    </xf>
    <xf numFmtId="43" fontId="0" fillId="0" borderId="32" xfId="0" applyNumberFormat="1" applyBorder="1" applyAlignment="1">
      <alignment vertical="center"/>
    </xf>
    <xf numFmtId="43" fontId="41" fillId="0" borderId="33" xfId="0" applyNumberFormat="1" applyFont="1" applyBorder="1" applyAlignment="1">
      <alignment vertical="center"/>
    </xf>
    <xf numFmtId="169" fontId="0" fillId="0" borderId="32" xfId="0" applyNumberFormat="1" applyBorder="1" applyAlignment="1">
      <alignment vertical="center"/>
    </xf>
    <xf numFmtId="43" fontId="40" fillId="0" borderId="33" xfId="0" applyNumberFormat="1" applyFont="1" applyBorder="1" applyAlignment="1">
      <alignment vertical="center"/>
    </xf>
    <xf numFmtId="164" fontId="4" fillId="0" borderId="18" xfId="1" applyNumberFormat="1" applyFont="1" applyFill="1" applyBorder="1" applyAlignment="1">
      <alignment horizontal="left" vertical="center"/>
    </xf>
    <xf numFmtId="0" fontId="38" fillId="0" borderId="19" xfId="0" applyFont="1" applyBorder="1" applyAlignment="1">
      <alignment horizontal="center" vertical="center"/>
    </xf>
    <xf numFmtId="43" fontId="38" fillId="10" borderId="20" xfId="2" applyFont="1" applyFill="1" applyBorder="1" applyAlignment="1">
      <alignment vertical="center"/>
    </xf>
    <xf numFmtId="169" fontId="40" fillId="0" borderId="20" xfId="2" applyNumberFormat="1" applyFont="1" applyBorder="1" applyAlignment="1">
      <alignment vertical="center"/>
    </xf>
    <xf numFmtId="169" fontId="2" fillId="0" borderId="68" xfId="0" applyNumberFormat="1" applyFont="1" applyBorder="1" applyAlignment="1">
      <alignment vertical="center"/>
    </xf>
    <xf numFmtId="43" fontId="38" fillId="0" borderId="32" xfId="2" applyFont="1" applyFill="1" applyBorder="1" applyAlignment="1">
      <alignment horizontal="left" vertical="center" indent="1"/>
    </xf>
    <xf numFmtId="13" fontId="38" fillId="25" borderId="18" xfId="2" applyNumberFormat="1" applyFont="1" applyFill="1" applyBorder="1" applyAlignment="1">
      <alignment vertical="center"/>
    </xf>
    <xf numFmtId="169" fontId="38" fillId="20" borderId="31" xfId="2" applyNumberFormat="1" applyFont="1" applyFill="1" applyBorder="1" applyAlignment="1">
      <alignment vertical="center"/>
    </xf>
    <xf numFmtId="169" fontId="38" fillId="20" borderId="18" xfId="2" applyNumberFormat="1" applyFont="1" applyFill="1" applyBorder="1" applyAlignment="1">
      <alignment vertical="center"/>
    </xf>
    <xf numFmtId="2" fontId="0" fillId="16" borderId="15" xfId="0" applyNumberFormat="1" applyFill="1" applyBorder="1" applyAlignment="1">
      <alignment horizontal="center" vertical="center"/>
    </xf>
    <xf numFmtId="169" fontId="0" fillId="0" borderId="0" xfId="2" applyNumberFormat="1" applyFont="1" applyAlignment="1">
      <alignment vertical="center"/>
    </xf>
    <xf numFmtId="1" fontId="4" fillId="23" borderId="8" xfId="1" applyNumberFormat="1" applyFont="1" applyFill="1" applyBorder="1" applyAlignment="1">
      <alignment horizontal="center" vertical="center"/>
    </xf>
    <xf numFmtId="169" fontId="0" fillId="0" borderId="0" xfId="2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13" fontId="38" fillId="25" borderId="31" xfId="2" applyNumberFormat="1" applyFont="1" applyFill="1" applyBorder="1" applyAlignment="1">
      <alignment vertical="center"/>
    </xf>
    <xf numFmtId="0" fontId="0" fillId="9" borderId="0" xfId="0" applyFill="1" applyAlignment="1">
      <alignment vertical="center"/>
    </xf>
    <xf numFmtId="0" fontId="40" fillId="9" borderId="0" xfId="0" applyFont="1" applyFill="1" applyAlignment="1">
      <alignment vertical="center"/>
    </xf>
    <xf numFmtId="169" fontId="38" fillId="23" borderId="31" xfId="2" applyNumberFormat="1" applyFont="1" applyFill="1" applyBorder="1" applyAlignment="1">
      <alignment vertical="center"/>
    </xf>
    <xf numFmtId="169" fontId="38" fillId="0" borderId="2" xfId="2" applyNumberFormat="1" applyFont="1" applyBorder="1" applyAlignment="1">
      <alignment horizontal="center" vertical="center" wrapText="1"/>
    </xf>
    <xf numFmtId="12" fontId="38" fillId="5" borderId="32" xfId="2" applyNumberFormat="1" applyFont="1" applyFill="1" applyBorder="1" applyAlignment="1">
      <alignment vertical="center"/>
    </xf>
    <xf numFmtId="1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41" fontId="6" fillId="24" borderId="12" xfId="1" applyFont="1" applyFill="1" applyBorder="1" applyAlignment="1">
      <alignment horizontal="center" vertical="center"/>
    </xf>
    <xf numFmtId="41" fontId="6" fillId="24" borderId="13" xfId="1" applyFont="1" applyFill="1" applyBorder="1" applyAlignment="1">
      <alignment horizontal="center" vertical="center" wrapText="1"/>
    </xf>
    <xf numFmtId="41" fontId="6" fillId="24" borderId="27" xfId="1" applyFont="1" applyFill="1" applyBorder="1" applyAlignment="1">
      <alignment horizontal="center" vertical="center" wrapText="1"/>
    </xf>
    <xf numFmtId="41" fontId="6" fillId="24" borderId="14" xfId="1" applyFont="1" applyFill="1" applyBorder="1" applyAlignment="1">
      <alignment horizontal="center" vertical="center" wrapText="1"/>
    </xf>
    <xf numFmtId="41" fontId="6" fillId="24" borderId="26" xfId="1" applyFont="1" applyFill="1" applyBorder="1" applyAlignment="1">
      <alignment horizontal="center" vertical="center" wrapText="1"/>
    </xf>
    <xf numFmtId="164" fontId="4" fillId="26" borderId="73" xfId="1" applyNumberFormat="1" applyFont="1" applyFill="1" applyBorder="1" applyAlignment="1">
      <alignment horizontal="left" vertical="center"/>
    </xf>
    <xf numFmtId="1" fontId="4" fillId="26" borderId="72" xfId="1" applyNumberFormat="1" applyFont="1" applyFill="1" applyBorder="1" applyAlignment="1">
      <alignment horizontal="center" vertical="center"/>
    </xf>
    <xf numFmtId="1" fontId="4" fillId="26" borderId="74" xfId="1" applyNumberFormat="1" applyFont="1" applyFill="1" applyBorder="1" applyAlignment="1">
      <alignment horizontal="center" vertical="center"/>
    </xf>
    <xf numFmtId="41" fontId="4" fillId="26" borderId="72" xfId="1" applyFont="1" applyFill="1" applyBorder="1" applyAlignment="1">
      <alignment horizontal="left" vertical="center"/>
    </xf>
    <xf numFmtId="1" fontId="4" fillId="26" borderId="73" xfId="1" applyNumberFormat="1" applyFont="1" applyFill="1" applyBorder="1" applyAlignment="1">
      <alignment horizontal="center" vertical="center"/>
    </xf>
    <xf numFmtId="164" fontId="4" fillId="0" borderId="73" xfId="1" applyNumberFormat="1" applyFont="1" applyBorder="1" applyAlignment="1">
      <alignment horizontal="left" vertical="center"/>
    </xf>
    <xf numFmtId="1" fontId="4" fillId="0" borderId="72" xfId="1" applyNumberFormat="1" applyFont="1" applyBorder="1" applyAlignment="1">
      <alignment horizontal="center" vertical="center"/>
    </xf>
    <xf numFmtId="41" fontId="4" fillId="0" borderId="72" xfId="1" applyFont="1" applyBorder="1" applyAlignment="1">
      <alignment horizontal="left" vertical="center"/>
    </xf>
    <xf numFmtId="1" fontId="32" fillId="0" borderId="73" xfId="1" applyNumberFormat="1" applyFont="1" applyBorder="1" applyAlignment="1">
      <alignment horizontal="center" vertical="center"/>
    </xf>
    <xf numFmtId="1" fontId="4" fillId="0" borderId="73" xfId="1" applyNumberFormat="1" applyFont="1" applyBorder="1" applyAlignment="1">
      <alignment horizontal="center" vertical="center"/>
    </xf>
    <xf numFmtId="1" fontId="12" fillId="0" borderId="73" xfId="1" applyNumberFormat="1" applyFont="1" applyBorder="1" applyAlignment="1">
      <alignment horizontal="center" vertical="center"/>
    </xf>
    <xf numFmtId="0" fontId="38" fillId="26" borderId="20" xfId="0" applyFont="1" applyFill="1" applyBorder="1" applyAlignment="1">
      <alignment horizontal="center" vertical="center"/>
    </xf>
    <xf numFmtId="169" fontId="38" fillId="26" borderId="15" xfId="2" applyNumberFormat="1" applyFont="1" applyFill="1" applyBorder="1" applyAlignment="1">
      <alignment horizontal="left" vertical="center" indent="1"/>
    </xf>
    <xf numFmtId="169" fontId="38" fillId="0" borderId="15" xfId="2" applyNumberFormat="1" applyFont="1" applyBorder="1" applyAlignment="1">
      <alignment horizontal="left" vertical="center" indent="1"/>
    </xf>
    <xf numFmtId="164" fontId="4" fillId="26" borderId="69" xfId="1" applyNumberFormat="1" applyFont="1" applyFill="1" applyBorder="1" applyAlignment="1">
      <alignment horizontal="left" vertical="center"/>
    </xf>
    <xf numFmtId="0" fontId="38" fillId="26" borderId="70" xfId="0" applyFont="1" applyFill="1" applyBorder="1" applyAlignment="1">
      <alignment horizontal="center" vertical="center"/>
    </xf>
    <xf numFmtId="169" fontId="38" fillId="25" borderId="71" xfId="2" applyNumberFormat="1" applyFont="1" applyFill="1" applyBorder="1" applyAlignment="1">
      <alignment horizontal="center" vertical="center"/>
    </xf>
    <xf numFmtId="164" fontId="4" fillId="0" borderId="18" xfId="1" applyNumberFormat="1" applyFont="1" applyBorder="1" applyAlignment="1">
      <alignment horizontal="left" vertical="center"/>
    </xf>
    <xf numFmtId="43" fontId="38" fillId="0" borderId="15" xfId="2" applyFont="1" applyBorder="1" applyAlignment="1">
      <alignment horizontal="left" vertical="center" indent="1"/>
    </xf>
    <xf numFmtId="164" fontId="4" fillId="26" borderId="18" xfId="1" applyNumberFormat="1" applyFont="1" applyFill="1" applyBorder="1" applyAlignment="1">
      <alignment horizontal="left" vertical="center"/>
    </xf>
    <xf numFmtId="0" fontId="38" fillId="26" borderId="19" xfId="0" applyFont="1" applyFill="1" applyBorder="1" applyAlignment="1">
      <alignment horizontal="center" vertical="center"/>
    </xf>
    <xf numFmtId="43" fontId="38" fillId="26" borderId="15" xfId="2" applyFont="1" applyFill="1" applyBorder="1" applyAlignment="1">
      <alignment horizontal="left" vertical="center" indent="1"/>
    </xf>
    <xf numFmtId="164" fontId="4" fillId="0" borderId="69" xfId="1" applyNumberFormat="1" applyFont="1" applyBorder="1" applyAlignment="1">
      <alignment horizontal="left" vertical="center"/>
    </xf>
    <xf numFmtId="0" fontId="38" fillId="0" borderId="70" xfId="0" applyFont="1" applyBorder="1" applyAlignment="1">
      <alignment horizontal="center" vertical="center"/>
    </xf>
    <xf numFmtId="43" fontId="38" fillId="0" borderId="71" xfId="2" applyFont="1" applyBorder="1" applyAlignment="1">
      <alignment horizontal="left" vertical="center" indent="1"/>
    </xf>
    <xf numFmtId="43" fontId="38" fillId="26" borderId="71" xfId="2" applyFont="1" applyFill="1" applyBorder="1" applyAlignment="1">
      <alignment horizontal="left" vertical="center" indent="1"/>
    </xf>
    <xf numFmtId="1" fontId="4" fillId="26" borderId="73" xfId="1" applyNumberFormat="1" applyFont="1" applyFill="1" applyBorder="1" applyAlignment="1">
      <alignment vertical="center"/>
    </xf>
    <xf numFmtId="43" fontId="38" fillId="25" borderId="69" xfId="2" applyFont="1" applyFill="1" applyBorder="1" applyAlignment="1">
      <alignment vertical="center"/>
    </xf>
    <xf numFmtId="43" fontId="38" fillId="25" borderId="71" xfId="2" applyFont="1" applyFill="1" applyBorder="1" applyAlignment="1">
      <alignment vertical="center"/>
    </xf>
    <xf numFmtId="1" fontId="4" fillId="23" borderId="73" xfId="1" applyNumberFormat="1" applyFont="1" applyFill="1" applyBorder="1" applyAlignment="1">
      <alignment horizontal="center" vertical="center"/>
    </xf>
    <xf numFmtId="169" fontId="38" fillId="25" borderId="71" xfId="2" applyNumberFormat="1" applyFont="1" applyFill="1" applyBorder="1" applyAlignment="1">
      <alignment vertical="center"/>
    </xf>
    <xf numFmtId="41" fontId="4" fillId="26" borderId="72" xfId="1" applyFont="1" applyFill="1" applyBorder="1" applyAlignment="1">
      <alignment horizontal="center" vertical="center"/>
    </xf>
    <xf numFmtId="41" fontId="4" fillId="0" borderId="72" xfId="1" applyFont="1" applyBorder="1" applyAlignment="1">
      <alignment horizontal="center" vertical="center"/>
    </xf>
    <xf numFmtId="0" fontId="42" fillId="0" borderId="0" xfId="0" applyFont="1"/>
    <xf numFmtId="1" fontId="43" fillId="27" borderId="20" xfId="1" applyNumberFormat="1" applyFont="1" applyFill="1" applyBorder="1" applyAlignment="1">
      <alignment horizontal="center" vertical="center"/>
    </xf>
    <xf numFmtId="0" fontId="43" fillId="27" borderId="49" xfId="0" applyFont="1" applyFill="1" applyBorder="1"/>
    <xf numFmtId="169" fontId="43" fillId="27" borderId="15" xfId="2" applyNumberFormat="1" applyFont="1" applyFill="1" applyBorder="1" applyAlignment="1"/>
    <xf numFmtId="1" fontId="43" fillId="27" borderId="15" xfId="0" applyNumberFormat="1" applyFont="1" applyFill="1" applyBorder="1"/>
    <xf numFmtId="1" fontId="43" fillId="27" borderId="30" xfId="0" applyNumberFormat="1" applyFont="1" applyFill="1" applyBorder="1"/>
    <xf numFmtId="4" fontId="38" fillId="25" borderId="18" xfId="2" applyNumberFormat="1" applyFont="1" applyFill="1" applyBorder="1" applyAlignment="1">
      <alignment vertical="center"/>
    </xf>
    <xf numFmtId="1" fontId="44" fillId="27" borderId="20" xfId="1" applyNumberFormat="1" applyFont="1" applyFill="1" applyBorder="1" applyAlignment="1">
      <alignment horizontal="center" vertical="center"/>
    </xf>
    <xf numFmtId="0" fontId="44" fillId="27" borderId="49" xfId="0" applyFont="1" applyFill="1" applyBorder="1"/>
    <xf numFmtId="1" fontId="44" fillId="27" borderId="15" xfId="0" applyNumberFormat="1" applyFont="1" applyFill="1" applyBorder="1"/>
    <xf numFmtId="1" fontId="44" fillId="27" borderId="30" xfId="0" applyNumberFormat="1" applyFont="1" applyFill="1" applyBorder="1"/>
    <xf numFmtId="0" fontId="0" fillId="0" borderId="0" xfId="2" applyNumberFormat="1" applyFont="1" applyBorder="1" applyAlignment="1">
      <alignment vertical="center"/>
    </xf>
    <xf numFmtId="169" fontId="38" fillId="25" borderId="1" xfId="2" applyNumberFormat="1" applyFont="1" applyFill="1" applyBorder="1" applyAlignment="1">
      <alignment horizontal="center" vertical="center"/>
    </xf>
    <xf numFmtId="43" fontId="38" fillId="25" borderId="40" xfId="2" applyFont="1" applyFill="1" applyBorder="1" applyAlignment="1">
      <alignment vertical="center"/>
    </xf>
    <xf numFmtId="164" fontId="4" fillId="26" borderId="0" xfId="1" applyNumberFormat="1" applyFont="1" applyFill="1" applyBorder="1" applyAlignment="1">
      <alignment horizontal="left" vertical="center"/>
    </xf>
    <xf numFmtId="41" fontId="4" fillId="26" borderId="1" xfId="1" applyFont="1" applyFill="1" applyBorder="1" applyAlignment="1">
      <alignment horizontal="center" vertical="center"/>
    </xf>
    <xf numFmtId="41" fontId="4" fillId="26" borderId="5" xfId="1" applyFont="1" applyFill="1" applyBorder="1" applyAlignment="1">
      <alignment horizontal="left" vertical="center"/>
    </xf>
    <xf numFmtId="1" fontId="4" fillId="26" borderId="5" xfId="1" applyNumberFormat="1" applyFont="1" applyFill="1" applyBorder="1" applyAlignment="1">
      <alignment horizontal="center" vertical="center"/>
    </xf>
    <xf numFmtId="0" fontId="38" fillId="26" borderId="0" xfId="0" applyFont="1" applyFill="1" applyAlignment="1">
      <alignment horizontal="center" vertical="center"/>
    </xf>
    <xf numFmtId="43" fontId="38" fillId="26" borderId="5" xfId="2" applyFont="1" applyFill="1" applyBorder="1" applyAlignment="1">
      <alignment horizontal="left" vertical="center" indent="1"/>
    </xf>
    <xf numFmtId="164" fontId="4" fillId="26" borderId="15" xfId="1" applyNumberFormat="1" applyFont="1" applyFill="1" applyBorder="1" applyAlignment="1">
      <alignment horizontal="left" vertical="center"/>
    </xf>
    <xf numFmtId="0" fontId="38" fillId="26" borderId="15" xfId="0" applyFont="1" applyFill="1" applyBorder="1" applyAlignment="1">
      <alignment horizontal="center" vertical="center"/>
    </xf>
    <xf numFmtId="1" fontId="4" fillId="26" borderId="15" xfId="1" applyNumberFormat="1" applyFont="1" applyFill="1" applyBorder="1" applyAlignment="1">
      <alignment horizontal="center" vertical="center"/>
    </xf>
    <xf numFmtId="41" fontId="4" fillId="26" borderId="15" xfId="1" applyFont="1" applyFill="1" applyBorder="1" applyAlignment="1">
      <alignment horizontal="left" vertical="center"/>
    </xf>
    <xf numFmtId="164" fontId="4" fillId="26" borderId="31" xfId="1" applyNumberFormat="1" applyFont="1" applyFill="1" applyBorder="1" applyAlignment="1">
      <alignment horizontal="left" vertical="center"/>
    </xf>
    <xf numFmtId="0" fontId="38" fillId="26" borderId="33" xfId="0" applyFont="1" applyFill="1" applyBorder="1" applyAlignment="1">
      <alignment horizontal="center" vertical="center"/>
    </xf>
    <xf numFmtId="169" fontId="45" fillId="0" borderId="0" xfId="2" applyNumberFormat="1" applyFont="1" applyBorder="1" applyAlignment="1">
      <alignment vertical="center"/>
    </xf>
    <xf numFmtId="43" fontId="45" fillId="0" borderId="0" xfId="0" applyNumberFormat="1" applyFont="1" applyAlignment="1">
      <alignment vertical="center"/>
    </xf>
    <xf numFmtId="41" fontId="46" fillId="24" borderId="75" xfId="1" applyFont="1" applyFill="1" applyBorder="1" applyAlignment="1">
      <alignment horizontal="center" vertical="center"/>
    </xf>
    <xf numFmtId="41" fontId="46" fillId="24" borderId="76" xfId="1" applyFont="1" applyFill="1" applyBorder="1" applyAlignment="1">
      <alignment horizontal="center" vertical="center" wrapText="1"/>
    </xf>
    <xf numFmtId="0" fontId="30" fillId="0" borderId="15" xfId="0" applyFont="1" applyBorder="1" applyAlignment="1">
      <alignment horizontal="center"/>
    </xf>
    <xf numFmtId="0" fontId="30" fillId="0" borderId="15" xfId="0" applyFont="1" applyBorder="1"/>
    <xf numFmtId="41" fontId="46" fillId="24" borderId="6" xfId="1" applyFont="1" applyFill="1" applyBorder="1" applyAlignment="1">
      <alignment horizontal="center" vertical="center" wrapText="1"/>
    </xf>
    <xf numFmtId="41" fontId="46" fillId="24" borderId="15" xfId="1" applyFont="1" applyFill="1" applyBorder="1" applyAlignment="1">
      <alignment horizontal="center" vertical="center" wrapText="1"/>
    </xf>
    <xf numFmtId="43" fontId="47" fillId="0" borderId="0" xfId="0" applyNumberFormat="1" applyFont="1" applyAlignment="1">
      <alignment vertical="center"/>
    </xf>
    <xf numFmtId="169" fontId="47" fillId="0" borderId="0" xfId="2" applyNumberFormat="1" applyFont="1" applyBorder="1" applyAlignment="1">
      <alignment vertical="center"/>
    </xf>
    <xf numFmtId="0" fontId="17" fillId="0" borderId="15" xfId="0" applyFont="1" applyBorder="1" applyAlignment="1">
      <alignment horizontal="center"/>
    </xf>
    <xf numFmtId="0" fontId="17" fillId="0" borderId="15" xfId="0" applyFont="1" applyBorder="1"/>
    <xf numFmtId="0" fontId="17" fillId="0" borderId="0" xfId="0" applyFont="1"/>
    <xf numFmtId="16" fontId="48" fillId="5" borderId="15" xfId="0" applyNumberFormat="1" applyFont="1" applyFill="1" applyBorder="1" applyAlignment="1">
      <alignment horizontal="center"/>
    </xf>
    <xf numFmtId="0" fontId="30" fillId="5" borderId="15" xfId="0" applyFont="1" applyFill="1" applyBorder="1" applyAlignment="1">
      <alignment horizontal="center"/>
    </xf>
    <xf numFmtId="0" fontId="30" fillId="5" borderId="15" xfId="0" applyFont="1" applyFill="1" applyBorder="1"/>
    <xf numFmtId="0" fontId="49" fillId="5" borderId="15" xfId="0" applyFont="1" applyFill="1" applyBorder="1" applyAlignment="1">
      <alignment horizontal="center"/>
    </xf>
    <xf numFmtId="16" fontId="30" fillId="4" borderId="15" xfId="0" applyNumberFormat="1" applyFont="1" applyFill="1" applyBorder="1" applyAlignment="1">
      <alignment horizontal="center"/>
    </xf>
    <xf numFmtId="0" fontId="30" fillId="4" borderId="15" xfId="0" applyFont="1" applyFill="1" applyBorder="1" applyAlignment="1">
      <alignment horizontal="center"/>
    </xf>
    <xf numFmtId="0" fontId="30" fillId="4" borderId="15" xfId="0" applyFont="1" applyFill="1" applyBorder="1"/>
    <xf numFmtId="0" fontId="49" fillId="4" borderId="15" xfId="0" applyFont="1" applyFill="1" applyBorder="1" applyAlignment="1">
      <alignment horizontal="center"/>
    </xf>
    <xf numFmtId="16" fontId="30" fillId="6" borderId="15" xfId="0" applyNumberFormat="1" applyFont="1" applyFill="1" applyBorder="1" applyAlignment="1">
      <alignment horizontal="center"/>
    </xf>
    <xf numFmtId="0" fontId="30" fillId="6" borderId="15" xfId="0" applyFont="1" applyFill="1" applyBorder="1" applyAlignment="1">
      <alignment horizontal="center"/>
    </xf>
    <xf numFmtId="0" fontId="30" fillId="6" borderId="15" xfId="0" applyFont="1" applyFill="1" applyBorder="1"/>
    <xf numFmtId="0" fontId="49" fillId="6" borderId="15" xfId="0" applyFont="1" applyFill="1" applyBorder="1" applyAlignment="1">
      <alignment horizontal="center"/>
    </xf>
    <xf numFmtId="16" fontId="30" fillId="10" borderId="15" xfId="0" applyNumberFormat="1" applyFont="1" applyFill="1" applyBorder="1" applyAlignment="1">
      <alignment horizontal="center"/>
    </xf>
    <xf numFmtId="0" fontId="30" fillId="10" borderId="15" xfId="0" applyFont="1" applyFill="1" applyBorder="1" applyAlignment="1">
      <alignment horizontal="center"/>
    </xf>
    <xf numFmtId="0" fontId="30" fillId="10" borderId="15" xfId="0" applyFont="1" applyFill="1" applyBorder="1"/>
    <xf numFmtId="0" fontId="49" fillId="10" borderId="15" xfId="0" applyFont="1" applyFill="1" applyBorder="1" applyAlignment="1">
      <alignment horizontal="center"/>
    </xf>
    <xf numFmtId="16" fontId="30" fillId="29" borderId="15" xfId="0" applyNumberFormat="1" applyFont="1" applyFill="1" applyBorder="1" applyAlignment="1">
      <alignment horizontal="center"/>
    </xf>
    <xf numFmtId="0" fontId="30" fillId="29" borderId="15" xfId="0" applyFont="1" applyFill="1" applyBorder="1" applyAlignment="1">
      <alignment horizontal="center"/>
    </xf>
    <xf numFmtId="0" fontId="30" fillId="29" borderId="15" xfId="0" applyFont="1" applyFill="1" applyBorder="1"/>
    <xf numFmtId="0" fontId="49" fillId="29" borderId="15" xfId="0" applyFont="1" applyFill="1" applyBorder="1" applyAlignment="1">
      <alignment horizontal="center"/>
    </xf>
    <xf numFmtId="16" fontId="30" fillId="30" borderId="15" xfId="0" applyNumberFormat="1" applyFont="1" applyFill="1" applyBorder="1" applyAlignment="1">
      <alignment horizontal="center"/>
    </xf>
    <xf numFmtId="0" fontId="30" fillId="30" borderId="15" xfId="0" applyFont="1" applyFill="1" applyBorder="1" applyAlignment="1">
      <alignment horizontal="center"/>
    </xf>
    <xf numFmtId="0" fontId="30" fillId="30" borderId="15" xfId="0" applyFont="1" applyFill="1" applyBorder="1"/>
    <xf numFmtId="0" fontId="49" fillId="30" borderId="15" xfId="0" applyFont="1" applyFill="1" applyBorder="1" applyAlignment="1">
      <alignment horizontal="center"/>
    </xf>
    <xf numFmtId="0" fontId="30" fillId="4" borderId="15" xfId="0" applyFont="1" applyFill="1" applyBorder="1" applyAlignment="1">
      <alignment horizontal="center" wrapText="1"/>
    </xf>
    <xf numFmtId="43" fontId="47" fillId="9" borderId="0" xfId="0" applyNumberFormat="1" applyFont="1" applyFill="1" applyAlignment="1">
      <alignment vertical="center"/>
    </xf>
    <xf numFmtId="169" fontId="47" fillId="9" borderId="0" xfId="2" applyNumberFormat="1" applyFont="1" applyFill="1" applyBorder="1" applyAlignment="1">
      <alignment vertical="center"/>
    </xf>
    <xf numFmtId="16" fontId="30" fillId="25" borderId="15" xfId="0" applyNumberFormat="1" applyFont="1" applyFill="1" applyBorder="1" applyAlignment="1">
      <alignment horizontal="center"/>
    </xf>
    <xf numFmtId="0" fontId="30" fillId="25" borderId="15" xfId="0" applyFont="1" applyFill="1" applyBorder="1" applyAlignment="1">
      <alignment horizontal="center"/>
    </xf>
    <xf numFmtId="0" fontId="30" fillId="25" borderId="15" xfId="0" applyFont="1" applyFill="1" applyBorder="1"/>
    <xf numFmtId="12" fontId="38" fillId="25" borderId="32" xfId="2" applyNumberFormat="1" applyFont="1" applyFill="1" applyBorder="1" applyAlignment="1">
      <alignment vertical="center"/>
    </xf>
    <xf numFmtId="43" fontId="50" fillId="9" borderId="0" xfId="0" applyNumberFormat="1" applyFont="1" applyFill="1" applyAlignment="1">
      <alignment vertical="center"/>
    </xf>
    <xf numFmtId="169" fontId="50" fillId="9" borderId="0" xfId="2" applyNumberFormat="1" applyFont="1" applyFill="1" applyBorder="1" applyAlignment="1">
      <alignment vertical="center"/>
    </xf>
    <xf numFmtId="0" fontId="2" fillId="0" borderId="15" xfId="0" applyFont="1" applyBorder="1" applyAlignment="1">
      <alignment horizontal="center"/>
    </xf>
    <xf numFmtId="16" fontId="30" fillId="31" borderId="15" xfId="0" applyNumberFormat="1" applyFont="1" applyFill="1" applyBorder="1" applyAlignment="1">
      <alignment horizontal="center"/>
    </xf>
    <xf numFmtId="0" fontId="30" fillId="31" borderId="15" xfId="0" applyFont="1" applyFill="1" applyBorder="1" applyAlignment="1">
      <alignment horizontal="center"/>
    </xf>
    <xf numFmtId="0" fontId="30" fillId="31" borderId="15" xfId="0" applyFont="1" applyFill="1" applyBorder="1"/>
    <xf numFmtId="16" fontId="48" fillId="30" borderId="15" xfId="0" applyNumberFormat="1" applyFont="1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16" fontId="30" fillId="32" borderId="15" xfId="0" applyNumberFormat="1" applyFont="1" applyFill="1" applyBorder="1" applyAlignment="1">
      <alignment horizontal="center"/>
    </xf>
    <xf numFmtId="0" fontId="30" fillId="32" borderId="15" xfId="0" applyFont="1" applyFill="1" applyBorder="1" applyAlignment="1">
      <alignment horizontal="center"/>
    </xf>
    <xf numFmtId="0" fontId="0" fillId="32" borderId="15" xfId="0" applyFill="1" applyBorder="1" applyAlignment="1">
      <alignment horizontal="center"/>
    </xf>
    <xf numFmtId="0" fontId="49" fillId="32" borderId="15" xfId="0" applyFont="1" applyFill="1" applyBorder="1" applyAlignment="1">
      <alignment horizontal="center"/>
    </xf>
    <xf numFmtId="16" fontId="0" fillId="32" borderId="15" xfId="0" applyNumberFormat="1" applyFill="1" applyBorder="1" applyAlignment="1">
      <alignment horizontal="center"/>
    </xf>
    <xf numFmtId="0" fontId="2" fillId="32" borderId="15" xfId="0" applyFont="1" applyFill="1" applyBorder="1" applyAlignment="1">
      <alignment horizontal="center"/>
    </xf>
    <xf numFmtId="16" fontId="30" fillId="2" borderId="15" xfId="0" applyNumberFormat="1" applyFont="1" applyFill="1" applyBorder="1" applyAlignment="1">
      <alignment horizontal="center"/>
    </xf>
    <xf numFmtId="0" fontId="30" fillId="2" borderId="15" xfId="0" applyFont="1" applyFill="1" applyBorder="1" applyAlignment="1">
      <alignment horizontal="center"/>
    </xf>
    <xf numFmtId="0" fontId="30" fillId="2" borderId="15" xfId="0" applyFont="1" applyFill="1" applyBorder="1"/>
    <xf numFmtId="16" fontId="0" fillId="0" borderId="15" xfId="0" applyNumberFormat="1" applyBorder="1" applyAlignment="1">
      <alignment horizontal="center"/>
    </xf>
    <xf numFmtId="41" fontId="46" fillId="34" borderId="24" xfId="1" applyFont="1" applyFill="1" applyBorder="1" applyAlignment="1">
      <alignment horizontal="center" vertical="center" wrapText="1"/>
    </xf>
    <xf numFmtId="43" fontId="50" fillId="0" borderId="0" xfId="0" applyNumberFormat="1" applyFont="1" applyAlignment="1">
      <alignment vertical="center"/>
    </xf>
    <xf numFmtId="169" fontId="50" fillId="0" borderId="0" xfId="2" applyNumberFormat="1" applyFont="1" applyBorder="1" applyAlignment="1">
      <alignment vertical="center"/>
    </xf>
    <xf numFmtId="16" fontId="30" fillId="35" borderId="15" xfId="0" applyNumberFormat="1" applyFont="1" applyFill="1" applyBorder="1" applyAlignment="1">
      <alignment horizontal="center"/>
    </xf>
    <xf numFmtId="0" fontId="30" fillId="35" borderId="15" xfId="0" applyFont="1" applyFill="1" applyBorder="1" applyAlignment="1">
      <alignment horizontal="center"/>
    </xf>
    <xf numFmtId="0" fontId="30" fillId="35" borderId="15" xfId="0" applyFont="1" applyFill="1" applyBorder="1"/>
    <xf numFmtId="16" fontId="0" fillId="4" borderId="15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16" fontId="0" fillId="28" borderId="15" xfId="0" applyNumberFormat="1" applyFill="1" applyBorder="1" applyAlignment="1">
      <alignment horizontal="center"/>
    </xf>
    <xf numFmtId="0" fontId="0" fillId="28" borderId="15" xfId="0" applyFill="1" applyBorder="1" applyAlignment="1">
      <alignment horizontal="center"/>
    </xf>
    <xf numFmtId="16" fontId="0" fillId="23" borderId="15" xfId="0" applyNumberFormat="1" applyFill="1" applyBorder="1" applyAlignment="1">
      <alignment horizontal="center"/>
    </xf>
    <xf numFmtId="0" fontId="2" fillId="23" borderId="15" xfId="0" applyFont="1" applyFill="1" applyBorder="1" applyAlignment="1">
      <alignment horizontal="center"/>
    </xf>
    <xf numFmtId="16" fontId="30" fillId="17" borderId="15" xfId="0" applyNumberFormat="1" applyFont="1" applyFill="1" applyBorder="1" applyAlignment="1">
      <alignment horizontal="center"/>
    </xf>
    <xf numFmtId="0" fontId="30" fillId="17" borderId="15" xfId="0" applyFont="1" applyFill="1" applyBorder="1" applyAlignment="1">
      <alignment horizontal="center"/>
    </xf>
    <xf numFmtId="0" fontId="30" fillId="17" borderId="15" xfId="0" applyFont="1" applyFill="1" applyBorder="1"/>
    <xf numFmtId="16" fontId="0" fillId="5" borderId="15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9" fontId="0" fillId="5" borderId="0" xfId="2" applyNumberFormat="1" applyFont="1" applyFill="1" applyBorder="1" applyAlignment="1">
      <alignment vertical="center"/>
    </xf>
    <xf numFmtId="43" fontId="0" fillId="0" borderId="0" xfId="2" applyFont="1"/>
    <xf numFmtId="169" fontId="0" fillId="0" borderId="0" xfId="2" applyNumberFormat="1" applyFont="1"/>
    <xf numFmtId="16" fontId="0" fillId="0" borderId="0" xfId="0" applyNumberFormat="1"/>
    <xf numFmtId="169" fontId="0" fillId="0" borderId="0" xfId="2" applyNumberFormat="1" applyFont="1" applyAlignment="1">
      <alignment horizontal="center"/>
    </xf>
    <xf numFmtId="0" fontId="49" fillId="0" borderId="0" xfId="0" applyFont="1" applyAlignment="1">
      <alignment horizontal="left"/>
    </xf>
    <xf numFmtId="16" fontId="30" fillId="36" borderId="15" xfId="0" applyNumberFormat="1" applyFont="1" applyFill="1" applyBorder="1" applyAlignment="1">
      <alignment horizontal="center"/>
    </xf>
    <xf numFmtId="0" fontId="30" fillId="36" borderId="15" xfId="0" applyFont="1" applyFill="1" applyBorder="1" applyAlignment="1">
      <alignment horizontal="center"/>
    </xf>
    <xf numFmtId="0" fontId="30" fillId="36" borderId="15" xfId="0" applyFont="1" applyFill="1" applyBorder="1"/>
    <xf numFmtId="0" fontId="38" fillId="2" borderId="33" xfId="0" applyFont="1" applyFill="1" applyBorder="1" applyAlignment="1">
      <alignment horizontal="center" vertical="center"/>
    </xf>
    <xf numFmtId="0" fontId="38" fillId="2" borderId="19" xfId="0" applyFont="1" applyFill="1" applyBorder="1" applyAlignment="1">
      <alignment horizontal="center" vertical="center"/>
    </xf>
    <xf numFmtId="0" fontId="0" fillId="37" borderId="15" xfId="0" applyFill="1" applyBorder="1" applyAlignment="1">
      <alignment horizontal="center"/>
    </xf>
    <xf numFmtId="0" fontId="0" fillId="37" borderId="0" xfId="0" applyFill="1"/>
    <xf numFmtId="14" fontId="30" fillId="38" borderId="15" xfId="0" applyNumberFormat="1" applyFont="1" applyFill="1" applyBorder="1" applyAlignment="1">
      <alignment horizontal="center"/>
    </xf>
    <xf numFmtId="0" fontId="30" fillId="38" borderId="15" xfId="0" applyFont="1" applyFill="1" applyBorder="1" applyAlignment="1">
      <alignment horizontal="center"/>
    </xf>
    <xf numFmtId="0" fontId="30" fillId="38" borderId="15" xfId="0" applyFont="1" applyFill="1" applyBorder="1"/>
    <xf numFmtId="14" fontId="30" fillId="36" borderId="15" xfId="0" applyNumberFormat="1" applyFont="1" applyFill="1" applyBorder="1" applyAlignment="1">
      <alignment horizontal="center"/>
    </xf>
    <xf numFmtId="16" fontId="30" fillId="0" borderId="15" xfId="0" applyNumberFormat="1" applyFont="1" applyBorder="1" applyAlignment="1">
      <alignment horizontal="center"/>
    </xf>
    <xf numFmtId="16" fontId="17" fillId="0" borderId="15" xfId="0" applyNumberFormat="1" applyFont="1" applyBorder="1" applyAlignment="1">
      <alignment horizontal="center"/>
    </xf>
    <xf numFmtId="0" fontId="38" fillId="0" borderId="4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4" fillId="0" borderId="5" xfId="1" applyNumberFormat="1" applyFont="1" applyFill="1" applyBorder="1" applyAlignment="1">
      <alignment horizontal="center" vertical="center"/>
    </xf>
    <xf numFmtId="3" fontId="4" fillId="0" borderId="49" xfId="1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1" fontId="6" fillId="0" borderId="56" xfId="1" applyFont="1" applyFill="1" applyBorder="1" applyAlignment="1">
      <alignment horizontal="center" vertical="center"/>
    </xf>
    <xf numFmtId="3" fontId="4" fillId="0" borderId="0" xfId="1" applyNumberFormat="1" applyFont="1" applyFill="1" applyBorder="1" applyAlignment="1">
      <alignment horizontal="center" vertical="center"/>
    </xf>
    <xf numFmtId="3" fontId="5" fillId="0" borderId="5" xfId="1" applyNumberFormat="1" applyFont="1" applyFill="1" applyBorder="1" applyAlignment="1">
      <alignment horizontal="center" vertical="center"/>
    </xf>
    <xf numFmtId="3" fontId="12" fillId="0" borderId="5" xfId="1" applyNumberFormat="1" applyFont="1" applyFill="1" applyBorder="1" applyAlignment="1">
      <alignment horizontal="center" vertical="center"/>
    </xf>
    <xf numFmtId="14" fontId="30" fillId="4" borderId="15" xfId="0" applyNumberFormat="1" applyFont="1" applyFill="1" applyBorder="1" applyAlignment="1">
      <alignment horizontal="center"/>
    </xf>
    <xf numFmtId="164" fontId="4" fillId="0" borderId="8" xfId="1" applyNumberFormat="1" applyFont="1" applyFill="1" applyBorder="1" applyAlignment="1">
      <alignment horizontal="left" vertical="center"/>
    </xf>
    <xf numFmtId="0" fontId="38" fillId="0" borderId="51" xfId="0" applyFont="1" applyBorder="1" applyAlignment="1">
      <alignment horizontal="center" vertical="center"/>
    </xf>
    <xf numFmtId="164" fontId="4" fillId="0" borderId="39" xfId="1" applyNumberFormat="1" applyFont="1" applyFill="1" applyBorder="1" applyAlignment="1">
      <alignment horizontal="left" vertical="center"/>
    </xf>
    <xf numFmtId="0" fontId="38" fillId="0" borderId="50" xfId="0" applyFont="1" applyBorder="1" applyAlignment="1">
      <alignment horizontal="center" vertical="center"/>
    </xf>
    <xf numFmtId="0" fontId="30" fillId="39" borderId="15" xfId="0" applyFont="1" applyFill="1" applyBorder="1" applyAlignment="1">
      <alignment horizontal="center"/>
    </xf>
    <xf numFmtId="16" fontId="30" fillId="40" borderId="15" xfId="0" applyNumberFormat="1" applyFont="1" applyFill="1" applyBorder="1" applyAlignment="1">
      <alignment horizontal="center"/>
    </xf>
    <xf numFmtId="0" fontId="30" fillId="40" borderId="15" xfId="0" applyFont="1" applyFill="1" applyBorder="1" applyAlignment="1">
      <alignment horizontal="center"/>
    </xf>
    <xf numFmtId="0" fontId="30" fillId="40" borderId="15" xfId="0" applyFont="1" applyFill="1" applyBorder="1"/>
    <xf numFmtId="16" fontId="30" fillId="5" borderId="15" xfId="0" applyNumberFormat="1" applyFont="1" applyFill="1" applyBorder="1" applyAlignment="1">
      <alignment horizontal="center"/>
    </xf>
    <xf numFmtId="16" fontId="30" fillId="18" borderId="15" xfId="0" applyNumberFormat="1" applyFont="1" applyFill="1" applyBorder="1" applyAlignment="1">
      <alignment horizontal="center"/>
    </xf>
    <xf numFmtId="0" fontId="30" fillId="18" borderId="15" xfId="0" applyFont="1" applyFill="1" applyBorder="1" applyAlignment="1">
      <alignment horizontal="center"/>
    </xf>
    <xf numFmtId="0" fontId="30" fillId="18" borderId="15" xfId="0" applyFont="1" applyFill="1" applyBorder="1"/>
    <xf numFmtId="0" fontId="30" fillId="0" borderId="15" xfId="0" applyFont="1" applyBorder="1" applyAlignment="1">
      <alignment horizontal="left"/>
    </xf>
    <xf numFmtId="16" fontId="30" fillId="41" borderId="15" xfId="0" applyNumberFormat="1" applyFont="1" applyFill="1" applyBorder="1" applyAlignment="1">
      <alignment horizontal="center"/>
    </xf>
    <xf numFmtId="0" fontId="30" fillId="41" borderId="15" xfId="0" applyFont="1" applyFill="1" applyBorder="1" applyAlignment="1">
      <alignment horizontal="center"/>
    </xf>
    <xf numFmtId="0" fontId="30" fillId="41" borderId="15" xfId="0" applyFont="1" applyFill="1" applyBorder="1"/>
    <xf numFmtId="1" fontId="4" fillId="8" borderId="3" xfId="1" applyNumberFormat="1" applyFont="1" applyFill="1" applyBorder="1" applyAlignment="1">
      <alignment horizontal="center" vertical="center"/>
    </xf>
    <xf numFmtId="41" fontId="4" fillId="8" borderId="4" xfId="1" applyFont="1" applyFill="1" applyBorder="1" applyAlignment="1">
      <alignment vertical="center"/>
    </xf>
    <xf numFmtId="41" fontId="4" fillId="6" borderId="3" xfId="1" applyFont="1" applyFill="1" applyBorder="1" applyAlignment="1">
      <alignment vertical="center"/>
    </xf>
    <xf numFmtId="41" fontId="4" fillId="6" borderId="4" xfId="1" applyFont="1" applyFill="1" applyBorder="1" applyAlignment="1">
      <alignment vertical="center"/>
    </xf>
    <xf numFmtId="165" fontId="4" fillId="6" borderId="3" xfId="1" applyNumberFormat="1" applyFont="1" applyFill="1" applyBorder="1" applyAlignment="1">
      <alignment vertical="center"/>
    </xf>
    <xf numFmtId="41" fontId="2" fillId="4" borderId="3" xfId="1" applyFont="1" applyFill="1" applyBorder="1" applyAlignment="1">
      <alignment vertical="center"/>
    </xf>
    <xf numFmtId="41" fontId="2" fillId="3" borderId="4" xfId="1" applyFont="1" applyFill="1" applyBorder="1" applyAlignment="1">
      <alignment vertical="center"/>
    </xf>
    <xf numFmtId="43" fontId="51" fillId="0" borderId="0" xfId="0" applyNumberFormat="1" applyFont="1" applyAlignment="1">
      <alignment vertical="center"/>
    </xf>
    <xf numFmtId="169" fontId="51" fillId="0" borderId="0" xfId="2" applyNumberFormat="1" applyFont="1" applyBorder="1" applyAlignment="1">
      <alignment vertical="center"/>
    </xf>
    <xf numFmtId="43" fontId="52" fillId="0" borderId="0" xfId="0" applyNumberFormat="1" applyFont="1" applyAlignment="1">
      <alignment vertical="center"/>
    </xf>
    <xf numFmtId="169" fontId="52" fillId="0" borderId="0" xfId="2" applyNumberFormat="1" applyFont="1" applyBorder="1" applyAlignment="1">
      <alignment vertical="center"/>
    </xf>
    <xf numFmtId="169" fontId="51" fillId="23" borderId="0" xfId="2" applyNumberFormat="1" applyFont="1" applyFill="1" applyBorder="1" applyAlignment="1">
      <alignment vertical="center"/>
    </xf>
    <xf numFmtId="169" fontId="53" fillId="25" borderId="31" xfId="2" applyNumberFormat="1" applyFont="1" applyFill="1" applyBorder="1" applyAlignment="1">
      <alignment vertical="center"/>
    </xf>
    <xf numFmtId="43" fontId="38" fillId="23" borderId="32" xfId="2" applyFont="1" applyFill="1" applyBorder="1" applyAlignment="1">
      <alignment vertical="center"/>
    </xf>
    <xf numFmtId="169" fontId="38" fillId="23" borderId="32" xfId="2" applyNumberFormat="1" applyFont="1" applyFill="1" applyBorder="1" applyAlignment="1">
      <alignment horizontal="center" vertical="center"/>
    </xf>
    <xf numFmtId="43" fontId="51" fillId="9" borderId="0" xfId="0" applyNumberFormat="1" applyFont="1" applyFill="1" applyAlignment="1">
      <alignment vertical="center"/>
    </xf>
    <xf numFmtId="169" fontId="51" fillId="9" borderId="0" xfId="2" applyNumberFormat="1" applyFont="1" applyFill="1" applyBorder="1" applyAlignment="1">
      <alignment vertical="center"/>
    </xf>
    <xf numFmtId="43" fontId="38" fillId="2" borderId="2" xfId="2" applyFont="1" applyFill="1" applyBorder="1" applyAlignment="1">
      <alignment vertical="center"/>
    </xf>
    <xf numFmtId="3" fontId="4" fillId="0" borderId="15" xfId="1" applyNumberFormat="1" applyFont="1" applyFill="1" applyBorder="1" applyAlignment="1">
      <alignment horizontal="center" vertical="center"/>
    </xf>
    <xf numFmtId="169" fontId="38" fillId="25" borderId="40" xfId="2" applyNumberFormat="1" applyFont="1" applyFill="1" applyBorder="1" applyAlignment="1">
      <alignment vertical="center"/>
    </xf>
    <xf numFmtId="169" fontId="38" fillId="25" borderId="30" xfId="2" applyNumberFormat="1" applyFont="1" applyFill="1" applyBorder="1" applyAlignment="1">
      <alignment vertical="center"/>
    </xf>
    <xf numFmtId="0" fontId="38" fillId="0" borderId="66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169" fontId="38" fillId="23" borderId="18" xfId="2" applyNumberFormat="1" applyFont="1" applyFill="1" applyBorder="1" applyAlignment="1">
      <alignment vertical="center"/>
    </xf>
    <xf numFmtId="43" fontId="54" fillId="0" borderId="0" xfId="0" applyNumberFormat="1" applyFont="1" applyAlignment="1">
      <alignment vertical="center"/>
    </xf>
    <xf numFmtId="169" fontId="54" fillId="0" borderId="0" xfId="2" applyNumberFormat="1" applyFont="1" applyBorder="1" applyAlignment="1">
      <alignment vertical="center"/>
    </xf>
    <xf numFmtId="0" fontId="0" fillId="0" borderId="41" xfId="0" applyBorder="1"/>
    <xf numFmtId="164" fontId="4" fillId="0" borderId="5" xfId="1" applyNumberFormat="1" applyFont="1" applyFill="1" applyBorder="1" applyAlignment="1">
      <alignment horizontal="center" vertical="center"/>
    </xf>
    <xf numFmtId="43" fontId="38" fillId="23" borderId="15" xfId="2" applyFont="1" applyFill="1" applyBorder="1" applyAlignment="1">
      <alignment vertical="center"/>
    </xf>
    <xf numFmtId="0" fontId="0" fillId="0" borderId="6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38" fillId="12" borderId="16" xfId="0" applyFont="1" applyFill="1" applyBorder="1" applyAlignment="1">
      <alignment horizontal="center" vertical="center"/>
    </xf>
    <xf numFmtId="0" fontId="38" fillId="12" borderId="45" xfId="0" applyFont="1" applyFill="1" applyBorder="1" applyAlignment="1">
      <alignment horizontal="center" vertical="center"/>
    </xf>
    <xf numFmtId="0" fontId="38" fillId="12" borderId="17" xfId="0" applyFont="1" applyFill="1" applyBorder="1" applyAlignment="1">
      <alignment horizontal="center" vertical="center"/>
    </xf>
    <xf numFmtId="0" fontId="38" fillId="21" borderId="16" xfId="0" applyFont="1" applyFill="1" applyBorder="1" applyAlignment="1">
      <alignment horizontal="center" vertical="center"/>
    </xf>
    <xf numFmtId="0" fontId="38" fillId="21" borderId="45" xfId="0" applyFont="1" applyFill="1" applyBorder="1" applyAlignment="1">
      <alignment horizontal="center" vertical="center"/>
    </xf>
    <xf numFmtId="0" fontId="38" fillId="21" borderId="17" xfId="0" applyFont="1" applyFill="1" applyBorder="1" applyAlignment="1">
      <alignment horizontal="center" vertical="center"/>
    </xf>
    <xf numFmtId="0" fontId="38" fillId="18" borderId="16" xfId="0" applyFont="1" applyFill="1" applyBorder="1" applyAlignment="1">
      <alignment horizontal="center" vertical="center"/>
    </xf>
    <xf numFmtId="0" fontId="38" fillId="18" borderId="45" xfId="0" applyFont="1" applyFill="1" applyBorder="1" applyAlignment="1">
      <alignment horizontal="center" vertical="center"/>
    </xf>
    <xf numFmtId="0" fontId="38" fillId="18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8" fillId="0" borderId="16" xfId="0" applyFont="1" applyBorder="1" applyAlignment="1">
      <alignment horizontal="center" vertical="center"/>
    </xf>
    <xf numFmtId="0" fontId="38" fillId="0" borderId="37" xfId="0" applyFont="1" applyBorder="1" applyAlignment="1">
      <alignment horizontal="center" vertical="center"/>
    </xf>
    <xf numFmtId="0" fontId="38" fillId="0" borderId="58" xfId="0" applyFont="1" applyBorder="1" applyAlignment="1">
      <alignment horizontal="center" vertical="center"/>
    </xf>
    <xf numFmtId="0" fontId="38" fillId="0" borderId="45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8" fillId="13" borderId="16" xfId="0" applyFont="1" applyFill="1" applyBorder="1" applyAlignment="1">
      <alignment horizontal="center" vertical="center"/>
    </xf>
    <xf numFmtId="0" fontId="38" fillId="13" borderId="45" xfId="0" applyFont="1" applyFill="1" applyBorder="1" applyAlignment="1">
      <alignment horizontal="center" vertical="center"/>
    </xf>
    <xf numFmtId="0" fontId="38" fillId="13" borderId="17" xfId="0" applyFont="1" applyFill="1" applyBorder="1" applyAlignment="1">
      <alignment horizontal="center" vertical="center"/>
    </xf>
    <xf numFmtId="41" fontId="46" fillId="24" borderId="76" xfId="1" applyFont="1" applyFill="1" applyBorder="1" applyAlignment="1">
      <alignment horizontal="center" vertical="center" wrapText="1"/>
    </xf>
    <xf numFmtId="41" fontId="46" fillId="24" borderId="25" xfId="1" applyFont="1" applyFill="1" applyBorder="1" applyAlignment="1">
      <alignment horizontal="center" vertical="center" wrapText="1"/>
    </xf>
    <xf numFmtId="0" fontId="17" fillId="33" borderId="28" xfId="0" applyFont="1" applyFill="1" applyBorder="1" applyAlignment="1">
      <alignment horizontal="center" wrapText="1"/>
    </xf>
    <xf numFmtId="0" fontId="17" fillId="33" borderId="26" xfId="0" applyFont="1" applyFill="1" applyBorder="1" applyAlignment="1">
      <alignment horizontal="center" wrapText="1"/>
    </xf>
    <xf numFmtId="0" fontId="17" fillId="33" borderId="52" xfId="0" applyFont="1" applyFill="1" applyBorder="1" applyAlignment="1">
      <alignment horizontal="center" wrapText="1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0" fillId="9" borderId="20" xfId="0" applyFont="1" applyFill="1" applyBorder="1" applyAlignment="1">
      <alignment horizontal="center" vertical="center"/>
    </xf>
    <xf numFmtId="0" fontId="30" fillId="9" borderId="49" xfId="0" applyFont="1" applyFill="1" applyBorder="1" applyAlignment="1">
      <alignment horizontal="center" vertical="center"/>
    </xf>
    <xf numFmtId="0" fontId="30" fillId="9" borderId="3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30" fillId="9" borderId="62" xfId="0" applyFont="1" applyFill="1" applyBorder="1" applyAlignment="1">
      <alignment horizontal="center" vertical="center"/>
    </xf>
    <xf numFmtId="0" fontId="30" fillId="9" borderId="63" xfId="0" applyFont="1" applyFill="1" applyBorder="1" applyAlignment="1">
      <alignment horizontal="center" vertical="center"/>
    </xf>
    <xf numFmtId="0" fontId="30" fillId="9" borderId="61" xfId="0" applyFont="1" applyFill="1" applyBorder="1" applyAlignment="1">
      <alignment horizontal="center" vertical="center"/>
    </xf>
    <xf numFmtId="0" fontId="21" fillId="9" borderId="18" xfId="0" applyFont="1" applyFill="1" applyBorder="1" applyAlignment="1">
      <alignment horizontal="center" vertical="center" wrapText="1"/>
    </xf>
    <xf numFmtId="0" fontId="21" fillId="9" borderId="15" xfId="0" applyFont="1" applyFill="1" applyBorder="1" applyAlignment="1">
      <alignment horizontal="center" vertical="center" wrapText="1"/>
    </xf>
    <xf numFmtId="0" fontId="30" fillId="9" borderId="15" xfId="0" applyFont="1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9" fontId="30" fillId="9" borderId="23" xfId="0" applyNumberFormat="1" applyFont="1" applyFill="1" applyBorder="1" applyAlignment="1">
      <alignment horizontal="center" vertical="center"/>
    </xf>
    <xf numFmtId="0" fontId="30" fillId="9" borderId="46" xfId="0" applyFont="1" applyFill="1" applyBorder="1" applyAlignment="1">
      <alignment horizontal="center" vertical="center"/>
    </xf>
    <xf numFmtId="0" fontId="30" fillId="9" borderId="23" xfId="0" applyFont="1" applyFill="1" applyBorder="1" applyAlignment="1">
      <alignment horizontal="center" vertical="center"/>
    </xf>
    <xf numFmtId="0" fontId="30" fillId="9" borderId="47" xfId="0" applyFont="1" applyFill="1" applyBorder="1" applyAlignment="1">
      <alignment horizontal="center" vertical="center"/>
    </xf>
    <xf numFmtId="0" fontId="30" fillId="9" borderId="19" xfId="0" applyFont="1" applyFill="1" applyBorder="1" applyAlignment="1">
      <alignment horizontal="center" vertical="center"/>
    </xf>
    <xf numFmtId="0" fontId="21" fillId="9" borderId="5" xfId="0" applyFont="1" applyFill="1" applyBorder="1" applyAlignment="1">
      <alignment horizontal="center" vertical="center"/>
    </xf>
    <xf numFmtId="0" fontId="21" fillId="9" borderId="40" xfId="0" applyFont="1" applyFill="1" applyBorder="1" applyAlignment="1">
      <alignment horizontal="center" vertical="center"/>
    </xf>
    <xf numFmtId="0" fontId="30" fillId="9" borderId="6" xfId="0" applyFont="1" applyFill="1" applyBorder="1" applyAlignment="1">
      <alignment horizontal="center" vertical="center"/>
    </xf>
    <xf numFmtId="0" fontId="30" fillId="9" borderId="34" xfId="0" applyFont="1" applyFill="1" applyBorder="1" applyAlignment="1">
      <alignment horizontal="center" vertical="center"/>
    </xf>
    <xf numFmtId="0" fontId="30" fillId="9" borderId="35" xfId="0" applyFont="1" applyFill="1" applyBorder="1" applyAlignment="1">
      <alignment horizontal="center" vertical="center"/>
    </xf>
    <xf numFmtId="0" fontId="21" fillId="9" borderId="53" xfId="0" applyFont="1" applyFill="1" applyBorder="1" applyAlignment="1">
      <alignment horizontal="center" vertical="center"/>
    </xf>
    <xf numFmtId="0" fontId="21" fillId="9" borderId="54" xfId="0" applyFont="1" applyFill="1" applyBorder="1" applyAlignment="1">
      <alignment horizontal="center" vertical="center"/>
    </xf>
    <xf numFmtId="0" fontId="24" fillId="9" borderId="62" xfId="0" applyFont="1" applyFill="1" applyBorder="1" applyAlignment="1">
      <alignment horizontal="center" vertical="center"/>
    </xf>
    <xf numFmtId="0" fontId="24" fillId="9" borderId="63" xfId="0" applyFont="1" applyFill="1" applyBorder="1" applyAlignment="1">
      <alignment horizontal="center" vertical="center"/>
    </xf>
    <xf numFmtId="0" fontId="24" fillId="9" borderId="65" xfId="0" applyFont="1" applyFill="1" applyBorder="1" applyAlignment="1">
      <alignment horizontal="center" vertical="center"/>
    </xf>
    <xf numFmtId="0" fontId="30" fillId="9" borderId="27" xfId="0" applyFont="1" applyFill="1" applyBorder="1" applyAlignment="1">
      <alignment horizontal="center" vertical="center"/>
    </xf>
    <xf numFmtId="0" fontId="30" fillId="9" borderId="26" xfId="0" applyFont="1" applyFill="1" applyBorder="1" applyAlignment="1">
      <alignment horizontal="center" vertical="center"/>
    </xf>
    <xf numFmtId="0" fontId="30" fillId="9" borderId="52" xfId="0" applyFont="1" applyFill="1" applyBorder="1" applyAlignment="1">
      <alignment horizontal="center" vertical="center"/>
    </xf>
    <xf numFmtId="0" fontId="21" fillId="9" borderId="31" xfId="0" applyFont="1" applyFill="1" applyBorder="1" applyAlignment="1">
      <alignment horizontal="center" vertical="center"/>
    </xf>
    <xf numFmtId="0" fontId="21" fillId="9" borderId="32" xfId="0" applyFont="1" applyFill="1" applyBorder="1" applyAlignment="1">
      <alignment horizontal="center" vertical="center"/>
    </xf>
    <xf numFmtId="0" fontId="24" fillId="9" borderId="32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30" fillId="9" borderId="50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30" fillId="9" borderId="5" xfId="0" applyFont="1" applyFill="1" applyBorder="1" applyAlignment="1">
      <alignment horizontal="center" vertical="center"/>
    </xf>
    <xf numFmtId="0" fontId="30" fillId="9" borderId="51" xfId="0" applyFont="1" applyFill="1" applyBorder="1" applyAlignment="1">
      <alignment horizontal="center" vertical="center"/>
    </xf>
    <xf numFmtId="0" fontId="21" fillId="9" borderId="49" xfId="0" applyFont="1" applyFill="1" applyBorder="1" applyAlignment="1">
      <alignment horizontal="center" vertical="center"/>
    </xf>
    <xf numFmtId="0" fontId="21" fillId="9" borderId="30" xfId="0" applyFont="1" applyFill="1" applyBorder="1" applyAlignment="1">
      <alignment horizontal="center" vertical="center"/>
    </xf>
    <xf numFmtId="0" fontId="21" fillId="9" borderId="18" xfId="0" applyFont="1" applyFill="1" applyBorder="1" applyAlignment="1">
      <alignment horizontal="center" vertical="center"/>
    </xf>
    <xf numFmtId="0" fontId="21" fillId="9" borderId="15" xfId="0" applyFont="1" applyFill="1" applyBorder="1" applyAlignment="1">
      <alignment horizontal="center" vertical="center"/>
    </xf>
    <xf numFmtId="18" fontId="30" fillId="9" borderId="45" xfId="0" applyNumberFormat="1" applyFont="1" applyFill="1" applyBorder="1" applyAlignment="1">
      <alignment horizontal="center" vertical="center"/>
    </xf>
    <xf numFmtId="0" fontId="30" fillId="9" borderId="45" xfId="0" applyFont="1" applyFill="1" applyBorder="1" applyAlignment="1">
      <alignment horizontal="center" vertical="center"/>
    </xf>
    <xf numFmtId="0" fontId="30" fillId="9" borderId="17" xfId="0" applyFont="1" applyFill="1" applyBorder="1" applyAlignment="1">
      <alignment horizontal="center" vertical="center"/>
    </xf>
    <xf numFmtId="0" fontId="21" fillId="9" borderId="46" xfId="0" applyFont="1" applyFill="1" applyBorder="1" applyAlignment="1">
      <alignment horizontal="center" vertical="center" wrapText="1"/>
    </xf>
    <xf numFmtId="0" fontId="21" fillId="9" borderId="47" xfId="0" applyFont="1" applyFill="1" applyBorder="1" applyAlignment="1">
      <alignment horizontal="center" vertical="center" wrapText="1"/>
    </xf>
    <xf numFmtId="0" fontId="30" fillId="9" borderId="48" xfId="0" applyFont="1" applyFill="1" applyBorder="1" applyAlignment="1">
      <alignment horizontal="center" vertical="center"/>
    </xf>
    <xf numFmtId="18" fontId="30" fillId="9" borderId="15" xfId="0" applyNumberFormat="1" applyFont="1" applyFill="1" applyBorder="1" applyAlignment="1">
      <alignment horizontal="center" vertical="center"/>
    </xf>
    <xf numFmtId="0" fontId="22" fillId="9" borderId="49" xfId="0" applyFont="1" applyFill="1" applyBorder="1" applyAlignment="1">
      <alignment horizontal="center" vertical="center" wrapText="1"/>
    </xf>
    <xf numFmtId="0" fontId="22" fillId="9" borderId="50" xfId="0" applyFont="1" applyFill="1" applyBorder="1" applyAlignment="1">
      <alignment horizontal="center" vertical="center" wrapText="1"/>
    </xf>
    <xf numFmtId="0" fontId="21" fillId="9" borderId="16" xfId="0" applyFont="1" applyFill="1" applyBorder="1" applyAlignment="1">
      <alignment horizontal="center" vertical="center"/>
    </xf>
    <xf numFmtId="0" fontId="21" fillId="9" borderId="45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0" fontId="15" fillId="9" borderId="34" xfId="0" applyFont="1" applyFill="1" applyBorder="1" applyAlignment="1">
      <alignment horizontal="center" vertical="center"/>
    </xf>
    <xf numFmtId="0" fontId="15" fillId="9" borderId="37" xfId="0" applyFont="1" applyFill="1" applyBorder="1" applyAlignment="1">
      <alignment horizontal="center" vertical="center"/>
    </xf>
    <xf numFmtId="0" fontId="15" fillId="9" borderId="38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 wrapText="1"/>
    </xf>
    <xf numFmtId="0" fontId="16" fillId="9" borderId="34" xfId="0" applyFont="1" applyFill="1" applyBorder="1" applyAlignment="1">
      <alignment horizontal="center" vertical="center" wrapText="1"/>
    </xf>
    <xf numFmtId="0" fontId="16" fillId="9" borderId="35" xfId="0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horizontal="center" vertical="center" wrapText="1"/>
    </xf>
    <xf numFmtId="0" fontId="19" fillId="9" borderId="0" xfId="0" applyFont="1" applyFill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19" fillId="9" borderId="43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center" vertical="center" wrapText="1"/>
    </xf>
    <xf numFmtId="0" fontId="17" fillId="9" borderId="39" xfId="0" applyFont="1" applyFill="1" applyBorder="1" applyAlignment="1">
      <alignment horizontal="center" vertical="center" wrapText="1"/>
    </xf>
    <xf numFmtId="0" fontId="17" fillId="9" borderId="30" xfId="0" applyFont="1" applyFill="1" applyBorder="1" applyAlignment="1">
      <alignment wrapText="1"/>
    </xf>
    <xf numFmtId="0" fontId="35" fillId="23" borderId="1" xfId="0" applyFont="1" applyFill="1" applyBorder="1" applyAlignment="1">
      <alignment horizontal="center" vertical="top" wrapText="1"/>
    </xf>
    <xf numFmtId="0" fontId="37" fillId="23" borderId="5" xfId="0" applyFont="1" applyFill="1" applyBorder="1" applyAlignment="1">
      <alignment horizontal="center" vertical="top" wrapText="1"/>
    </xf>
    <xf numFmtId="0" fontId="37" fillId="23" borderId="40" xfId="0" applyFont="1" applyFill="1" applyBorder="1" applyAlignment="1">
      <alignment horizontal="center" vertical="top" wrapText="1"/>
    </xf>
    <xf numFmtId="0" fontId="37" fillId="23" borderId="4" xfId="0" applyFont="1" applyFill="1" applyBorder="1" applyAlignment="1">
      <alignment horizontal="center" vertical="top" wrapText="1"/>
    </xf>
    <xf numFmtId="0" fontId="37" fillId="23" borderId="0" xfId="0" applyFont="1" applyFill="1" applyAlignment="1">
      <alignment horizontal="center" vertical="top" wrapText="1"/>
    </xf>
    <xf numFmtId="0" fontId="37" fillId="23" borderId="41" xfId="0" applyFont="1" applyFill="1" applyBorder="1" applyAlignment="1">
      <alignment horizontal="center" vertical="top" wrapText="1"/>
    </xf>
    <xf numFmtId="0" fontId="27" fillId="9" borderId="60" xfId="0" applyFont="1" applyFill="1" applyBorder="1" applyAlignment="1">
      <alignment horizontal="center" vertical="center" wrapText="1"/>
    </xf>
    <xf numFmtId="0" fontId="28" fillId="0" borderId="61" xfId="0" applyFont="1" applyBorder="1" applyAlignment="1">
      <alignment horizontal="center" vertical="center" wrapText="1"/>
    </xf>
    <xf numFmtId="0" fontId="24" fillId="9" borderId="54" xfId="0" applyFont="1" applyFill="1" applyBorder="1" applyAlignment="1">
      <alignment horizontal="center" vertical="center"/>
    </xf>
    <xf numFmtId="0" fontId="24" fillId="9" borderId="55" xfId="0" applyFont="1" applyFill="1" applyBorder="1" applyAlignment="1">
      <alignment horizontal="center" vertical="center"/>
    </xf>
    <xf numFmtId="0" fontId="25" fillId="12" borderId="1" xfId="0" applyFont="1" applyFill="1" applyBorder="1" applyAlignment="1">
      <alignment horizontal="center" vertical="top" wrapText="1"/>
    </xf>
    <xf numFmtId="0" fontId="26" fillId="12" borderId="5" xfId="0" applyFont="1" applyFill="1" applyBorder="1" applyAlignment="1">
      <alignment horizontal="center" vertical="top" wrapText="1"/>
    </xf>
    <xf numFmtId="0" fontId="26" fillId="12" borderId="40" xfId="0" applyFont="1" applyFill="1" applyBorder="1" applyAlignment="1">
      <alignment horizontal="center" vertical="top" wrapText="1"/>
    </xf>
    <xf numFmtId="0" fontId="26" fillId="12" borderId="4" xfId="0" applyFont="1" applyFill="1" applyBorder="1" applyAlignment="1">
      <alignment horizontal="center" vertical="top" wrapText="1"/>
    </xf>
    <xf numFmtId="0" fontId="26" fillId="12" borderId="0" xfId="0" applyFont="1" applyFill="1" applyAlignment="1">
      <alignment horizontal="center" vertical="top" wrapText="1"/>
    </xf>
    <xf numFmtId="0" fontId="26" fillId="12" borderId="41" xfId="0" applyFont="1" applyFill="1" applyBorder="1" applyAlignment="1">
      <alignment horizontal="center" vertical="top" wrapText="1"/>
    </xf>
    <xf numFmtId="0" fontId="0" fillId="9" borderId="20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62" xfId="0" applyFill="1" applyBorder="1" applyAlignment="1">
      <alignment horizontal="center" vertical="center"/>
    </xf>
    <xf numFmtId="0" fontId="0" fillId="9" borderId="63" xfId="0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19" fillId="9" borderId="5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19" fillId="9" borderId="23" xfId="0" applyFont="1" applyFill="1" applyBorder="1" applyAlignment="1">
      <alignment horizontal="center" vertical="center" wrapText="1"/>
    </xf>
    <xf numFmtId="0" fontId="19" fillId="9" borderId="46" xfId="0" applyFont="1" applyFill="1" applyBorder="1" applyAlignment="1">
      <alignment horizontal="center" vertical="center" wrapText="1"/>
    </xf>
    <xf numFmtId="0" fontId="19" fillId="9" borderId="47" xfId="0" applyFont="1" applyFill="1" applyBorder="1" applyAlignment="1">
      <alignment horizontal="center" vertical="center" wrapText="1"/>
    </xf>
    <xf numFmtId="0" fontId="17" fillId="9" borderId="20" xfId="0" applyFont="1" applyFill="1" applyBorder="1" applyAlignment="1">
      <alignment horizontal="center" vertical="center" wrapText="1"/>
    </xf>
    <xf numFmtId="0" fontId="26" fillId="12" borderId="23" xfId="0" applyFont="1" applyFill="1" applyBorder="1" applyAlignment="1">
      <alignment horizontal="center" vertical="top" wrapText="1"/>
    </xf>
    <xf numFmtId="0" fontId="26" fillId="12" borderId="46" xfId="0" applyFont="1" applyFill="1" applyBorder="1" applyAlignment="1">
      <alignment horizontal="center" vertical="top" wrapText="1"/>
    </xf>
    <xf numFmtId="0" fontId="26" fillId="12" borderId="47" xfId="0" applyFont="1" applyFill="1" applyBorder="1" applyAlignment="1">
      <alignment horizontal="center" vertical="top" wrapText="1"/>
    </xf>
    <xf numFmtId="0" fontId="27" fillId="9" borderId="20" xfId="0" applyFont="1" applyFill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/>
    </xf>
    <xf numFmtId="0" fontId="21" fillId="9" borderId="24" xfId="0" applyFont="1" applyFill="1" applyBorder="1" applyAlignment="1">
      <alignment horizontal="center" vertical="center"/>
    </xf>
    <xf numFmtId="18" fontId="30" fillId="9" borderId="24" xfId="0" applyNumberFormat="1" applyFont="1" applyFill="1" applyBorder="1" applyAlignment="1">
      <alignment horizontal="center" vertical="center"/>
    </xf>
    <xf numFmtId="0" fontId="30" fillId="9" borderId="24" xfId="0" applyFont="1" applyFill="1" applyBorder="1" applyAlignment="1">
      <alignment horizontal="center" vertical="center"/>
    </xf>
    <xf numFmtId="0" fontId="30" fillId="9" borderId="25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2" xfId="0" applyFill="1" applyBorder="1" applyAlignment="1">
      <alignment horizontal="center" vertical="center"/>
    </xf>
    <xf numFmtId="0" fontId="31" fillId="9" borderId="27" xfId="0" applyFont="1" applyFill="1" applyBorder="1" applyAlignment="1">
      <alignment horizontal="center" vertical="center"/>
    </xf>
    <xf numFmtId="0" fontId="31" fillId="9" borderId="26" xfId="0" applyFont="1" applyFill="1" applyBorder="1" applyAlignment="1">
      <alignment horizontal="center" vertical="center"/>
    </xf>
    <xf numFmtId="0" fontId="31" fillId="9" borderId="52" xfId="0" applyFont="1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18" fontId="0" fillId="9" borderId="45" xfId="0" applyNumberFormat="1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18" fontId="0" fillId="9" borderId="15" xfId="0" applyNumberForma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top" wrapText="1"/>
    </xf>
    <xf numFmtId="0" fontId="26" fillId="11" borderId="5" xfId="0" applyFont="1" applyFill="1" applyBorder="1" applyAlignment="1">
      <alignment horizontal="center" vertical="top" wrapText="1"/>
    </xf>
    <xf numFmtId="0" fontId="26" fillId="11" borderId="40" xfId="0" applyFont="1" applyFill="1" applyBorder="1" applyAlignment="1">
      <alignment horizontal="center" vertical="top" wrapText="1"/>
    </xf>
    <xf numFmtId="0" fontId="26" fillId="11" borderId="4" xfId="0" applyFont="1" applyFill="1" applyBorder="1" applyAlignment="1">
      <alignment horizontal="center" vertical="top" wrapText="1"/>
    </xf>
    <xf numFmtId="0" fontId="26" fillId="11" borderId="0" xfId="0" applyFont="1" applyFill="1" applyAlignment="1">
      <alignment horizontal="center" vertical="top" wrapText="1"/>
    </xf>
    <xf numFmtId="0" fontId="26" fillId="11" borderId="41" xfId="0" applyFont="1" applyFill="1" applyBorder="1" applyAlignment="1">
      <alignment horizontal="center" vertical="top" wrapText="1"/>
    </xf>
    <xf numFmtId="0" fontId="20" fillId="9" borderId="6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top" wrapText="1"/>
    </xf>
    <xf numFmtId="0" fontId="0" fillId="9" borderId="5" xfId="0" applyFill="1" applyBorder="1" applyAlignment="1">
      <alignment horizontal="center" vertical="top" wrapText="1"/>
    </xf>
    <xf numFmtId="0" fontId="0" fillId="9" borderId="40" xfId="0" applyFill="1" applyBorder="1" applyAlignment="1">
      <alignment horizontal="center" vertical="top" wrapText="1"/>
    </xf>
    <xf numFmtId="0" fontId="0" fillId="9" borderId="4" xfId="0" applyFill="1" applyBorder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0" fontId="0" fillId="9" borderId="41" xfId="0" applyFill="1" applyBorder="1" applyAlignment="1">
      <alignment horizontal="center" vertical="top" wrapText="1"/>
    </xf>
    <xf numFmtId="0" fontId="2" fillId="9" borderId="1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40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9" borderId="4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21" fillId="9" borderId="64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9" borderId="58" xfId="0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35" fillId="22" borderId="1" xfId="0" applyFont="1" applyFill="1" applyBorder="1" applyAlignment="1">
      <alignment horizontal="center" vertical="top" wrapText="1"/>
    </xf>
    <xf numFmtId="0" fontId="37" fillId="22" borderId="5" xfId="0" applyFont="1" applyFill="1" applyBorder="1" applyAlignment="1">
      <alignment horizontal="center" vertical="top" wrapText="1"/>
    </xf>
    <xf numFmtId="0" fontId="37" fillId="22" borderId="40" xfId="0" applyFont="1" applyFill="1" applyBorder="1" applyAlignment="1">
      <alignment horizontal="center" vertical="top" wrapText="1"/>
    </xf>
    <xf numFmtId="0" fontId="37" fillId="22" borderId="4" xfId="0" applyFont="1" applyFill="1" applyBorder="1" applyAlignment="1">
      <alignment horizontal="center" vertical="top" wrapText="1"/>
    </xf>
    <xf numFmtId="0" fontId="37" fillId="22" borderId="0" xfId="0" applyFont="1" applyFill="1" applyAlignment="1">
      <alignment horizontal="center" vertical="top" wrapText="1"/>
    </xf>
    <xf numFmtId="0" fontId="37" fillId="22" borderId="41" xfId="0" applyFont="1" applyFill="1" applyBorder="1" applyAlignment="1">
      <alignment horizontal="center" vertical="top" wrapText="1"/>
    </xf>
    <xf numFmtId="0" fontId="24" fillId="9" borderId="33" xfId="0" applyFont="1" applyFill="1" applyBorder="1" applyAlignment="1">
      <alignment horizontal="center" vertical="center"/>
    </xf>
    <xf numFmtId="0" fontId="21" fillId="9" borderId="5" xfId="0" applyFont="1" applyFill="1" applyBorder="1" applyAlignment="1">
      <alignment horizontal="center" vertical="center" wrapText="1"/>
    </xf>
    <xf numFmtId="0" fontId="21" fillId="9" borderId="40" xfId="0" applyFont="1" applyFill="1" applyBorder="1" applyAlignment="1">
      <alignment horizontal="center" vertical="center" wrapText="1"/>
    </xf>
    <xf numFmtId="0" fontId="23" fillId="1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46" xfId="0" applyBorder="1" applyAlignment="1">
      <alignment vertical="center" wrapText="1"/>
    </xf>
    <xf numFmtId="0" fontId="0" fillId="0" borderId="46" xfId="0" applyBorder="1" applyAlignment="1">
      <alignment wrapText="1"/>
    </xf>
    <xf numFmtId="0" fontId="23" fillId="21" borderId="5" xfId="0" applyFont="1" applyFill="1" applyBorder="1" applyAlignment="1">
      <alignment horizontal="center" vertical="center" wrapText="1"/>
    </xf>
    <xf numFmtId="0" fontId="0" fillId="21" borderId="5" xfId="0" applyFill="1" applyBorder="1" applyAlignment="1">
      <alignment wrapText="1"/>
    </xf>
    <xf numFmtId="0" fontId="23" fillId="21" borderId="46" xfId="0" applyFont="1" applyFill="1" applyBorder="1" applyAlignment="1">
      <alignment horizontal="center" vertical="center" wrapText="1"/>
    </xf>
    <xf numFmtId="0" fontId="0" fillId="21" borderId="46" xfId="0" applyFill="1" applyBorder="1" applyAlignment="1">
      <alignment wrapText="1"/>
    </xf>
    <xf numFmtId="0" fontId="23" fillId="13" borderId="0" xfId="0" applyFont="1" applyFill="1" applyAlignment="1">
      <alignment horizontal="center" wrapText="1"/>
    </xf>
    <xf numFmtId="0" fontId="0" fillId="13" borderId="0" xfId="0" applyFill="1" applyAlignment="1">
      <alignment horizontal="center" wrapText="1"/>
    </xf>
    <xf numFmtId="43" fontId="38" fillId="2" borderId="32" xfId="2" applyNumberFormat="1" applyFont="1" applyFill="1" applyBorder="1" applyAlignment="1">
      <alignment vertical="center"/>
    </xf>
    <xf numFmtId="0" fontId="38" fillId="0" borderId="51" xfId="0" applyNumberFormat="1" applyFont="1" applyBorder="1" applyAlignment="1">
      <alignment horizontal="center" vertical="center"/>
    </xf>
    <xf numFmtId="43" fontId="38" fillId="0" borderId="32" xfId="2" applyNumberFormat="1" applyFont="1" applyFill="1" applyBorder="1" applyAlignment="1">
      <alignment horizontal="left" vertical="center" indent="1"/>
    </xf>
    <xf numFmtId="43" fontId="38" fillId="0" borderId="33" xfId="2" applyNumberFormat="1" applyFont="1" applyFill="1" applyBorder="1" applyAlignment="1">
      <alignment horizontal="center" vertical="center"/>
    </xf>
    <xf numFmtId="43" fontId="38" fillId="5" borderId="32" xfId="2" applyNumberFormat="1" applyFont="1" applyFill="1" applyBorder="1" applyAlignment="1">
      <alignment vertical="center"/>
    </xf>
    <xf numFmtId="43" fontId="38" fillId="10" borderId="1" xfId="2" applyNumberFormat="1" applyFont="1" applyFill="1" applyBorder="1" applyAlignment="1">
      <alignment vertical="center"/>
    </xf>
    <xf numFmtId="43" fontId="38" fillId="10" borderId="33" xfId="2" applyNumberFormat="1" applyFont="1" applyFill="1" applyBorder="1" applyAlignment="1">
      <alignment vertical="center"/>
    </xf>
    <xf numFmtId="43" fontId="38" fillId="5" borderId="31" xfId="2" applyNumberFormat="1" applyFont="1" applyFill="1" applyBorder="1" applyAlignment="1">
      <alignment vertical="center"/>
    </xf>
    <xf numFmtId="43" fontId="38" fillId="10" borderId="32" xfId="2" applyNumberFormat="1" applyFont="1" applyFill="1" applyBorder="1" applyAlignment="1">
      <alignment vertical="center"/>
    </xf>
    <xf numFmtId="43" fontId="41" fillId="0" borderId="0" xfId="0" applyNumberFormat="1" applyFont="1" applyBorder="1" applyAlignment="1">
      <alignment vertical="center"/>
    </xf>
    <xf numFmtId="169" fontId="0" fillId="0" borderId="0" xfId="0" applyNumberFormat="1" applyBorder="1" applyAlignment="1">
      <alignment vertical="center"/>
    </xf>
    <xf numFmtId="43" fontId="0" fillId="0" borderId="0" xfId="0" applyNumberForma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</cellXfs>
  <cellStyles count="3">
    <cellStyle name="Millares" xfId="2" builtinId="3"/>
    <cellStyle name="Millares [0]" xfId="1" builtinId="6"/>
    <cellStyle name="Normal" xfId="0" builtinId="0"/>
  </cellStyles>
  <dxfs count="21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33" formatCode="_-* #,##0_-;\-* #,##0_-;_-* &quot;-&quot;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-* #,##0_-;\-* #,##0_-;_-* &quot;-&quot;_-;_-@_-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-* #,##0_-;\-* #,##0_-;_-* &quot;-&quot;_-;_-@_-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-* #,##0.0000_-;\-* #,##0.0000_-;_-* &quot;-&quot;_-;_-@_-"/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solid">
          <fgColor theme="8" tint="0.79998168889431442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solid">
          <fgColor theme="8" tint="0.79998168889431442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solid">
          <fgColor theme="8" tint="0.79998168889431442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solid">
          <fgColor theme="8" tint="0.79998168889431442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[$-F800]dddd\,\ mmmm\ dd\,\ yyyy"/>
      <fill>
        <patternFill patternType="solid">
          <fgColor theme="8" tint="0.79998168889431442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33" formatCode="_-* #,##0_-;\-* #,##0_-;_-* &quot;-&quot;_-;_-@_-"/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* #,##0_-;\-* #,##0_-;_-* &quot;-&quot;??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9" formatCode="_-* #,##0_-;\-* #,##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* #,##0_-;\-* #,##0_-;_-* &quot;-&quot;??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9" formatCode="_-* #,##0_-;\-* #,##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* #,##0_-;\-* #,##0_-;_-* &quot;-&quot;??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* #,##0_-;\-* #,##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* #,##0_-;\-* #,##0_-;_-* &quot;-&quot;??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9" formatCode="_-* #,##0_-;\-* #,##0_-;_-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169" formatCode="_-* #,##0_-;\-* #,##0_-;_-* &quot;-&quot;??_-;_-@_-"/>
      <alignment horizontal="general" vertical="center" textRotation="0" wrapText="0" indent="0" justifyLastLine="0" shrinkToFit="0" readingOrder="0"/>
    </dxf>
    <dxf>
      <numFmt numFmtId="169" formatCode="_-* #,##0_-;\-* #,##0_-;_-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* #,##0_-;\-* #,##0_-;_-* &quot;-&quot;??_-;_-@_-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9" formatCode="_-* #,##0_-;\-* #,##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* #,##0_-;\-* #,##0_-;_-* &quot;-&quot;??_-;_-@_-"/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/>
      </font>
      <numFmt numFmtId="169" formatCode="_-* #,##0_-;\-* #,##0_-;_-* &quot;-&quot;??_-;_-@_-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9" formatCode="_-* #,##0_-;\-* #,##0_-;_-* &quot;-&quot;??_-;_-@_-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9" formatCode="_-* #,##0_-;\-* #,##0_-;_-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9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9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9"/>
      </font>
      <numFmt numFmtId="35" formatCode="_-* #,##0.00_-;\-* #,##0.00_-;_-* &quot;-&quot;??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9"/>
      </font>
      <numFmt numFmtId="35" formatCode="_-* #,##0.00_-;\-* #,##0.00_-;_-* &quot;-&quot;??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color rgb="FFFF0000"/>
        <name val="Calibri"/>
        <family val="2"/>
        <scheme val="minor"/>
      </font>
      <numFmt numFmtId="35" formatCode="_-* #,##0.00_-;\-* #,##0.00_-;_-* &quot;-&quot;??_-;_-@_-"/>
      <border diagonalUp="0" diagonalDown="0">
        <left style="thin">
          <color indexed="64"/>
        </left>
      </border>
    </dxf>
    <dxf>
      <numFmt numFmtId="169" formatCode="_-* #,##0_-;\-* #,##0_-;_-* &quot;-&quot;??_-;_-@_-"/>
      <alignment horizontal="general" vertical="center" textRotation="0" wrapText="0" indent="0" justifyLastLine="0" shrinkToFit="0" readingOrder="0"/>
    </dxf>
    <dxf>
      <numFmt numFmtId="169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color rgb="FFFF0000"/>
        <name val="Calibri"/>
        <family val="2"/>
        <scheme val="minor"/>
      </font>
      <numFmt numFmtId="35" formatCode="_-* #,##0.00_-;\-* #,##0.00_-;_-* &quot;-&quot;??_-;_-@_-"/>
      <border diagonalUp="0" diagonalDown="0">
        <left style="thin">
          <color indexed="64"/>
        </left>
      </border>
    </dxf>
    <dxf>
      <numFmt numFmtId="169" formatCode="_-* #,##0_-;\-* #,##0_-;_-* &quot;-&quot;??_-;_-@_-"/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9" formatCode="_-* #,##0_-;\-* #,##0_-;_-* &quot;-&quot;??_-;_-@_-"/>
      <border diagonalUp="0" diagonalDown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9"/>
      </font>
      <numFmt numFmtId="35" formatCode="_-* #,##0.00_-;\-* #,##0.00_-;_-* &quot;-&quot;??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9"/>
      </font>
      <numFmt numFmtId="35" formatCode="_-* #,##0.00_-;\-* #,##0.00_-;_-* &quot;-&quot;??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00"/>
        <name val="Calibri"/>
        <family val="2"/>
        <scheme val="minor"/>
      </font>
      <numFmt numFmtId="35" formatCode="_-* #,##0.00_-;\-* #,##0.00_-;_-* &quot;-&quot;??_-;_-@_-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35" formatCode="_-* #,##0.00_-;\-* #,##0.00_-;_-* &quot;-&quot;??_-;_-@_-"/>
      <border diagonalUp="0" diagonalDown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9"/>
      </font>
      <numFmt numFmtId="35" formatCode="_-* #,##0.00_-;\-* #,##0.00_-;_-* &quot;-&quot;??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9"/>
      </font>
      <numFmt numFmtId="35" formatCode="_-* #,##0.00_-;\-* #,##0.00_-;_-* &quot;-&quot;??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z val="9"/>
      </font>
      <numFmt numFmtId="35" formatCode="_-* #,##0.00_-;\-* #,##0.00_-;_-* &quot;-&quot;??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sz val="9"/>
      </font>
      <numFmt numFmtId="35" formatCode="_-* #,##0.00_-;\-* #,##0.00_-;_-* &quot;-&quot;??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9"/>
      </font>
      <numFmt numFmtId="35" formatCode="_-* #,##0.00_-;\-* #,##0.00_-;_-* &quot;-&quot;??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9"/>
      </font>
      <numFmt numFmtId="35" formatCode="_-* #,##0.00_-;\-* #,##0.00_-;_-* &quot;-&quot;??_-;_-@_-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9"/>
      </font>
      <numFmt numFmtId="169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9"/>
      </font>
      <numFmt numFmtId="169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9" formatCode="_-* #,##0_-;\-* #,##0_-;_-* &quot;-&quot;??_-;_-@_-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33" formatCode="_-* #,##0_-;\-* #,##0_-;_-* &quot;-&quot;_-;_-@_-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-* #,##0.00_-;\-* #,##0.00_-;_-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-* #,##0.00_-;\-* #,##0.00_-;_-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-* #,##0.00_-;\-* #,##0.00_-;_-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-* #,##0.00_-;\-* #,##0.00_-;_-* &quot;-&quot;_-;_-@_-"/>
      <fill>
        <patternFill patternType="none">
          <fgColor theme="8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-* #,##0.00_-;\-* #,##0.00_-;_-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-* #,##0.00_-;\-* #,##0.00_-;_-* &quot;-&quot;_-;_-@_-"/>
      <fill>
        <patternFill patternType="none">
          <fgColor theme="8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theme="8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theme="8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theme="8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none">
          <fgColor theme="8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none">
          <fgColor theme="8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none">
          <fgColor theme="8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-* #,##0_-;\-* #,##0_-;_-* &quot;-&quot;_-;_-@_-"/>
      <fill>
        <patternFill patternType="none">
          <fgColor theme="8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none">
          <fgColor theme="8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[$-F800]dddd\,\ mmmm\ dd\,\ yyyy"/>
      <fill>
        <patternFill patternType="none">
          <fgColor theme="8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33" formatCode="_-* #,##0_-;\-* #,##0_-;_-* &quot;-&quot;_-;_-@_-"/>
      <fill>
        <patternFill patternType="none">
          <fgColor theme="8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microsoft.com/office/2007/relationships/slicerCache" Target="slicerCaches/slicerCache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microsoft.com/office/2007/relationships/slicerCache" Target="slicerCaches/slicerCache5.xml"/><Relationship Id="rId20" Type="http://schemas.microsoft.com/office/2007/relationships/slicerCache" Target="slicerCaches/slicerCache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685476</xdr:colOff>
      <xdr:row>0</xdr:row>
      <xdr:rowOff>0</xdr:rowOff>
    </xdr:from>
    <xdr:to>
      <xdr:col>9</xdr:col>
      <xdr:colOff>330953</xdr:colOff>
      <xdr:row>6</xdr:row>
      <xdr:rowOff>121081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° SEMANA">
              <a:extLst>
                <a:ext uri="{FF2B5EF4-FFF2-40B4-BE49-F238E27FC236}">
                  <a16:creationId xmlns:a16="http://schemas.microsoft.com/office/drawing/2014/main" id="{6687B9FB-CE4D-438C-BE62-2314D9A116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° SEMA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2850" y="1"/>
              <a:ext cx="2514600" cy="1114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983658</xdr:colOff>
      <xdr:row>0</xdr:row>
      <xdr:rowOff>66674</xdr:rowOff>
    </xdr:from>
    <xdr:to>
      <xdr:col>4</xdr:col>
      <xdr:colOff>66352</xdr:colOff>
      <xdr:row>4</xdr:row>
      <xdr:rowOff>161440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FINCA">
              <a:extLst>
                <a:ext uri="{FF2B5EF4-FFF2-40B4-BE49-F238E27FC236}">
                  <a16:creationId xmlns:a16="http://schemas.microsoft.com/office/drawing/2014/main" id="{8574EFBD-371A-4307-85DB-9F042ED8FE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4925" y="66674"/>
              <a:ext cx="1828800" cy="914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487874</xdr:colOff>
      <xdr:row>0</xdr:row>
      <xdr:rowOff>128507</xdr:rowOff>
    </xdr:from>
    <xdr:to>
      <xdr:col>14</xdr:col>
      <xdr:colOff>209873</xdr:colOff>
      <xdr:row>2</xdr:row>
      <xdr:rowOff>242162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Año 1">
              <a:extLst>
                <a:ext uri="{FF2B5EF4-FFF2-40B4-BE49-F238E27FC236}">
                  <a16:creationId xmlns:a16="http://schemas.microsoft.com/office/drawing/2014/main" id="{6FFA020E-7FF6-EB85-0755-B3AEC2D4E2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4474" y="128507"/>
              <a:ext cx="2350899" cy="6851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462395</xdr:colOff>
      <xdr:row>0</xdr:row>
      <xdr:rowOff>0</xdr:rowOff>
    </xdr:from>
    <xdr:to>
      <xdr:col>16</xdr:col>
      <xdr:colOff>588818</xdr:colOff>
      <xdr:row>3</xdr:row>
      <xdr:rowOff>112568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emana">
              <a:extLst>
                <a:ext uri="{FF2B5EF4-FFF2-40B4-BE49-F238E27FC236}">
                  <a16:creationId xmlns:a16="http://schemas.microsoft.com/office/drawing/2014/main" id="{FF789008-554D-4D41-9323-5F7ABAE501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a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6509" y="0"/>
              <a:ext cx="6012000" cy="6840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753341</xdr:colOff>
      <xdr:row>1</xdr:row>
      <xdr:rowOff>58882</xdr:rowOff>
    </xdr:from>
    <xdr:to>
      <xdr:col>4</xdr:col>
      <xdr:colOff>484909</xdr:colOff>
      <xdr:row>4</xdr:row>
      <xdr:rowOff>173181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nca 2">
              <a:extLst>
                <a:ext uri="{FF2B5EF4-FFF2-40B4-BE49-F238E27FC236}">
                  <a16:creationId xmlns:a16="http://schemas.microsoft.com/office/drawing/2014/main" id="{E6ABC8A4-D86B-47C5-A671-64883CF920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c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341" y="249382"/>
              <a:ext cx="4390159" cy="685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17</xdr:col>
      <xdr:colOff>323849</xdr:colOff>
      <xdr:row>0</xdr:row>
      <xdr:rowOff>2598</xdr:rowOff>
    </xdr:from>
    <xdr:to>
      <xdr:col>20</xdr:col>
      <xdr:colOff>507422</xdr:colOff>
      <xdr:row>3</xdr:row>
      <xdr:rowOff>86592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Año">
              <a:extLst>
                <a:ext uri="{FF2B5EF4-FFF2-40B4-BE49-F238E27FC236}">
                  <a16:creationId xmlns:a16="http://schemas.microsoft.com/office/drawing/2014/main" id="{27759F66-42AB-8BAC-22DE-71BE83A2FB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03281" y="2598"/>
              <a:ext cx="1828800" cy="6554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0</xdr:row>
      <xdr:rowOff>0</xdr:rowOff>
    </xdr:from>
    <xdr:to>
      <xdr:col>4</xdr:col>
      <xdr:colOff>295276</xdr:colOff>
      <xdr:row>7</xdr:row>
      <xdr:rowOff>123825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° SEMANA 1">
              <a:extLst>
                <a:ext uri="{FF2B5EF4-FFF2-40B4-BE49-F238E27FC236}">
                  <a16:creationId xmlns:a16="http://schemas.microsoft.com/office/drawing/2014/main" id="{698D0F97-639D-46E6-A3AF-CBA969811F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° SEMA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49" y="95250"/>
              <a:ext cx="3848101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400050</xdr:colOff>
      <xdr:row>0</xdr:row>
      <xdr:rowOff>57150</xdr:rowOff>
    </xdr:from>
    <xdr:to>
      <xdr:col>8</xdr:col>
      <xdr:colOff>447675</xdr:colOff>
      <xdr:row>6</xdr:row>
      <xdr:rowOff>104775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NCA 1">
              <a:extLst>
                <a:ext uri="{FF2B5EF4-FFF2-40B4-BE49-F238E27FC236}">
                  <a16:creationId xmlns:a16="http://schemas.microsoft.com/office/drawing/2014/main" id="{E9C6A73D-57EE-4069-B891-F1B4BECC5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C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6700" y="57150"/>
              <a:ext cx="2371725" cy="101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0</xdr:colOff>
      <xdr:row>0</xdr:row>
      <xdr:rowOff>19051</xdr:rowOff>
    </xdr:from>
    <xdr:to>
      <xdr:col>13</xdr:col>
      <xdr:colOff>504825</xdr:colOff>
      <xdr:row>6</xdr:row>
      <xdr:rowOff>38101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° SEMANA 2">
              <a:extLst>
                <a:ext uri="{FF2B5EF4-FFF2-40B4-BE49-F238E27FC236}">
                  <a16:creationId xmlns:a16="http://schemas.microsoft.com/office/drawing/2014/main" id="{A278EF65-9777-4A97-9398-7D3199CE94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° SEMAN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2800" y="19051"/>
              <a:ext cx="2514600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21</xdr:col>
      <xdr:colOff>504825</xdr:colOff>
      <xdr:row>5</xdr:row>
      <xdr:rowOff>47625</xdr:rowOff>
    </xdr:from>
    <xdr:to>
      <xdr:col>24</xdr:col>
      <xdr:colOff>47625</xdr:colOff>
      <xdr:row>23</xdr:row>
      <xdr:rowOff>190500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FECHA">
              <a:extLst>
                <a:ext uri="{FF2B5EF4-FFF2-40B4-BE49-F238E27FC236}">
                  <a16:creationId xmlns:a16="http://schemas.microsoft.com/office/drawing/2014/main" id="{D8270EA2-2A9D-2CD3-81C5-D7412D8C1D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21075" y="857250"/>
              <a:ext cx="1828800" cy="475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°_SEMANA" xr10:uid="{8340AE92-D455-404A-8F6B-9D4D20F1FF1F}" sourceName="SEMANA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NCA" xr10:uid="{FFCF9938-8CA0-4456-8AC3-2371D5305C29}" sourceName="FINCA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°_SEMANA1" xr10:uid="{B5F7E15C-B773-4B77-A318-DE3B9C621BFB}" sourceName="N° SEMANA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NCA1" xr10:uid="{0FE4709E-90B0-46C5-8881-6E0BB81B5114}" sourceName="FINCA">
  <extLst>
    <x:ext xmlns:x15="http://schemas.microsoft.com/office/spreadsheetml/2010/11/main" uri="{2F2917AC-EB37-4324-AD4E-5DD8C200BD13}">
      <x15:tableSlicerCache tableId="2" column="3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mana" xr10:uid="{4C1DF603-01E7-4F00-86CC-8612C00928BA}" sourceName="Semana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nca2" xr10:uid="{002CEB9E-99A2-4DCB-AD9B-01DAE2BB0918}" sourceName="Finca">
  <extLst>
    <x:ext xmlns:x15="http://schemas.microsoft.com/office/spreadsheetml/2010/11/main" uri="{2F2917AC-EB37-4324-AD4E-5DD8C200BD13}">
      <x15:tableSlicerCache tableId="3" column="3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E02CAFB8-1EEF-4BCD-AF80-2CD64916740C}" sourceName="Año">
  <extLst>
    <x:ext xmlns:x15="http://schemas.microsoft.com/office/spreadsheetml/2010/11/main" uri="{2F2917AC-EB37-4324-AD4E-5DD8C200BD13}">
      <x15:tableSlicerCache tableId="3" column="63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1" xr10:uid="{8096D3DE-99A1-4977-AF68-9C7DB90FBAAA}" sourceName="Año">
  <extLst>
    <x:ext xmlns:x15="http://schemas.microsoft.com/office/spreadsheetml/2010/11/main" uri="{2F2917AC-EB37-4324-AD4E-5DD8C200BD13}">
      <x15:tableSlicerCache tableId="1" column="21"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" xr10:uid="{EE95D892-2F03-49FE-B1BE-285F83505EB8}" sourceName="FECHA">
  <extLst>
    <x:ext xmlns:x15="http://schemas.microsoft.com/office/spreadsheetml/2010/11/main" uri="{2F2917AC-EB37-4324-AD4E-5DD8C200BD13}">
      <x15:tableSlicerCache tableId="2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° SEMANA" xr10:uid="{101100DB-AAFF-4917-AD93-8066403AA641}" cache="SegmentaciónDeDatos_N°_SEMANA" caption="SEMANA" columnCount="8" rowHeight="241300"/>
  <slicer name="FINCA" xr10:uid="{A45C7233-8726-405A-9D84-3C80417D30E2}" cache="SegmentaciónDeDatos_FINCA" caption="FINCA" columnCount="2" rowHeight="241300"/>
  <slicer name="Año 1" xr10:uid="{C7ED2680-072E-4BC2-86E5-36CEDCC2223F}" cache="SegmentaciónDeDatos_Año1" caption="Año" columnCount="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mana" xr10:uid="{31AC1133-580D-44F1-9B47-D2E158BC5B2C}" cache="SegmentaciónDeDatos_Semana" caption="Semana" columnCount="17" rowHeight="252000"/>
  <slicer name="Finca 2" xr10:uid="{6D0F744B-6694-43AD-B964-C86027F84BF3}" cache="SegmentaciónDeDatos_Finca2" caption="Finca" columnCount="5" rowHeight="241300"/>
  <slicer name="Año" xr10:uid="{4A1749B6-647E-4AB6-98B0-24E7B08B28B3}" cache="SegmentaciónDeDatos_Año" caption="Año" columnCount="3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° SEMANA 2" xr10:uid="{5901FC10-DD1B-4553-8CE1-72C259EBA0F1}" cache="SegmentaciónDeDatos_N°_SEMANA" caption="SEMANA" startItem="45" columnCount="5" rowHeight="241300"/>
  <slicer name="N° SEMANA 1" xr10:uid="{3EA0F1FA-DD94-4624-B752-F75B65CA9BB9}" cache="SegmentaciónDeDatos_N°_SEMANA1" caption="N° SEMANA" columnCount="5" rowHeight="241300"/>
  <slicer name="FINCA 1" xr10:uid="{5D775A25-C76B-49D1-99F1-35308727AF5C}" cache="SegmentaciónDeDatos_FINCA1" caption="FINCA" columnCount="2" rowHeight="241300"/>
  <slicer name="FECHA" xr10:uid="{45945C1E-6ABC-4CB6-92B0-8E2D400EF305}" cache="SegmentaciónDeDatos_FECHA" caption="FECHA" startItem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E49EC4-223E-441F-A796-A7A8ED766BD5}" name="Tabla4" displayName="Tabla4" ref="J7:P30" totalsRowShown="0" headerRowDxfId="213" headerRowBorderDxfId="212" tableBorderDxfId="211" totalsRowBorderDxfId="210">
  <autoFilter ref="J7:P30" xr:uid="{B9E49EC4-223E-441F-A796-A7A8ED766BD5}"/>
  <tableColumns count="7">
    <tableColumn id="1" xr3:uid="{90EE9C2C-D7D4-49D9-8F5F-EACE5BC7D4BE}" name="Codigo Finca" dataDxfId="209"/>
    <tableColumn id="6" xr3:uid="{4CD558D7-9747-4A95-89EC-CCAEAEFDF3DC}" name="Columna1" dataDxfId="208"/>
    <tableColumn id="2" xr3:uid="{8452F429-8779-472E-A276-327B579A0F1B}" name="Nombre Finca" dataDxfId="207"/>
    <tableColumn id="3" xr3:uid="{3ED6CC77-3628-482F-9A55-75318D599A70}" name="Precio Caja" dataDxfId="206"/>
    <tableColumn id="5" xr3:uid="{B76F33C9-FDB4-4B10-B5B3-E33929F8685C}" name="Precio Caja Segunda" dataDxfId="205"/>
    <tableColumn id="4" xr3:uid="{6EC04C67-0EA4-44DE-A848-A5CF4FED05D0}" name="Precio Rechazo" dataDxfId="204"/>
    <tableColumn id="7" xr3:uid="{D0B314AA-8DE9-4D1C-A1EE-C888107D2B19}" name="Precio Bolsa2" dataDxfId="20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BAB168-905B-4FD4-8292-999DF7B37349}" name="Tabla1" displayName="Tabla1" ref="C8:AA234" totalsRowShown="0" headerRowDxfId="202" dataDxfId="200" headerRowBorderDxfId="201" tableBorderDxfId="199" headerRowCellStyle="Millares [0]">
  <autoFilter ref="C8:AA234" xr:uid="{7C1E2058-129C-43EF-943F-13E0D7333CDF}"/>
  <sortState xmlns:xlrd2="http://schemas.microsoft.com/office/spreadsheetml/2017/richdata2" ref="C14:Z58">
    <sortCondition ref="C8:C60"/>
  </sortState>
  <tableColumns count="25">
    <tableColumn id="1" xr3:uid="{6AF3FAA4-6F6C-4F3A-93A9-6C9F7156FE1B}" name="FECHA" dataDxfId="198" totalsRowDxfId="197"/>
    <tableColumn id="21" xr3:uid="{4E05F418-244C-4273-8ED0-0237B3C82128}" name="Año" dataDxfId="196" totalsRowDxfId="195" dataCellStyle="Millares [0]">
      <calculatedColumnFormula>YEAR(Tabla1[[#This Row],[FECHA]])</calculatedColumnFormula>
    </tableColumn>
    <tableColumn id="2" xr3:uid="{556D02C4-0E3A-4B42-85E3-9AA54167C005}" name="SEMANA" dataDxfId="194" dataCellStyle="Millares [0]">
      <calculatedColumnFormula>_xlfn.ISOWEEKNUM(Tabla1[[#This Row],[FECHA]])</calculatedColumnFormula>
    </tableColumn>
    <tableColumn id="25" xr3:uid="{64D03FB6-8A70-40AE-ACED-D3FB982FEEF6}" name="Columna4" dataDxfId="193" totalsRowDxfId="192" dataCellStyle="Millares [0]"/>
    <tableColumn id="3" xr3:uid="{BE88DDF2-F790-428C-A9C0-F7711F6DC82E}" name="FINCA" dataDxfId="191" totalsRowDxfId="190" dataCellStyle="Millares [0]"/>
    <tableColumn id="4" xr3:uid="{90D8763D-DCDC-4DD0-AD28-095D98A45431}" name="Cajas Elaboradas" dataDxfId="189" totalsRowDxfId="188" dataCellStyle="Millares [0]"/>
    <tableColumn id="5" xr3:uid="{A1784337-E429-40AC-9F28-BDB2E14664CA}" name="Bolsas Elaboradas" dataDxfId="187" totalsRowDxfId="186" dataCellStyle="Millares [0]"/>
    <tableColumn id="6" xr3:uid="{A21E5949-5B12-4B45-B57F-BF5F72D52A61}" name="N° DE PERSONAS EN EL EMBARQUE" dataDxfId="185" totalsRowDxfId="184" dataCellStyle="Millares [0]"/>
    <tableColumn id="7" xr3:uid="{94216A9C-0CE7-4502-9592-4F059A19F565}" name="Rasimos Cosechados" dataDxfId="183" totalsRowDxfId="182" dataCellStyle="Millares [0]"/>
    <tableColumn id="8" xr3:uid="{4C1D047E-2295-40AF-80EE-9604E63D8420}" name="Rasimos Prosesados" dataDxfId="181" totalsRowDxfId="180" dataCellStyle="Millares [0]"/>
    <tableColumn id="9" xr3:uid="{92A53BD2-ACA3-4D37-B6BC-AFB83A3750D6}" name="Rasimos Rechasados" dataDxfId="179" totalsRowDxfId="178" dataCellStyle="Millares [0]">
      <calculatedColumnFormula>+Tabla1[[#This Row],[Rasimos Cosechados]]-Tabla1[[#This Row],[Rasimos Prosesados]]</calculatedColumnFormula>
    </tableColumn>
    <tableColumn id="23" xr3:uid="{6030B273-D3F5-4EBF-AA8A-DC5329FF06CC}" name="Ratio general" dataDxfId="177" totalsRowDxfId="176" dataCellStyle="Millares [0]">
      <calculatedColumnFormula>+Tabla1[[#This Row],[Rasimos Cosechados]]/Tabla1[[#This Row],[Cajas Elaboradas]]</calculatedColumnFormula>
    </tableColumn>
    <tableColumn id="22" xr3:uid="{8C4668D0-910F-4E9A-B12A-12C707CF04C3}" name="Ratio Prosesado" dataDxfId="175" totalsRowDxfId="174" dataCellStyle="Millares [0]">
      <calculatedColumnFormula>+Tabla1[[#This Row],[Rasimos Prosesados]]/Tabla1[[#This Row],[Cajas Elaboradas]]</calculatedColumnFormula>
    </tableColumn>
    <tableColumn id="10" xr3:uid="{9640981C-6A00-4232-A556-7F07FC61DE3F}" name="PRECIO CAJA" dataDxfId="173" totalsRowDxfId="172" dataCellStyle="Millares [0]">
      <calculatedColumnFormula>IF(H9,'DATOS PARA CALCULO'!D$18,0)</calculatedColumnFormula>
    </tableColumn>
    <tableColumn id="11" xr3:uid="{9EBCA331-5BB9-4C1B-9B67-11B58D6E0842}" name="PRECIO BOLSA" dataDxfId="171" totalsRowDxfId="170" dataCellStyle="Millares [0]">
      <calculatedColumnFormula>IF(I9,'DATOS PARA CALCULO'!D$22,0)</calculatedColumnFormula>
    </tableColumn>
    <tableColumn id="12" xr3:uid="{66E9BBB0-85BC-4138-8DF2-1B2E6F14BCBE}" name="PRODUCIDO CAJA" dataDxfId="169" totalsRowDxfId="168" dataCellStyle="Millares [0]">
      <calculatedColumnFormula>IF(P9&gt;0 &amp; H9&gt;0,H9*P9,)</calculatedColumnFormula>
    </tableColumn>
    <tableColumn id="13" xr3:uid="{E0719AC1-390D-47F6-88E5-EDD15D76CE2D}" name="PRODUCIDO BOLSAS" dataDxfId="167" totalsRowDxfId="166" dataCellStyle="Millares [0]">
      <calculatedColumnFormula>IF(Q9&gt;0 &amp; I9&gt;0,I9*Q9,0)</calculatedColumnFormula>
    </tableColumn>
    <tableColumn id="14" xr3:uid="{B972B21E-9DAC-4A38-8FE5-DC23737BA5E3}" name="TOTAL PRODUCIDO" dataDxfId="165" totalsRowDxfId="164" dataCellStyle="Millares [0]">
      <calculatedColumnFormula>S9+R9</calculatedColumnFormula>
    </tableColumn>
    <tableColumn id="15" xr3:uid="{59D72C3A-D906-42FC-A24A-3A8F3ACAD2E3}" name="Valor Pagado" dataDxfId="163" totalsRowDxfId="162" dataCellStyle="Millares [0]">
      <calculatedColumnFormula>IF('CAJAS ELABORADAS'!$J9&gt;0,'CAJAS ELABORADAS'!$Y9*'CAJAS ELABORADAS'!$J9,0)</calculatedColumnFormula>
    </tableColumn>
    <tableColumn id="16" xr3:uid="{39AA2EED-C990-44FF-A95A-C96DCEF62B25}" name="COEFICIENTE" dataDxfId="161" totalsRowDxfId="160" dataCellStyle="Millares [0]">
      <calculatedColumnFormula>'CAJAS ELABORADAS'!$Y9/'DATOS PARA CALCULO'!$D$27</calculatedColumnFormula>
    </tableColumn>
    <tableColumn id="17" xr3:uid="{B9C2B035-A246-47D8-931A-6DFA56F97A25}" name="Precio Caja2" dataDxfId="159" totalsRowDxfId="158" dataCellStyle="Millares [0]">
      <calculatedColumnFormula>(Tabla1[[#This Row],[Valor Pagado]]-Tabla1[[#This Row],[PRODUCIDO BOLSAS]])/Tabla1[[#This Row],[Cajas Elaboradas]]</calculatedColumnFormula>
    </tableColumn>
    <tableColumn id="18" xr3:uid="{F8825B8A-AE77-401A-8B10-2B6BE198EB90}" name="VALOR GANADO" dataDxfId="157" totalsRowDxfId="156" dataCellStyle="Millares [0]">
      <calculatedColumnFormula>IF(J9&gt;0,T9/J9,0)</calculatedColumnFormula>
    </tableColumn>
    <tableColumn id="19" xr3:uid="{B9451BCE-74A0-4B98-A345-C3762D8D0867}" name="VALOR  A PAGAR" dataDxfId="155" totalsRowDxfId="154" dataCellStyle="Millares [0]">
      <calculatedColumnFormula>IF('CAJAS ELABORADAS'!$X9&lt;'DATOS PARA CALCULO'!$D$27,'DATOS PARA CALCULO'!$D$27,'CAJAS ELABORADAS'!$X9)</calculatedColumnFormula>
    </tableColumn>
    <tableColumn id="20" xr3:uid="{7522FE19-3B7C-4972-BFB8-C9CE8478FAB3}" name="Columna1" dataDxfId="153" totalsRowDxfId="152" dataCellStyle="Millares [0]">
      <calculatedColumnFormula>Tabla1[[#This Row],[VALOR  A PAGAR]]-Tabla1[[#This Row],[VALOR GANADO]]</calculatedColumnFormula>
    </tableColumn>
    <tableColumn id="24" xr3:uid="{6FA7ED95-61ED-479D-9A4B-B3502665D3B8}" name="Columna3" dataDxfId="151" totalsRowDxfId="1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930650-DFF1-4198-8732-AA99C4D71706}" name="Tabla14" displayName="Tabla14" ref="C8:BM606" totalsRowShown="0" headerRowDxfId="149" tableBorderDxfId="148">
  <autoFilter ref="C8:BM606" xr:uid="{94930650-DFF1-4198-8732-AA99C4D71706}">
    <filterColumn colId="1">
      <filters>
        <filter val="2,023"/>
        <filter val="2,024"/>
      </filters>
    </filterColumn>
  </autoFilter>
  <sortState xmlns:xlrd2="http://schemas.microsoft.com/office/spreadsheetml/2017/richdata2" ref="C533:BM592">
    <sortCondition ref="C8:C592"/>
  </sortState>
  <tableColumns count="63">
    <tableColumn id="1" xr3:uid="{9ADEAE91-744D-43ED-B9A9-CAB80504FD95}" name="Fecha" dataDxfId="147" totalsRowDxfId="146" dataCellStyle="Millares [0]" totalsRowCellStyle="Millares [0]"/>
    <tableColumn id="63" xr3:uid="{5BFBB62C-54CF-4950-B796-E185F03FBF34}" name="Año" dataDxfId="145" totalsRowDxfId="144" dataCellStyle="Millares [0]" totalsRowCellStyle="Millares [0]">
      <calculatedColumnFormula>YEAR(Tabla14[[#This Row],[Fecha]])</calculatedColumnFormula>
    </tableColumn>
    <tableColumn id="2" xr3:uid="{2069BDCB-626B-4639-AF48-49FE085B19C8}" name="Semana" dataDxfId="143" totalsRowDxfId="142">
      <calculatedColumnFormula>IF(Tabla14[[#This Row],[Fecha]]&gt;0,_xlfn.ISOWEEKNUM(Tabla14[[#This Row],[Fecha]]),0)</calculatedColumnFormula>
    </tableColumn>
    <tableColumn id="33" xr3:uid="{382386F2-C8DA-452A-BF95-A7C3E665E468}" name="Cajas" dataDxfId="141" totalsRowDxfId="140" dataCellStyle="Millares" totalsRowCellStyle="Millares"/>
    <tableColumn id="4" xr3:uid="{84798DBF-58FC-48B9-976C-9C592CA4CA6D}" name="Codigo Finca" dataDxfId="139" totalsRowDxfId="138" dataCellStyle="Millares" totalsRowCellStyle="Millares"/>
    <tableColumn id="3" xr3:uid="{24CDB8EC-3338-4179-98D0-9939D98C6DC0}" name="Finca" dataDxfId="137" totalsRowDxfId="136" dataCellStyle="Millares" totalsRowCellStyle="Millares">
      <calculatedColumnFormula>_xlfn.XLOOKUP(Tabla14[[#This Row],[Codigo Finca]],Tabla4[Codigo Finca],Tabla4[Nombre Finca],"")</calculatedColumnFormula>
    </tableColumn>
    <tableColumn id="6" xr3:uid="{239049F5-A1F1-4E28-94B5-6A72E776F32B}" name="Precio Caja" dataDxfId="135" totalsRowDxfId="134" dataCellStyle="Millares" totalsRowCellStyle="Millares">
      <calculatedColumnFormula>_xlfn.XLOOKUP(Tabla14[[#This Row],[Codigo Finca]],Tabla4[Codigo Finca],Tabla4[Precio Caja],0)</calculatedColumnFormula>
    </tableColumn>
    <tableColumn id="34" xr3:uid="{6878A975-3CE8-4139-8BF8-F90B4711C3BC}" name="Precio Caja Segunda" dataDxfId="133" totalsRowDxfId="132" dataCellStyle="Millares" totalsRowCellStyle="Millares">
      <calculatedColumnFormula>_xlfn.XLOOKUP(Tabla14[[#This Row],[Codigo Finca]],Tabla4[Codigo Finca],Tabla4[Precio Caja Segunda],0)</calculatedColumnFormula>
    </tableColumn>
    <tableColumn id="36" xr3:uid="{45F51B88-CDBF-4D32-948D-37E2A07B22E3}" name="Precio Bolsa" dataDxfId="131" totalsRowDxfId="130" dataCellStyle="Millares" totalsRowCellStyle="Millares">
      <calculatedColumnFormula>_xlfn.XLOOKUP(Tabla14[[#This Row],[Codigo Finca]],Tabla4[Codigo Finca],Tabla4[Precio Rechazo],0)</calculatedColumnFormula>
    </tableColumn>
    <tableColumn id="7" xr3:uid="{73231441-8543-4D59-B2BD-03EB60749871}" name="Total Racimos" dataDxfId="129" totalsRowDxfId="128" dataCellStyle="Millares" totalsRowCellStyle="Millares">
      <calculatedColumnFormula>S9+N9</calculatedColumnFormula>
    </tableColumn>
    <tableColumn id="8" xr3:uid="{40E42C55-253B-43A0-8A76-504CFA13B9F0}" name="Ratio" dataDxfId="127" totalsRowDxfId="126" dataCellStyle="Millares" totalsRowCellStyle="Millares">
      <calculatedColumnFormula>IF(F9&gt;0,L9/F9,0)</calculatedColumnFormula>
    </tableColumn>
    <tableColumn id="10" xr3:uid="{10576789-BFA5-4EB8-8990-8B9A8207AEBB}" name="Racimos Precortados" dataDxfId="125" totalsRowDxfId="124" dataCellStyle="Millares" totalsRowCellStyle="Millares"/>
    <tableColumn id="11" xr3:uid="{4C7751B3-5719-41DC-BE22-29CB250FA3FB}" name="Personas Precorte" dataDxfId="123" totalsRowDxfId="122" dataCellStyle="Millares" totalsRowCellStyle="Millares"/>
    <tableColumn id="12" xr3:uid="{BB1DA252-441C-4016-998F-FA97EFFAF244}" name="Cajas Estimadas" dataDxfId="121" totalsRowDxfId="120" dataCellStyle="Millares" totalsRowCellStyle="Millares">
      <calculatedColumnFormula>IF(N9&gt;0,(N9/M9)/2,0)</calculatedColumnFormula>
    </tableColumn>
    <tableColumn id="13" xr3:uid="{50DEDEF8-0FDE-4B30-BF91-5417AE8667E2}" name="Cajas por Personas" dataDxfId="119" totalsRowDxfId="118" dataCellStyle="Millares" totalsRowCellStyle="Millares">
      <calculatedColumnFormula>IF(O9&gt;0,P9/O9,0)</calculatedColumnFormula>
    </tableColumn>
    <tableColumn id="14" xr3:uid="{D3268C9D-B894-4CBF-83CF-87BF5AF5680F}" name="Valor Precorte Pesona" dataDxfId="117" totalsRowDxfId="116" dataCellStyle="Millares" totalsRowCellStyle="Millares">
      <calculatedColumnFormula>IF(I9&gt;0,Q9*I9,)</calculatedColumnFormula>
    </tableColumn>
    <tableColumn id="16" xr3:uid="{A6EE9C8A-A5B8-4A85-805B-D8E552F0D8E0}" name="Racimos Cortados" dataDxfId="115" totalsRowDxfId="114" dataCellStyle="Millares" totalsRowCellStyle="Millares"/>
    <tableColumn id="17" xr3:uid="{511EEF55-A717-4133-82B0-64364D6C5C42}" name="Personas Precorte2" dataDxfId="113" totalsRowDxfId="112" dataCellStyle="Millares" totalsRowCellStyle="Millares"/>
    <tableColumn id="18" xr3:uid="{FED70A0E-2A02-4B79-8F8E-65AA3FB0AC41}" name="Cajas Embarque" dataDxfId="111" totalsRowDxfId="110" dataCellStyle="Millares" totalsRowCellStyle="Millares">
      <calculatedColumnFormula>F9-P9</calculatedColumnFormula>
    </tableColumn>
    <tableColumn id="19" xr3:uid="{884F0797-928F-47F6-A2A8-421C6D1F9281}" name="Cajas por Personas2" dataDxfId="109" totalsRowDxfId="108" dataCellStyle="Millares" totalsRowCellStyle="Millares">
      <calculatedColumnFormula>IF(T9&gt;0,U9/T9,0)</calculatedColumnFormula>
    </tableColumn>
    <tableColumn id="20" xr3:uid="{29032615-F9FE-4135-937B-DD0F78DBAA95}" name="Valor Embarque Pesona" dataDxfId="107" totalsRowDxfId="106" dataCellStyle="Millares" totalsRowCellStyle="Millares">
      <calculatedColumnFormula>IF(T9&gt;0,(U9*I9)/T9,0)</calculatedColumnFormula>
    </tableColumn>
    <tableColumn id="56" xr3:uid="{D2777A66-DE83-4AFB-9B9A-D8344C798459}" name="Cajas Segunda" dataDxfId="105" totalsRowDxfId="104" dataCellStyle="Millares" totalsRowCellStyle="Millares"/>
    <tableColumn id="51" xr3:uid="{89EBDE62-53F7-47B1-9EBE-ACBFA5AFEFA6}" name="Personas Intervienen" dataDxfId="103" totalsRowDxfId="102" dataCellStyle="Millares" totalsRowCellStyle="Millares"/>
    <tableColumn id="50" xr3:uid="{6BA968BD-568F-49C4-BA26-AA442FF7DF3B}" name="Columna3" dataDxfId="101" totalsRowDxfId="100" dataCellStyle="Millares" totalsRowCellStyle="Millares">
      <calculatedColumnFormula>Tabla14[[#This Row],[Cajas Segunda]]</calculatedColumnFormula>
    </tableColumn>
    <tableColumn id="49" xr3:uid="{68006797-F3B3-4088-AF81-678C7DE3FF49}" name="Columna2" dataDxfId="99" totalsRowDxfId="98" dataCellStyle="Millares" totalsRowCellStyle="Millares">
      <calculatedColumnFormula>IF(Y9&gt;0,Z9/Y9,0)</calculatedColumnFormula>
    </tableColumn>
    <tableColumn id="48" xr3:uid="{FE71E20B-B0F1-4C9E-BA77-551403CE2DA3}" name="Columna1" dataDxfId="97" totalsRowDxfId="96" dataCellStyle="Millares" totalsRowCellStyle="Millares">
      <calculatedColumnFormula>IF(Y9&gt;0,(Z9*J9)/Y9,0)</calculatedColumnFormula>
    </tableColumn>
    <tableColumn id="22" xr3:uid="{6457327C-CAC9-4974-BB25-B0D3C54E721F}" name="Bosas" dataDxfId="95" totalsRowDxfId="94" dataCellStyle="Millares" totalsRowCellStyle="Millares"/>
    <tableColumn id="23" xr3:uid="{6FBC9624-0BC7-48D9-B0EA-20B06E35BBDE}" name="kilos" dataDxfId="93" totalsRowDxfId="92" dataCellStyle="Millares" totalsRowCellStyle="Millares"/>
    <tableColumn id="24" xr3:uid="{9818A96A-6AA3-40E7-A7AA-BD8DCA04E8EF}" name="Sacas" dataDxfId="91" totalsRowDxfId="90" dataCellStyle="Millares" totalsRowCellStyle="Millares"/>
    <tableColumn id="25" xr3:uid="{64CC0F19-B371-4802-BD8D-BED38DF25177}" name="Peso Sacas" dataDxfId="89" totalsRowDxfId="88" dataCellStyle="Millares" totalsRowCellStyle="Millares"/>
    <tableColumn id="26" xr3:uid="{72951C6B-B75D-46FE-B485-B065B0E44D5C}" name="Personas13" dataDxfId="87" totalsRowDxfId="86" dataCellStyle="Millares" totalsRowCellStyle="Millares"/>
    <tableColumn id="27" xr3:uid="{B43CCD11-D030-47F6-A9A7-20ACD69A6B91}" name="Bolsas" dataDxfId="85" totalsRowDxfId="84" dataCellStyle="Millares" totalsRowCellStyle="Millares">
      <calculatedColumnFormula>IF(AND(AC9&gt;0,AE9=0,AF9=0,AD9=0),AC9,IF(AND(AC9=0,AE9&gt;0,AF9&gt;0,AD9=0),AE9*AF9/25,IF(AND(AC9=0,AE9=0,AF9=0,AD9&gt;0),AD9/25,0)))</calculatedColumnFormula>
    </tableColumn>
    <tableColumn id="28" xr3:uid="{3DA502F0-E316-4F48-A2BD-1280004840E5}" name="Bolsas Por Personas" dataDxfId="83" totalsRowDxfId="82" dataCellStyle="Millares" totalsRowCellStyle="Millares">
      <calculatedColumnFormula>IF(AG9&gt;0,AH9/AG9,0)</calculatedColumnFormula>
    </tableColumn>
    <tableColumn id="30" xr3:uid="{100F6242-9923-4000-90B7-4328AE101726}" name="Valor bolsas Pesona" dataDxfId="81" totalsRowDxfId="80" dataCellStyle="Millares" totalsRowCellStyle="Millares">
      <calculatedColumnFormula>AI9*K9</calculatedColumnFormula>
    </tableColumn>
    <tableColumn id="31" xr3:uid="{72C62EF7-A36E-4404-BD91-8D4BEFB645D7}" name="Cajas por Personas Precorte" dataDxfId="79" totalsRowDxfId="78" dataCellStyle="Millares" totalsRowCellStyle="Millares">
      <calculatedColumnFormula>Tabla14[[#This Row],[Cajas por Personas]]</calculatedColumnFormula>
    </tableColumn>
    <tableColumn id="21" xr3:uid="{8B035404-3E2D-442F-A0FA-8ECDE57EB8DC}" name="Valor Precorte Pesona Precorte" dataDxfId="77" totalsRowDxfId="76" dataCellStyle="Millares" totalsRowCellStyle="Millares">
      <calculatedColumnFormula>Tabla14[[#This Row],[Valor Precorte Pesona]]</calculatedColumnFormula>
    </tableColumn>
    <tableColumn id="39" xr3:uid="{20EAB834-5FB0-4B17-8292-19C22E6C76DD}" name="Perzonas Precorte" dataDxfId="75" totalsRowDxfId="74">
      <calculatedColumnFormula>Tabla14[[#This Row],[Personas Precorte]]</calculatedColumnFormula>
    </tableColumn>
    <tableColumn id="38" xr3:uid="{EBCE735D-071B-48B5-8CFC-CA7B5CB7B462}" name="Total Valor Precorte" dataDxfId="73" totalsRowDxfId="72">
      <calculatedColumnFormula>Tabla14[[#This Row],[Valor Precorte Pesona Precorte]]*Tabla14[[#This Row],[Perzonas Precorte]]</calculatedColumnFormula>
    </tableColumn>
    <tableColumn id="9" xr3:uid="{24E83503-123B-42B2-92DA-CA03A303B7FB}" name="Cajas por Personas Embarque" dataDxfId="71" totalsRowDxfId="70" dataCellStyle="Millares" totalsRowCellStyle="Millares">
      <calculatedColumnFormula>Tabla14[[#This Row],[Cajas por Personas2]]</calculatedColumnFormula>
    </tableColumn>
    <tableColumn id="29" xr3:uid="{E3B61346-4CE4-4534-B1AE-BF82CA39ED82}" name="Valor Embarque Pesona3" dataDxfId="69" totalsRowDxfId="68" dataCellStyle="Millares" totalsRowCellStyle="Millares">
      <calculatedColumnFormula>Tabla14[[#This Row],[Valor Embarque Pesona]]</calculatedColumnFormula>
    </tableColumn>
    <tableColumn id="41" xr3:uid="{8D33FF8D-5CB4-4BB4-B3AB-D670E96EAF72}" name="Perzona Primera" dataDxfId="67" totalsRowDxfId="66">
      <calculatedColumnFormula>Tabla14[[#This Row],[Personas Precorte2]]</calculatedColumnFormula>
    </tableColumn>
    <tableColumn id="40" xr3:uid="{DF34657F-C9AE-4F31-A4B9-EE4740512600}" name="Total Valor Primera" dataDxfId="65" totalsRowDxfId="64">
      <calculatedColumnFormula>Tabla14[[#This Row],[Valor Embarque Pesona3]]*Tabla14[[#This Row],[Perzona Primera]]</calculatedColumnFormula>
    </tableColumn>
    <tableColumn id="35" xr3:uid="{196C79E6-25CD-4E1A-BEA6-ED500B2EF353}" name="Valor Embarque Pesona4" dataDxfId="63" totalsRowDxfId="62" dataCellStyle="Millares" totalsRowCellStyle="Millares">
      <calculatedColumnFormula>Tabla14[[#This Row],[Columna2]]</calculatedColumnFormula>
    </tableColumn>
    <tableColumn id="37" xr3:uid="{20FA8BE4-3B1F-43BA-8865-A03C823DFD86}" name="Valor Embarque Pesona5" dataDxfId="61" totalsRowDxfId="60" dataCellStyle="Millares" totalsRowCellStyle="Millares">
      <calculatedColumnFormula>Tabla14[[#This Row],[Columna1]]</calculatedColumnFormula>
    </tableColumn>
    <tableColumn id="43" xr3:uid="{46FC81A5-5612-41DB-8E5D-209785598C85}" name="Presonas Segunda" dataDxfId="59" totalsRowDxfId="58">
      <calculatedColumnFormula>Tabla14[[#This Row],[Personas Intervienen]]</calculatedColumnFormula>
    </tableColumn>
    <tableColumn id="42" xr3:uid="{D9133215-9EAF-4A1F-B442-B0E3DD8DD66C}" name="Total Valor Segunda" dataDxfId="57" totalsRowDxfId="56">
      <calculatedColumnFormula>Tabla14[[#This Row],[Valor Embarque Pesona5]]*Tabla14[[#This Row],[Presonas Segunda]]</calculatedColumnFormula>
    </tableColumn>
    <tableColumn id="15" xr3:uid="{B16E2682-C9AB-43E2-8135-92713D164969}" name="Rechazo" dataDxfId="55" totalsRowDxfId="54" dataCellStyle="Millares" totalsRowCellStyle="Millares">
      <calculatedColumnFormula>Tabla14[[#This Row],[Bolsas Por Personas]]</calculatedColumnFormula>
    </tableColumn>
    <tableColumn id="32" xr3:uid="{040CD6EA-C19B-4CF2-8FC5-74C01A9E5A11}" name="Valor bolsas Pesona2" dataDxfId="53" totalsRowDxfId="52" dataCellStyle="Millares" totalsRowCellStyle="Millares">
      <calculatedColumnFormula>Tabla14[[#This Row],[Valor bolsas Pesona]]</calculatedColumnFormula>
    </tableColumn>
    <tableColumn id="44" xr3:uid="{24086380-95C4-488E-AF40-78D77AE5C470}" name="Personas Rechazo" dataDxfId="51" totalsRowDxfId="50">
      <calculatedColumnFormula>Tabla14[[#This Row],[Personas13]]</calculatedColumnFormula>
    </tableColumn>
    <tableColumn id="45" xr3:uid="{6E6D5A45-B9C3-4EB3-A5B5-7A21961A35F1}" name="Total Rechazo" dataDxfId="49" totalsRowDxfId="48" dataCellStyle="Millares" totalsRowCellStyle="Millares">
      <calculatedColumnFormula>Tabla14[[#This Row],[Valor bolsas Pesona2]]*Tabla14[[#This Row],[Personas Rechazo]]</calculatedColumnFormula>
    </tableColumn>
    <tableColumn id="46" xr3:uid="{6540D211-688F-485C-8B96-2AC276682E5A}" name="TOTAL A PAGAR" dataDxfId="47" totalsRowDxfId="46">
      <calculatedColumnFormula>+Tabla14[[#This Row],[Total Valor Segunda]]+Tabla14[[#This Row],[Total Valor Primera]]+Tabla14[[#This Row],[Total Valor Precorte]]</calculatedColumnFormula>
    </tableColumn>
    <tableColumn id="5" xr3:uid="{0021580E-F453-427E-B2FE-2B96B4698068}" name="VALOR GANADO" dataDxfId="45" totalsRowDxfId="44">
      <calculatedColumnFormula>Tabla14[[#This Row],[Valor bolsas Pesona2]]+Tabla14[[#This Row],[Valor Embarque Pesona3]]</calculatedColumnFormula>
    </tableColumn>
    <tableColumn id="47" xr3:uid="{21222B4B-965D-4A7F-8C7A-00CAF04777BB}" name="REAJUSTADO" dataDxfId="43" totalsRowDxfId="42" dataCellStyle="Millares" totalsRowCellStyle="Millares"/>
    <tableColumn id="52" xr3:uid="{EE258D3A-E745-4E2E-87A5-EFD1DC441AC5}" name="CUANTO SE REAJUSTA" dataDxfId="41" totalsRowDxfId="40">
      <calculatedColumnFormula>Tabla14[[#This Row],[VALOR GANADO]]-Tabla14[[#This Row],[REAJUSTADO]]</calculatedColumnFormula>
    </tableColumn>
    <tableColumn id="53" xr3:uid="{1AFB5EE5-DBE0-483E-B019-6C4A6277F042}" name="Columna7" dataDxfId="39" totalsRowDxfId="38">
      <calculatedColumnFormula>Tabla14[[#This Row],[CUANTO SE REAJUSTA]]*Tabla14[[#This Row],[Personas Rechazo]]</calculatedColumnFormula>
    </tableColumn>
    <tableColumn id="54" xr3:uid="{7B284A34-A190-4432-BEDD-E303D1BD6FC5}" name="Columna8" dataDxfId="37" totalsRowDxfId="36">
      <calculatedColumnFormula>Tabla14[[#This Row],[REAJUSTADO]]/25000</calculatedColumnFormula>
    </tableColumn>
    <tableColumn id="55" xr3:uid="{92FD974F-2D7D-4092-B34A-7E8082AD2CF2}" name="TOTAL EMBARQUE REAJUSTADO" dataDxfId="35" totalsRowDxfId="34">
      <calculatedColumnFormula>Tabla14[[#This Row],[REAJUSTADO]]*Tabla14[[#This Row],[Personas Rechazo]]</calculatedColumnFormula>
    </tableColumn>
    <tableColumn id="57" xr3:uid="{A6FE4634-6CF7-4BB6-9631-734B21A56EE7}" name="Finca2" dataDxfId="33" totalsRowDxfId="32">
      <calculatedColumnFormula>Tabla14[[#This Row],[Finca]]</calculatedColumnFormula>
    </tableColumn>
    <tableColumn id="58" xr3:uid="{A911B574-EA4B-41E7-A4D3-66D68B1347FF}" name="Numero de Ocacionales" dataDxfId="31" totalsRowDxfId="30"/>
    <tableColumn id="59" xr3:uid="{A34BC9DE-9B62-4DAD-B904-31C22056ECC3}" name="EMBARQUE" dataDxfId="29" totalsRowDxfId="28" dataCellStyle="Millares" totalsRowCellStyle="Millares">
      <calculatedColumnFormula>Tabla14[[#This Row],[Numero de Ocacionales]]*Tabla14[[#This Row],[REAJUSTADO]]</calculatedColumnFormula>
    </tableColumn>
    <tableColumn id="62" xr3:uid="{E050AF80-FD23-4CCC-B03A-A5F69478602A}" name="PEGA CARTON" dataDxfId="27" totalsRowDxfId="26" dataCellStyle="Millares" totalsRowCellStyle="Millares"/>
    <tableColumn id="60" xr3:uid="{5AC5E863-363C-4F79-9649-EEDD52883745}" name="BARCADILLERO" dataDxfId="25" totalsRowDxfId="24" dataCellStyle="Millares" totalsRowCellStyle="Millares"/>
    <tableColumn id="61" xr3:uid="{F8069B91-1DA7-4591-B310-37AAD738B999}" name="PRECORTE" dataDxfId="23" totalsRowDxfId="22" dataCellStyle="Millares" totalsRowCellStyle="Millares">
      <calculatedColumnFormula>+Tabla14[[#This Row],[CUANTO SE REAJUSTA]]*3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51A40E-971F-46A7-9B59-9E388385440C}" name="Tabla13" displayName="Tabla13" ref="B8:U234" totalsRowShown="0" headerRowDxfId="21" tableBorderDxfId="20" headerRowCellStyle="Millares [0]">
  <autoFilter ref="B8:U234" xr:uid="{7EBD635A-EBB1-4096-9310-F8801389C1CD}"/>
  <tableColumns count="20">
    <tableColumn id="1" xr3:uid="{52A71EDF-8AF2-4801-965E-75FC09B36005}" name="FECHA" dataDxfId="19">
      <calculatedColumnFormula>Tabla1[[#This Row],[FECHA]]</calculatedColumnFormula>
    </tableColumn>
    <tableColumn id="2" xr3:uid="{60958A46-C910-4F5E-8B06-4C93AB0E1348}" name="N° SEMANA" dataDxfId="18" dataCellStyle="Millares [0]">
      <calculatedColumnFormula>_xlfn.ISOWEEKNUM('CAJAS ELABORADAS'!$C9)</calculatedColumnFormula>
    </tableColumn>
    <tableColumn id="3" xr3:uid="{16C943AB-4927-4868-9AB4-500DADF44D20}" name="FINCA" dataDxfId="17" dataCellStyle="Millares [0]">
      <calculatedColumnFormula>Tabla1[[#This Row],[FINCA]]</calculatedColumnFormula>
    </tableColumn>
    <tableColumn id="4" xr3:uid="{E494A3B1-55AA-40E5-BE6D-AF7CED428BB8}" name="Cajas Elaboradas" dataDxfId="16" dataCellStyle="Millares [0]">
      <calculatedColumnFormula>Tabla1[[#This Row],[Cajas Elaboradas]]</calculatedColumnFormula>
    </tableColumn>
    <tableColumn id="5" xr3:uid="{8AEE7F43-4C22-492E-9B95-3E4FC866A0F4}" name="Bolsas Elaboradas" dataDxfId="15" dataCellStyle="Millares [0]">
      <calculatedColumnFormula>Tabla1[[#This Row],[Bolsas Elaboradas]]</calculatedColumnFormula>
    </tableColumn>
    <tableColumn id="6" xr3:uid="{F546F345-4F7A-4A14-8300-4EA63EDE4904}" name="N° DE PERSONAS EN EL EMBARQUE" dataDxfId="14" dataCellStyle="Millares [0]">
      <calculatedColumnFormula>Tabla1[[#This Row],[N° DE PERSONAS EN EL EMBARQUE]]</calculatedColumnFormula>
    </tableColumn>
    <tableColumn id="7" xr3:uid="{52152778-6E4E-4922-868F-1C3FECD35ACB}" name="Rasimos Cosechados" dataDxfId="13" dataCellStyle="Millares [0]">
      <calculatedColumnFormula>Tabla1[[#This Row],[Rasimos Cosechados]]</calculatedColumnFormula>
    </tableColumn>
    <tableColumn id="8" xr3:uid="{087A0C3A-BA32-4B01-B09C-6CFC51E6C21A}" name="Rasimos Prosesados" dataDxfId="12" dataCellStyle="Millares [0]">
      <calculatedColumnFormula>Tabla1[[#This Row],[Rasimos Prosesados]]</calculatedColumnFormula>
    </tableColumn>
    <tableColumn id="9" xr3:uid="{9C37A0E9-80F7-4DFE-9CA5-0294ACEB6DC4}" name="Rasimos Rechasados" dataDxfId="11" dataCellStyle="Millares [0]">
      <calculatedColumnFormula>Tabla1[[#This Row],[Rasimos Rechasados]]</calculatedColumnFormula>
    </tableColumn>
    <tableColumn id="10" xr3:uid="{0D1813C6-2EE7-4F05-844B-3234005CA05D}" name="PRECIO CAJA" dataDxfId="10" dataCellStyle="Millares [0]">
      <calculatedColumnFormula>Tabla1[[#This Row],[PRECIO CAJA]]</calculatedColumnFormula>
    </tableColumn>
    <tableColumn id="11" xr3:uid="{F634F547-024D-4D79-BA68-5D1571F0718A}" name="PRECIO BOLSA" dataDxfId="9" dataCellStyle="Millares [0]">
      <calculatedColumnFormula>Tabla1[[#This Row],[PRECIO BOLSA]]</calculatedColumnFormula>
    </tableColumn>
    <tableColumn id="12" xr3:uid="{CE8AE53D-C2A6-4541-BFE9-2CBA7C1ED31F}" name="PRODUCIDO CAJA" dataDxfId="8" dataCellStyle="Millares [0]">
      <calculatedColumnFormula>Tabla1[[#This Row],[PRODUCIDO CAJA]]</calculatedColumnFormula>
    </tableColumn>
    <tableColumn id="13" xr3:uid="{7DCA77F6-42E0-4462-9E13-5EF015E833E8}" name="PRODUCIDO BOLSAS" dataDxfId="7" dataCellStyle="Millares [0]">
      <calculatedColumnFormula>Tabla1[[#This Row],[PRODUCIDO BOLSAS]]</calculatedColumnFormula>
    </tableColumn>
    <tableColumn id="14" xr3:uid="{5EBD3207-135F-455D-A926-04240248C6A4}" name="TOTAL PRODUCIDO" dataDxfId="6" dataCellStyle="Millares [0]">
      <calculatedColumnFormula>Tabla1[[#This Row],[TOTAL PRODUCIDO]]</calculatedColumnFormula>
    </tableColumn>
    <tableColumn id="15" xr3:uid="{C37857A5-9582-4204-99DA-192D5417B078}" name="Valor Pagado" dataDxfId="5" dataCellStyle="Millares [0]">
      <calculatedColumnFormula>Tabla1[[#This Row],[Valor Pagado]]</calculatedColumnFormula>
    </tableColumn>
    <tableColumn id="16" xr3:uid="{15F0A974-D7A3-45A0-9B4D-FDF5D6865684}" name="COEFICIENTE" dataDxfId="4" dataCellStyle="Millares [0]">
      <calculatedColumnFormula>Tabla1[[#This Row],[COEFICIENTE]]</calculatedColumnFormula>
    </tableColumn>
    <tableColumn id="17" xr3:uid="{EBD2B745-9E51-45AA-893E-051BC4BAE20A}" name="Precio Caja2" dataDxfId="3" dataCellStyle="Millares [0]">
      <calculatedColumnFormula>Tabla1[[#This Row],[Precio Caja2]]</calculatedColumnFormula>
    </tableColumn>
    <tableColumn id="18" xr3:uid="{83375C61-AAFB-4198-8EFC-921BED321326}" name="VALOR GANADO" dataDxfId="2" dataCellStyle="Millares [0]">
      <calculatedColumnFormula>Tabla1[[#This Row],[VALOR GANADO]]</calculatedColumnFormula>
    </tableColumn>
    <tableColumn id="19" xr3:uid="{A89E126E-4942-4C32-9FA0-85973F9A5615}" name="VALOR  A PAGAR" dataDxfId="1" dataCellStyle="Millares [0]">
      <calculatedColumnFormula>Tabla1[[#This Row],[VALOR  A PAGAR]]</calculatedColumnFormula>
    </tableColumn>
    <tableColumn id="20" xr3:uid="{997430E2-E489-4025-A4FD-B78B7C699C01}" name="Columna1" dataDxfId="0" dataCellStyle="Millares [0]">
      <calculatedColumnFormula>Tabla1[[#This Row],[Columna1]]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microsoft.com/office/2007/relationships/slicer" Target="../slicers/slicer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microsoft.com/office/2007/relationships/slicer" Target="../slicers/slicer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CFD3-6F4E-433E-91EF-4980CF9407CC}">
  <dimension ref="C4:S34"/>
  <sheetViews>
    <sheetView topLeftCell="A9" workbookViewId="0">
      <selection activeCell="Q22" sqref="Q22"/>
    </sheetView>
  </sheetViews>
  <sheetFormatPr baseColWidth="10" defaultColWidth="11.42578125" defaultRowHeight="15" x14ac:dyDescent="0.25"/>
  <cols>
    <col min="3" max="3" width="32.5703125" customWidth="1"/>
    <col min="10" max="11" width="14.28515625" customWidth="1"/>
    <col min="12" max="12" width="15.5703125" customWidth="1"/>
    <col min="13" max="14" width="10.85546875" customWidth="1"/>
    <col min="15" max="15" width="13.85546875" customWidth="1"/>
  </cols>
  <sheetData>
    <row r="4" spans="3:19" x14ac:dyDescent="0.25">
      <c r="C4" s="1"/>
    </row>
    <row r="7" spans="3:19" ht="30" x14ac:dyDescent="0.25">
      <c r="J7" s="255" t="s">
        <v>149</v>
      </c>
      <c r="K7" s="255" t="s">
        <v>25</v>
      </c>
      <c r="L7" s="256" t="s">
        <v>150</v>
      </c>
      <c r="M7" s="256" t="s">
        <v>132</v>
      </c>
      <c r="N7" s="256" t="s">
        <v>173</v>
      </c>
      <c r="O7" s="257" t="s">
        <v>278</v>
      </c>
      <c r="P7" s="256" t="s">
        <v>277</v>
      </c>
      <c r="Q7" s="252"/>
      <c r="R7" s="252"/>
      <c r="S7" s="252"/>
    </row>
    <row r="8" spans="3:19" x14ac:dyDescent="0.25">
      <c r="J8" s="253" t="s">
        <v>152</v>
      </c>
      <c r="K8" s="253" t="s">
        <v>132</v>
      </c>
      <c r="L8" s="181" t="s">
        <v>151</v>
      </c>
      <c r="M8" s="181">
        <v>1500</v>
      </c>
      <c r="N8" s="254">
        <v>1000</v>
      </c>
      <c r="O8" s="254">
        <v>500</v>
      </c>
      <c r="P8" s="254">
        <v>500</v>
      </c>
    </row>
    <row r="9" spans="3:19" x14ac:dyDescent="0.25">
      <c r="J9" s="253" t="s">
        <v>153</v>
      </c>
      <c r="K9" s="253" t="s">
        <v>132</v>
      </c>
      <c r="L9" s="181" t="s">
        <v>154</v>
      </c>
      <c r="M9" s="181">
        <v>1500</v>
      </c>
      <c r="N9" s="254">
        <v>1000</v>
      </c>
      <c r="O9" s="254">
        <v>500</v>
      </c>
      <c r="P9" s="254">
        <v>500</v>
      </c>
    </row>
    <row r="10" spans="3:19" x14ac:dyDescent="0.25">
      <c r="J10" s="253" t="s">
        <v>155</v>
      </c>
      <c r="K10" s="253" t="s">
        <v>132</v>
      </c>
      <c r="L10" s="181" t="s">
        <v>156</v>
      </c>
      <c r="M10" s="181">
        <v>1500</v>
      </c>
      <c r="N10" s="254">
        <v>1000</v>
      </c>
      <c r="O10" s="254">
        <v>500</v>
      </c>
      <c r="P10" s="254">
        <v>500</v>
      </c>
    </row>
    <row r="11" spans="3:19" x14ac:dyDescent="0.25">
      <c r="J11" s="258" t="s">
        <v>157</v>
      </c>
      <c r="K11" s="253" t="s">
        <v>132</v>
      </c>
      <c r="L11" s="259" t="s">
        <v>158</v>
      </c>
      <c r="M11" s="259">
        <v>2100</v>
      </c>
      <c r="N11" s="260">
        <v>1000</v>
      </c>
      <c r="O11" s="260">
        <v>500</v>
      </c>
      <c r="P11" s="260">
        <v>500</v>
      </c>
    </row>
    <row r="12" spans="3:19" x14ac:dyDescent="0.25">
      <c r="J12" s="258" t="s">
        <v>207</v>
      </c>
      <c r="K12" s="253" t="s">
        <v>132</v>
      </c>
      <c r="L12" s="259" t="s">
        <v>208</v>
      </c>
      <c r="M12" s="259">
        <v>2000</v>
      </c>
      <c r="N12" s="260">
        <v>1000</v>
      </c>
      <c r="O12" s="260">
        <v>500</v>
      </c>
      <c r="P12" s="260">
        <v>500</v>
      </c>
    </row>
    <row r="13" spans="3:19" x14ac:dyDescent="0.25">
      <c r="J13" s="258" t="s">
        <v>209</v>
      </c>
      <c r="K13" s="253" t="s">
        <v>132</v>
      </c>
      <c r="L13" s="259" t="s">
        <v>151</v>
      </c>
      <c r="M13" s="259">
        <v>1800</v>
      </c>
      <c r="N13" s="260">
        <v>1000</v>
      </c>
      <c r="O13" s="260">
        <v>600</v>
      </c>
      <c r="P13" s="260">
        <v>600</v>
      </c>
    </row>
    <row r="14" spans="3:19" x14ac:dyDescent="0.25">
      <c r="J14" s="258" t="s">
        <v>211</v>
      </c>
      <c r="K14" s="253" t="s">
        <v>132</v>
      </c>
      <c r="L14" s="259" t="s">
        <v>151</v>
      </c>
      <c r="M14" s="259">
        <v>1600</v>
      </c>
      <c r="N14" s="260">
        <v>1000</v>
      </c>
      <c r="O14" s="260">
        <v>500</v>
      </c>
      <c r="P14" s="260">
        <v>500</v>
      </c>
    </row>
    <row r="15" spans="3:19" x14ac:dyDescent="0.25">
      <c r="J15" s="258" t="s">
        <v>251</v>
      </c>
      <c r="K15" s="253" t="s">
        <v>132</v>
      </c>
      <c r="L15" s="259" t="s">
        <v>158</v>
      </c>
      <c r="M15" s="259">
        <v>1800</v>
      </c>
      <c r="N15" s="260">
        <v>1150</v>
      </c>
      <c r="O15" s="260">
        <v>575</v>
      </c>
      <c r="P15" s="260">
        <v>575</v>
      </c>
    </row>
    <row r="16" spans="3:19" x14ac:dyDescent="0.25">
      <c r="J16" s="253" t="s">
        <v>249</v>
      </c>
      <c r="K16" s="253" t="s">
        <v>132</v>
      </c>
      <c r="L16" s="181" t="s">
        <v>151</v>
      </c>
      <c r="M16" s="181">
        <v>2000</v>
      </c>
      <c r="N16" s="254">
        <v>1150</v>
      </c>
      <c r="O16" s="254">
        <v>675</v>
      </c>
      <c r="P16" s="254">
        <v>675</v>
      </c>
    </row>
    <row r="17" spans="3:16" x14ac:dyDescent="0.25">
      <c r="J17" s="253" t="s">
        <v>250</v>
      </c>
      <c r="K17" s="253" t="s">
        <v>132</v>
      </c>
      <c r="L17" s="181" t="s">
        <v>151</v>
      </c>
      <c r="M17" s="181">
        <v>1800</v>
      </c>
      <c r="N17" s="254">
        <v>1150</v>
      </c>
      <c r="O17" s="254">
        <v>575</v>
      </c>
      <c r="P17" s="254">
        <v>575</v>
      </c>
    </row>
    <row r="18" spans="3:16" x14ac:dyDescent="0.25">
      <c r="C18" t="s">
        <v>0</v>
      </c>
      <c r="D18">
        <v>1500</v>
      </c>
      <c r="J18" s="253" t="s">
        <v>247</v>
      </c>
      <c r="K18" s="253" t="s">
        <v>132</v>
      </c>
      <c r="L18" s="181" t="s">
        <v>154</v>
      </c>
      <c r="M18" s="181">
        <v>1800</v>
      </c>
      <c r="N18" s="254">
        <v>1150</v>
      </c>
      <c r="O18" s="254">
        <v>575</v>
      </c>
      <c r="P18" s="254">
        <v>575</v>
      </c>
    </row>
    <row r="19" spans="3:16" x14ac:dyDescent="0.25">
      <c r="C19" t="s">
        <v>0</v>
      </c>
      <c r="D19">
        <v>3000</v>
      </c>
      <c r="J19" s="258" t="s">
        <v>248</v>
      </c>
      <c r="K19" s="253" t="s">
        <v>132</v>
      </c>
      <c r="L19" s="259" t="s">
        <v>156</v>
      </c>
      <c r="M19" s="259">
        <v>1800</v>
      </c>
      <c r="N19" s="260">
        <v>1150</v>
      </c>
      <c r="O19" s="260">
        <v>575</v>
      </c>
      <c r="P19" s="260">
        <v>575</v>
      </c>
    </row>
    <row r="20" spans="3:16" x14ac:dyDescent="0.25">
      <c r="C20" t="s">
        <v>174</v>
      </c>
      <c r="D20">
        <v>1000</v>
      </c>
      <c r="J20" s="258" t="s">
        <v>272</v>
      </c>
      <c r="K20" s="253" t="s">
        <v>132</v>
      </c>
      <c r="L20" s="259" t="s">
        <v>158</v>
      </c>
      <c r="M20" s="259">
        <v>2000</v>
      </c>
      <c r="N20" s="260"/>
      <c r="O20" s="260">
        <v>575</v>
      </c>
      <c r="P20" s="260">
        <v>1000</v>
      </c>
    </row>
    <row r="21" spans="3:16" x14ac:dyDescent="0.25">
      <c r="J21" s="253" t="s">
        <v>273</v>
      </c>
      <c r="K21" s="253" t="s">
        <v>132</v>
      </c>
      <c r="L21" s="181" t="s">
        <v>151</v>
      </c>
      <c r="M21" s="181">
        <v>2200</v>
      </c>
      <c r="N21" s="254"/>
      <c r="O21" s="254">
        <v>675</v>
      </c>
      <c r="P21" s="260">
        <v>1000</v>
      </c>
    </row>
    <row r="22" spans="3:16" x14ac:dyDescent="0.25">
      <c r="C22" t="s">
        <v>1</v>
      </c>
      <c r="D22">
        <v>500</v>
      </c>
      <c r="J22" s="253" t="s">
        <v>274</v>
      </c>
      <c r="K22" s="253" t="s">
        <v>132</v>
      </c>
      <c r="L22" s="181" t="s">
        <v>151</v>
      </c>
      <c r="M22" s="181">
        <v>2000</v>
      </c>
      <c r="N22" s="254"/>
      <c r="O22" s="254">
        <v>575</v>
      </c>
      <c r="P22" s="260">
        <v>1000</v>
      </c>
    </row>
    <row r="23" spans="3:16" x14ac:dyDescent="0.25">
      <c r="J23" s="253" t="s">
        <v>275</v>
      </c>
      <c r="K23" s="253" t="s">
        <v>132</v>
      </c>
      <c r="L23" s="181" t="s">
        <v>154</v>
      </c>
      <c r="M23" s="181">
        <v>2000</v>
      </c>
      <c r="N23" s="254"/>
      <c r="O23" s="254">
        <v>575</v>
      </c>
      <c r="P23" s="260">
        <v>1000</v>
      </c>
    </row>
    <row r="24" spans="3:16" x14ac:dyDescent="0.25">
      <c r="J24" s="258" t="s">
        <v>276</v>
      </c>
      <c r="K24" s="253" t="s">
        <v>132</v>
      </c>
      <c r="L24" s="259" t="s">
        <v>156</v>
      </c>
      <c r="M24" s="181">
        <v>2000</v>
      </c>
      <c r="N24" s="260"/>
      <c r="O24" s="260">
        <v>575</v>
      </c>
      <c r="P24" s="260">
        <v>1000</v>
      </c>
    </row>
    <row r="25" spans="3:16" x14ac:dyDescent="0.25">
      <c r="J25" s="253"/>
      <c r="K25" s="557"/>
      <c r="L25" s="181"/>
      <c r="M25" s="181"/>
      <c r="N25" s="254"/>
      <c r="O25" s="254"/>
      <c r="P25" s="254"/>
    </row>
    <row r="26" spans="3:16" x14ac:dyDescent="0.25">
      <c r="J26" s="253"/>
      <c r="K26" s="557"/>
      <c r="L26" s="181"/>
      <c r="M26" s="181"/>
      <c r="N26" s="254"/>
      <c r="O26" s="254"/>
      <c r="P26" s="254"/>
    </row>
    <row r="27" spans="3:16" x14ac:dyDescent="0.25">
      <c r="C27" t="s">
        <v>2</v>
      </c>
      <c r="D27">
        <v>30000</v>
      </c>
      <c r="J27" s="253"/>
      <c r="K27" s="557"/>
      <c r="L27" s="181"/>
      <c r="M27" s="181"/>
      <c r="N27" s="254"/>
      <c r="O27" s="254"/>
      <c r="P27" s="254"/>
    </row>
    <row r="28" spans="3:16" x14ac:dyDescent="0.25">
      <c r="J28" s="253"/>
      <c r="K28" s="557"/>
      <c r="L28" s="181"/>
      <c r="M28" s="181"/>
      <c r="N28" s="254"/>
      <c r="O28" s="254"/>
      <c r="P28" s="254"/>
    </row>
    <row r="29" spans="3:16" x14ac:dyDescent="0.25">
      <c r="J29" s="253"/>
      <c r="K29" s="557"/>
      <c r="L29" s="181"/>
      <c r="M29" s="181"/>
      <c r="N29" s="254"/>
      <c r="O29" s="254"/>
      <c r="P29" s="254"/>
    </row>
    <row r="30" spans="3:16" x14ac:dyDescent="0.25">
      <c r="J30" s="258"/>
      <c r="K30" s="557"/>
      <c r="L30" s="259"/>
      <c r="M30" s="259"/>
      <c r="N30" s="260"/>
      <c r="O30" s="260"/>
      <c r="P30" s="260"/>
    </row>
    <row r="32" spans="3:16" x14ac:dyDescent="0.25">
      <c r="C32" t="s">
        <v>3</v>
      </c>
      <c r="D32">
        <v>500</v>
      </c>
    </row>
    <row r="34" spans="3:4" x14ac:dyDescent="0.25">
      <c r="C34" t="s">
        <v>4</v>
      </c>
      <c r="D34">
        <v>3000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1A2F-F5D5-4516-82CE-716A68E5E313}">
  <dimension ref="A7:O110"/>
  <sheetViews>
    <sheetView topLeftCell="A73" zoomScale="70" zoomScaleNormal="70" workbookViewId="0">
      <selection activeCell="K110" sqref="K110"/>
    </sheetView>
  </sheetViews>
  <sheetFormatPr baseColWidth="10" defaultColWidth="11.42578125" defaultRowHeight="15" x14ac:dyDescent="0.25"/>
  <cols>
    <col min="2" max="2" width="17.5703125" customWidth="1"/>
    <col min="3" max="3" width="9.7109375" customWidth="1"/>
    <col min="4" max="4" width="17.5703125" customWidth="1"/>
    <col min="5" max="7" width="16.7109375" customWidth="1"/>
    <col min="8" max="8" width="10.5703125" customWidth="1"/>
    <col min="9" max="9" width="13.42578125" customWidth="1"/>
  </cols>
  <sheetData>
    <row r="7" spans="2:9" ht="15.75" x14ac:dyDescent="0.25">
      <c r="B7" s="152"/>
      <c r="C7" s="240"/>
      <c r="D7" s="759" t="s">
        <v>85</v>
      </c>
      <c r="E7" s="760"/>
      <c r="F7" s="760"/>
      <c r="G7" s="174"/>
      <c r="H7" s="174"/>
      <c r="I7" s="174"/>
    </row>
    <row r="8" spans="2:9" ht="15.75" x14ac:dyDescent="0.25">
      <c r="B8" s="153"/>
      <c r="C8" s="153"/>
      <c r="D8" s="761"/>
      <c r="E8" s="762"/>
      <c r="F8" s="762"/>
      <c r="G8" s="174"/>
      <c r="H8" s="174"/>
      <c r="I8" s="174"/>
    </row>
    <row r="9" spans="2:9" ht="15.75" x14ac:dyDescent="0.25">
      <c r="B9" s="140" t="s">
        <v>6</v>
      </c>
      <c r="C9" s="140" t="s">
        <v>86</v>
      </c>
      <c r="D9" s="140" t="s">
        <v>29</v>
      </c>
      <c r="E9" s="140" t="s">
        <v>31</v>
      </c>
      <c r="F9" s="175" t="s">
        <v>28</v>
      </c>
      <c r="G9" s="175" t="s">
        <v>30</v>
      </c>
      <c r="H9" s="180"/>
      <c r="I9" s="180" t="s">
        <v>59</v>
      </c>
    </row>
    <row r="10" spans="2:9" x14ac:dyDescent="0.25">
      <c r="B10" s="149">
        <v>44468</v>
      </c>
      <c r="C10" s="150">
        <f t="shared" ref="C10:C37" si="0">IF(B10&gt;0,_xlfn.ISOWEEKNUM(B10),"")</f>
        <v>39</v>
      </c>
      <c r="D10" s="150"/>
      <c r="E10" s="150">
        <v>68</v>
      </c>
      <c r="F10" s="150"/>
      <c r="G10" s="150"/>
      <c r="H10" s="150"/>
      <c r="I10" s="150">
        <f t="shared" ref="I10:I38" si="1">+D10+E10+F10+G10</f>
        <v>68</v>
      </c>
    </row>
    <row r="11" spans="2:9" x14ac:dyDescent="0.25">
      <c r="B11" s="147">
        <v>44475</v>
      </c>
      <c r="C11" s="148">
        <f t="shared" si="0"/>
        <v>40</v>
      </c>
      <c r="D11" s="148"/>
      <c r="E11" s="148"/>
      <c r="F11" s="148">
        <v>50</v>
      </c>
      <c r="G11" s="148"/>
      <c r="H11" s="148"/>
      <c r="I11" s="148">
        <f t="shared" si="1"/>
        <v>50</v>
      </c>
    </row>
    <row r="12" spans="2:9" x14ac:dyDescent="0.25">
      <c r="B12" s="145">
        <v>44482</v>
      </c>
      <c r="C12" s="146">
        <f t="shared" si="0"/>
        <v>41</v>
      </c>
      <c r="D12" s="146"/>
      <c r="E12" s="146">
        <v>106</v>
      </c>
      <c r="F12" s="146"/>
      <c r="G12" s="146"/>
      <c r="H12" s="146"/>
      <c r="I12" s="146">
        <f t="shared" si="1"/>
        <v>106</v>
      </c>
    </row>
    <row r="13" spans="2:9" x14ac:dyDescent="0.25">
      <c r="B13" s="145">
        <v>44482</v>
      </c>
      <c r="C13" s="146">
        <f t="shared" si="0"/>
        <v>41</v>
      </c>
      <c r="D13" s="146"/>
      <c r="E13" s="146"/>
      <c r="F13" s="146">
        <v>89</v>
      </c>
      <c r="G13" s="146"/>
      <c r="H13" s="146"/>
      <c r="I13" s="146">
        <f t="shared" si="1"/>
        <v>89</v>
      </c>
    </row>
    <row r="14" spans="2:9" x14ac:dyDescent="0.25">
      <c r="B14" s="143">
        <v>44489</v>
      </c>
      <c r="C14" s="144">
        <f t="shared" si="0"/>
        <v>42</v>
      </c>
      <c r="D14" s="144"/>
      <c r="E14" s="144">
        <v>100</v>
      </c>
      <c r="F14" s="144"/>
      <c r="G14" s="144"/>
      <c r="H14" s="144"/>
      <c r="I14" s="144">
        <f t="shared" si="1"/>
        <v>100</v>
      </c>
    </row>
    <row r="15" spans="2:9" x14ac:dyDescent="0.25">
      <c r="B15" s="141">
        <v>44495</v>
      </c>
      <c r="C15" s="142">
        <f t="shared" si="0"/>
        <v>43</v>
      </c>
      <c r="D15" s="142"/>
      <c r="E15" s="142"/>
      <c r="F15" s="142"/>
      <c r="G15" s="142">
        <v>24</v>
      </c>
      <c r="H15" s="142"/>
      <c r="I15" s="142">
        <f t="shared" si="1"/>
        <v>24</v>
      </c>
    </row>
    <row r="16" spans="2:9" x14ac:dyDescent="0.25">
      <c r="B16" s="141">
        <v>44496</v>
      </c>
      <c r="C16" s="142">
        <f t="shared" si="0"/>
        <v>43</v>
      </c>
      <c r="D16" s="142"/>
      <c r="E16" s="142"/>
      <c r="F16" s="142">
        <v>108</v>
      </c>
      <c r="G16" s="142"/>
      <c r="H16" s="142"/>
      <c r="I16" s="142">
        <f t="shared" si="1"/>
        <v>108</v>
      </c>
    </row>
    <row r="17" spans="2:14" x14ac:dyDescent="0.25">
      <c r="B17" s="141">
        <v>44496</v>
      </c>
      <c r="C17" s="142">
        <f t="shared" si="0"/>
        <v>43</v>
      </c>
      <c r="D17" s="142"/>
      <c r="E17" s="142">
        <v>121</v>
      </c>
      <c r="F17" s="142"/>
      <c r="G17" s="142"/>
      <c r="H17" s="142"/>
      <c r="I17" s="142">
        <f t="shared" si="1"/>
        <v>121</v>
      </c>
    </row>
    <row r="18" spans="2:14" x14ac:dyDescent="0.25">
      <c r="B18" s="141">
        <v>44496</v>
      </c>
      <c r="C18" s="142">
        <f t="shared" si="0"/>
        <v>43</v>
      </c>
      <c r="D18" s="142">
        <v>11</v>
      </c>
      <c r="E18" s="142"/>
      <c r="F18" s="142"/>
      <c r="G18" s="142"/>
      <c r="H18" s="142"/>
      <c r="I18" s="142">
        <f t="shared" si="1"/>
        <v>11</v>
      </c>
    </row>
    <row r="19" spans="2:14" x14ac:dyDescent="0.25">
      <c r="B19" s="141">
        <v>44497</v>
      </c>
      <c r="C19" s="142">
        <f t="shared" si="0"/>
        <v>43</v>
      </c>
      <c r="D19" s="142"/>
      <c r="E19" s="142">
        <v>50</v>
      </c>
      <c r="F19" s="142"/>
      <c r="G19" s="142"/>
      <c r="H19" s="142"/>
      <c r="I19" s="142">
        <f t="shared" si="1"/>
        <v>50</v>
      </c>
    </row>
    <row r="20" spans="2:14" x14ac:dyDescent="0.25">
      <c r="B20" s="167">
        <v>44509</v>
      </c>
      <c r="C20" s="168">
        <f t="shared" si="0"/>
        <v>45</v>
      </c>
      <c r="D20" s="168">
        <v>30</v>
      </c>
      <c r="E20" s="168"/>
      <c r="F20" s="168"/>
      <c r="G20" s="168">
        <v>36</v>
      </c>
      <c r="H20" s="168"/>
      <c r="I20" s="168">
        <f t="shared" si="1"/>
        <v>66</v>
      </c>
    </row>
    <row r="21" spans="2:14" x14ac:dyDescent="0.25">
      <c r="B21" s="167">
        <v>44510</v>
      </c>
      <c r="C21" s="168">
        <f t="shared" si="0"/>
        <v>45</v>
      </c>
      <c r="D21" s="168">
        <v>15</v>
      </c>
      <c r="E21" s="168"/>
      <c r="F21" s="168"/>
      <c r="G21" s="168"/>
      <c r="H21" s="168"/>
      <c r="I21" s="168">
        <f t="shared" si="1"/>
        <v>15</v>
      </c>
      <c r="N21">
        <f>+N22</f>
        <v>0</v>
      </c>
    </row>
    <row r="22" spans="2:14" x14ac:dyDescent="0.25">
      <c r="B22" s="170">
        <v>44516</v>
      </c>
      <c r="C22" s="171">
        <f t="shared" si="0"/>
        <v>46</v>
      </c>
      <c r="D22" s="171">
        <v>22</v>
      </c>
      <c r="E22" s="171"/>
      <c r="F22" s="171"/>
      <c r="G22" s="171">
        <v>40</v>
      </c>
      <c r="H22" s="171"/>
      <c r="I22" s="171">
        <f t="shared" si="1"/>
        <v>62</v>
      </c>
    </row>
    <row r="23" spans="2:14" x14ac:dyDescent="0.25">
      <c r="B23" s="170">
        <v>44517</v>
      </c>
      <c r="C23" s="171">
        <f t="shared" si="0"/>
        <v>46</v>
      </c>
      <c r="D23" s="171">
        <v>28</v>
      </c>
      <c r="E23" s="171">
        <v>186</v>
      </c>
      <c r="F23" s="171">
        <v>149</v>
      </c>
      <c r="G23" s="171"/>
      <c r="H23" s="171"/>
      <c r="I23" s="161">
        <f t="shared" si="1"/>
        <v>363</v>
      </c>
    </row>
    <row r="24" spans="2:14" x14ac:dyDescent="0.25">
      <c r="B24" s="170">
        <v>44524</v>
      </c>
      <c r="C24" s="171">
        <f t="shared" si="0"/>
        <v>47</v>
      </c>
      <c r="D24" s="171">
        <v>21</v>
      </c>
      <c r="E24" s="171">
        <v>100</v>
      </c>
      <c r="F24" s="171"/>
      <c r="G24" s="171"/>
      <c r="H24" s="171"/>
      <c r="I24" s="161">
        <f t="shared" si="1"/>
        <v>121</v>
      </c>
    </row>
    <row r="25" spans="2:14" x14ac:dyDescent="0.25">
      <c r="B25" s="170">
        <v>44524</v>
      </c>
      <c r="C25" s="171">
        <f t="shared" si="0"/>
        <v>47</v>
      </c>
      <c r="D25" s="171">
        <v>44</v>
      </c>
      <c r="E25" s="171"/>
      <c r="F25" s="171"/>
      <c r="G25" s="171"/>
      <c r="H25" s="171"/>
      <c r="I25" s="161">
        <f t="shared" si="1"/>
        <v>44</v>
      </c>
    </row>
    <row r="26" spans="2:14" x14ac:dyDescent="0.25">
      <c r="B26" s="170">
        <v>44530</v>
      </c>
      <c r="C26" s="231">
        <f t="shared" si="0"/>
        <v>48</v>
      </c>
      <c r="D26" s="171"/>
      <c r="E26" s="231">
        <v>32</v>
      </c>
      <c r="F26" s="171"/>
      <c r="G26" s="171">
        <v>51</v>
      </c>
      <c r="H26" s="171"/>
      <c r="I26" s="161">
        <f t="shared" si="1"/>
        <v>83</v>
      </c>
      <c r="K26" s="232" t="s">
        <v>121</v>
      </c>
    </row>
    <row r="27" spans="2:14" x14ac:dyDescent="0.25">
      <c r="B27" s="170"/>
      <c r="C27" s="171" t="str">
        <f t="shared" si="0"/>
        <v/>
      </c>
      <c r="D27" s="171"/>
      <c r="E27" s="171"/>
      <c r="F27" s="171"/>
      <c r="G27" s="171"/>
      <c r="H27" s="171"/>
      <c r="I27" s="161">
        <f t="shared" si="1"/>
        <v>0</v>
      </c>
    </row>
    <row r="28" spans="2:14" x14ac:dyDescent="0.25">
      <c r="B28" s="170"/>
      <c r="C28" s="171" t="str">
        <f t="shared" si="0"/>
        <v/>
      </c>
      <c r="D28" s="171"/>
      <c r="E28" s="171"/>
      <c r="F28" s="171"/>
      <c r="G28" s="171"/>
      <c r="H28" s="171"/>
      <c r="I28" s="161">
        <f t="shared" si="1"/>
        <v>0</v>
      </c>
    </row>
    <row r="29" spans="2:14" x14ac:dyDescent="0.25">
      <c r="B29" s="170"/>
      <c r="C29" s="171" t="str">
        <f t="shared" si="0"/>
        <v/>
      </c>
      <c r="D29" s="171"/>
      <c r="E29" s="171"/>
      <c r="F29" s="171"/>
      <c r="G29" s="171"/>
      <c r="H29" s="171"/>
      <c r="I29" s="161">
        <f t="shared" si="1"/>
        <v>0</v>
      </c>
    </row>
    <row r="30" spans="2:14" x14ac:dyDescent="0.25">
      <c r="B30" s="170"/>
      <c r="C30" s="171" t="str">
        <f t="shared" si="0"/>
        <v/>
      </c>
      <c r="D30" s="171"/>
      <c r="E30" s="171"/>
      <c r="F30" s="171"/>
      <c r="G30" s="171"/>
      <c r="H30" s="171"/>
      <c r="I30" s="161">
        <f t="shared" si="1"/>
        <v>0</v>
      </c>
    </row>
    <row r="31" spans="2:14" x14ac:dyDescent="0.25">
      <c r="B31" s="170"/>
      <c r="C31" s="171" t="str">
        <f t="shared" si="0"/>
        <v/>
      </c>
      <c r="D31" s="171"/>
      <c r="E31" s="171"/>
      <c r="F31" s="171"/>
      <c r="G31" s="171"/>
      <c r="H31" s="171"/>
      <c r="I31" s="161">
        <f t="shared" si="1"/>
        <v>0</v>
      </c>
    </row>
    <row r="32" spans="2:14" x14ac:dyDescent="0.25">
      <c r="B32" s="170"/>
      <c r="C32" s="171" t="str">
        <f t="shared" si="0"/>
        <v/>
      </c>
      <c r="D32" s="171"/>
      <c r="E32" s="171"/>
      <c r="F32" s="171"/>
      <c r="G32" s="171"/>
      <c r="H32" s="171"/>
      <c r="I32" s="161">
        <f t="shared" si="1"/>
        <v>0</v>
      </c>
    </row>
    <row r="33" spans="2:9" x14ac:dyDescent="0.25">
      <c r="B33" s="170"/>
      <c r="C33" s="171" t="str">
        <f t="shared" si="0"/>
        <v/>
      </c>
      <c r="D33" s="171"/>
      <c r="E33" s="171"/>
      <c r="F33" s="171"/>
      <c r="G33" s="171"/>
      <c r="H33" s="171"/>
      <c r="I33" s="161">
        <f t="shared" si="1"/>
        <v>0</v>
      </c>
    </row>
    <row r="34" spans="2:9" x14ac:dyDescent="0.25">
      <c r="B34" s="170"/>
      <c r="C34" s="171" t="str">
        <f t="shared" si="0"/>
        <v/>
      </c>
      <c r="D34" s="171"/>
      <c r="E34" s="171"/>
      <c r="F34" s="171"/>
      <c r="G34" s="171"/>
      <c r="H34" s="171"/>
      <c r="I34" s="161">
        <f t="shared" si="1"/>
        <v>0</v>
      </c>
    </row>
    <row r="35" spans="2:9" x14ac:dyDescent="0.25">
      <c r="B35" s="170"/>
      <c r="C35" s="171" t="str">
        <f t="shared" si="0"/>
        <v/>
      </c>
      <c r="D35" s="171"/>
      <c r="E35" s="171"/>
      <c r="F35" s="171"/>
      <c r="G35" s="171"/>
      <c r="H35" s="171"/>
      <c r="I35" s="161">
        <f t="shared" si="1"/>
        <v>0</v>
      </c>
    </row>
    <row r="36" spans="2:9" x14ac:dyDescent="0.25">
      <c r="B36" s="170"/>
      <c r="C36" s="171" t="str">
        <f t="shared" si="0"/>
        <v/>
      </c>
      <c r="D36" s="171"/>
      <c r="E36" s="171"/>
      <c r="F36" s="171"/>
      <c r="G36" s="171"/>
      <c r="H36" s="171"/>
      <c r="I36" s="161">
        <f t="shared" si="1"/>
        <v>0</v>
      </c>
    </row>
    <row r="37" spans="2:9" s="151" customFormat="1" x14ac:dyDescent="0.25">
      <c r="B37" s="170"/>
      <c r="C37" s="171" t="str">
        <f t="shared" si="0"/>
        <v/>
      </c>
      <c r="D37" s="171"/>
      <c r="E37" s="171"/>
      <c r="F37" s="171"/>
      <c r="G37" s="171"/>
      <c r="H37" s="171"/>
      <c r="I37" s="161">
        <f t="shared" si="1"/>
        <v>0</v>
      </c>
    </row>
    <row r="38" spans="2:9" ht="15.75" x14ac:dyDescent="0.25">
      <c r="B38" s="192" t="s">
        <v>88</v>
      </c>
      <c r="C38" s="193"/>
      <c r="D38" s="193">
        <f>SUM(D10:D37)</f>
        <v>171</v>
      </c>
      <c r="E38" s="193">
        <f>SUM(E10:E37)</f>
        <v>763</v>
      </c>
      <c r="F38" s="193">
        <f>SUM(F10:F37)</f>
        <v>396</v>
      </c>
      <c r="G38" s="193">
        <f>SUM(G10:G37)</f>
        <v>151</v>
      </c>
      <c r="H38" s="193"/>
      <c r="I38" s="193">
        <f t="shared" si="1"/>
        <v>1481</v>
      </c>
    </row>
    <row r="44" spans="2:9" ht="15.75" customHeight="1" x14ac:dyDescent="0.25">
      <c r="B44" s="176"/>
      <c r="C44" s="176"/>
      <c r="D44" s="763" t="s">
        <v>94</v>
      </c>
      <c r="E44" s="764"/>
      <c r="F44" s="188"/>
      <c r="G44" s="177"/>
      <c r="H44" s="177"/>
      <c r="I44" s="189"/>
    </row>
    <row r="45" spans="2:9" ht="15.75" x14ac:dyDescent="0.25">
      <c r="B45" s="178"/>
      <c r="C45" s="178"/>
      <c r="D45" s="765"/>
      <c r="E45" s="766"/>
      <c r="F45" s="190"/>
      <c r="G45" s="179"/>
      <c r="H45" s="179"/>
      <c r="I45" s="191"/>
    </row>
    <row r="46" spans="2:9" ht="15.75" x14ac:dyDescent="0.25">
      <c r="B46" s="140" t="s">
        <v>6</v>
      </c>
      <c r="C46" s="140" t="s">
        <v>86</v>
      </c>
      <c r="D46" s="140" t="s">
        <v>95</v>
      </c>
      <c r="E46" s="140" t="s">
        <v>30</v>
      </c>
      <c r="F46" s="140" t="s">
        <v>28</v>
      </c>
      <c r="G46" s="182" t="s">
        <v>31</v>
      </c>
      <c r="H46" s="182"/>
      <c r="I46" s="140" t="s">
        <v>88</v>
      </c>
    </row>
    <row r="47" spans="2:9" x14ac:dyDescent="0.25">
      <c r="B47" s="149">
        <v>44510</v>
      </c>
      <c r="C47" s="150">
        <f t="shared" ref="C47:C61" si="2">IF(B47&gt;0,_xlfn.ISOWEEKNUM(B47),"")</f>
        <v>45</v>
      </c>
      <c r="D47" s="150">
        <v>62</v>
      </c>
      <c r="E47" s="150"/>
      <c r="F47" s="150"/>
      <c r="G47" s="183"/>
      <c r="H47" s="183"/>
      <c r="I47" s="183">
        <f>SUM(D47:G47)</f>
        <v>62</v>
      </c>
    </row>
    <row r="48" spans="2:9" x14ac:dyDescent="0.25">
      <c r="B48" s="147"/>
      <c r="C48" s="148" t="str">
        <f t="shared" si="2"/>
        <v/>
      </c>
      <c r="D48" s="148"/>
      <c r="E48" s="148"/>
      <c r="F48" s="148"/>
      <c r="G48" s="184"/>
      <c r="H48" s="184"/>
      <c r="I48" s="184"/>
    </row>
    <row r="49" spans="1:9" x14ac:dyDescent="0.25">
      <c r="B49" s="145">
        <v>44523</v>
      </c>
      <c r="C49" s="146">
        <f t="shared" si="2"/>
        <v>47</v>
      </c>
      <c r="D49" s="146">
        <v>31</v>
      </c>
      <c r="E49" s="146"/>
      <c r="F49" s="146"/>
      <c r="G49" s="172"/>
      <c r="H49" s="172"/>
      <c r="I49" s="172"/>
    </row>
    <row r="50" spans="1:9" x14ac:dyDescent="0.25">
      <c r="B50" s="145">
        <v>44524</v>
      </c>
      <c r="C50" s="146">
        <f t="shared" si="2"/>
        <v>47</v>
      </c>
      <c r="D50" s="146">
        <v>21</v>
      </c>
      <c r="E50" s="146"/>
      <c r="F50" s="146"/>
      <c r="G50" s="172"/>
      <c r="H50" s="172"/>
      <c r="I50" s="172"/>
    </row>
    <row r="51" spans="1:9" x14ac:dyDescent="0.25">
      <c r="B51" s="143"/>
      <c r="C51" s="144" t="str">
        <f t="shared" si="2"/>
        <v/>
      </c>
      <c r="D51" s="144"/>
      <c r="E51" s="144"/>
      <c r="F51" s="144"/>
      <c r="G51" s="185"/>
      <c r="H51" s="185"/>
      <c r="I51" s="185"/>
    </row>
    <row r="52" spans="1:9" x14ac:dyDescent="0.25">
      <c r="B52" s="141"/>
      <c r="C52" s="142" t="str">
        <f t="shared" si="2"/>
        <v/>
      </c>
      <c r="D52" s="142"/>
      <c r="E52" s="142"/>
      <c r="F52" s="142"/>
      <c r="G52" s="173"/>
      <c r="H52" s="173"/>
      <c r="I52" s="173"/>
    </row>
    <row r="53" spans="1:9" x14ac:dyDescent="0.25">
      <c r="B53" s="141"/>
      <c r="C53" s="142" t="str">
        <f t="shared" si="2"/>
        <v/>
      </c>
      <c r="D53" s="142"/>
      <c r="E53" s="142"/>
      <c r="F53" s="142"/>
      <c r="G53" s="173"/>
      <c r="H53" s="173"/>
      <c r="I53" s="173"/>
    </row>
    <row r="54" spans="1:9" x14ac:dyDescent="0.25">
      <c r="B54" s="141"/>
      <c r="C54" s="142" t="str">
        <f t="shared" si="2"/>
        <v/>
      </c>
      <c r="D54" s="142"/>
      <c r="E54" s="142"/>
      <c r="F54" s="142"/>
      <c r="G54" s="173"/>
      <c r="H54" s="173"/>
      <c r="I54" s="173"/>
    </row>
    <row r="55" spans="1:9" x14ac:dyDescent="0.25">
      <c r="B55" s="141"/>
      <c r="C55" s="142" t="str">
        <f t="shared" si="2"/>
        <v/>
      </c>
      <c r="D55" s="142"/>
      <c r="E55" s="142"/>
      <c r="F55" s="142"/>
      <c r="G55" s="173"/>
      <c r="H55" s="173"/>
      <c r="I55" s="173"/>
    </row>
    <row r="56" spans="1:9" x14ac:dyDescent="0.25">
      <c r="B56" s="141"/>
      <c r="C56" s="142" t="str">
        <f t="shared" si="2"/>
        <v/>
      </c>
      <c r="D56" s="142"/>
      <c r="E56" s="142"/>
      <c r="F56" s="142"/>
      <c r="G56" s="173"/>
      <c r="H56" s="173"/>
      <c r="I56" s="173"/>
    </row>
    <row r="57" spans="1:9" x14ac:dyDescent="0.25">
      <c r="B57" s="167"/>
      <c r="C57" s="168" t="str">
        <f t="shared" si="2"/>
        <v/>
      </c>
      <c r="D57" s="168"/>
      <c r="E57" s="168"/>
      <c r="F57" s="168"/>
      <c r="G57" s="186"/>
      <c r="H57" s="186"/>
      <c r="I57" s="186"/>
    </row>
    <row r="58" spans="1:9" x14ac:dyDescent="0.25">
      <c r="B58" s="170"/>
      <c r="C58" s="171" t="str">
        <f t="shared" si="2"/>
        <v/>
      </c>
      <c r="D58" s="171"/>
      <c r="E58" s="171"/>
      <c r="F58" s="171"/>
      <c r="G58" s="187"/>
      <c r="H58" s="187"/>
      <c r="I58" s="181"/>
    </row>
    <row r="59" spans="1:9" x14ac:dyDescent="0.25">
      <c r="B59" s="170"/>
      <c r="C59" s="171" t="str">
        <f t="shared" si="2"/>
        <v/>
      </c>
      <c r="D59" s="171"/>
      <c r="E59" s="171"/>
      <c r="F59" s="171"/>
      <c r="G59" s="187"/>
      <c r="H59" s="187"/>
      <c r="I59" s="181"/>
    </row>
    <row r="60" spans="1:9" x14ac:dyDescent="0.25">
      <c r="B60" s="170"/>
      <c r="C60" s="171" t="str">
        <f t="shared" si="2"/>
        <v/>
      </c>
      <c r="D60" s="171"/>
      <c r="E60" s="171"/>
      <c r="F60" s="171"/>
      <c r="G60" s="187"/>
      <c r="H60" s="187"/>
      <c r="I60" s="181"/>
    </row>
    <row r="61" spans="1:9" x14ac:dyDescent="0.25">
      <c r="A61" s="151"/>
      <c r="B61" s="170"/>
      <c r="C61" s="171" t="str">
        <f t="shared" si="2"/>
        <v/>
      </c>
      <c r="D61" s="171"/>
      <c r="E61" s="171"/>
      <c r="F61" s="171"/>
      <c r="G61" s="187"/>
      <c r="H61" s="187"/>
      <c r="I61" s="169"/>
    </row>
    <row r="62" spans="1:9" ht="15.75" x14ac:dyDescent="0.25">
      <c r="B62" s="194" t="s">
        <v>88</v>
      </c>
      <c r="C62" s="195"/>
      <c r="D62" s="195">
        <f>SUM(D47:D61)</f>
        <v>114</v>
      </c>
      <c r="E62" s="195"/>
      <c r="F62" s="196"/>
      <c r="G62" s="196"/>
      <c r="H62" s="196"/>
      <c r="I62" s="195">
        <f>SUM(D62:G62)</f>
        <v>114</v>
      </c>
    </row>
    <row r="65" spans="2:9" ht="15.75" x14ac:dyDescent="0.25">
      <c r="B65" s="176"/>
      <c r="C65" s="176"/>
      <c r="D65" s="763" t="s">
        <v>122</v>
      </c>
      <c r="E65" s="764"/>
      <c r="F65" s="188"/>
      <c r="G65" s="177"/>
      <c r="H65" s="177"/>
      <c r="I65" s="189"/>
    </row>
    <row r="66" spans="2:9" ht="15.75" x14ac:dyDescent="0.25">
      <c r="B66" s="178"/>
      <c r="C66" s="178"/>
      <c r="D66" s="765"/>
      <c r="E66" s="766"/>
      <c r="F66" s="190"/>
      <c r="G66" s="179"/>
      <c r="H66" s="179"/>
      <c r="I66" s="191"/>
    </row>
    <row r="67" spans="2:9" ht="15.75" x14ac:dyDescent="0.25">
      <c r="B67" s="140" t="s">
        <v>6</v>
      </c>
      <c r="C67" s="140" t="s">
        <v>86</v>
      </c>
      <c r="D67" s="140" t="s">
        <v>95</v>
      </c>
      <c r="E67" s="140" t="s">
        <v>30</v>
      </c>
      <c r="F67" s="140" t="s">
        <v>28</v>
      </c>
      <c r="G67" s="182" t="s">
        <v>31</v>
      </c>
      <c r="H67" s="182"/>
      <c r="I67" s="140" t="s">
        <v>88</v>
      </c>
    </row>
    <row r="68" spans="2:9" x14ac:dyDescent="0.25">
      <c r="B68" s="149">
        <v>44558</v>
      </c>
      <c r="C68" s="150">
        <f t="shared" ref="C68:C82" si="3">IF(B68&gt;0,_xlfn.ISOWEEKNUM(B68),"")</f>
        <v>52</v>
      </c>
      <c r="D68" s="150">
        <v>62</v>
      </c>
      <c r="E68" s="150">
        <v>20</v>
      </c>
      <c r="F68" s="150"/>
      <c r="G68" s="183"/>
      <c r="H68" s="183"/>
      <c r="I68" s="183">
        <f>SUM(D68:G68)</f>
        <v>82</v>
      </c>
    </row>
    <row r="69" spans="2:9" x14ac:dyDescent="0.25">
      <c r="B69" s="147"/>
      <c r="C69" s="148" t="str">
        <f t="shared" si="3"/>
        <v/>
      </c>
      <c r="D69" s="148"/>
      <c r="E69" s="148"/>
      <c r="F69" s="148"/>
      <c r="G69" s="184"/>
      <c r="H69" s="184"/>
      <c r="I69" s="184"/>
    </row>
    <row r="70" spans="2:9" x14ac:dyDescent="0.25">
      <c r="B70" s="145"/>
      <c r="C70" s="146" t="str">
        <f t="shared" si="3"/>
        <v/>
      </c>
      <c r="D70" s="146"/>
      <c r="E70" s="146"/>
      <c r="F70" s="146"/>
      <c r="G70" s="172"/>
      <c r="H70" s="172"/>
      <c r="I70" s="172"/>
    </row>
    <row r="71" spans="2:9" x14ac:dyDescent="0.25">
      <c r="B71" s="145"/>
      <c r="C71" s="146" t="str">
        <f t="shared" si="3"/>
        <v/>
      </c>
      <c r="D71" s="146"/>
      <c r="E71" s="146"/>
      <c r="F71" s="146"/>
      <c r="G71" s="172"/>
      <c r="H71" s="172"/>
      <c r="I71" s="172"/>
    </row>
    <row r="72" spans="2:9" x14ac:dyDescent="0.25">
      <c r="B72" s="143"/>
      <c r="C72" s="144" t="str">
        <f t="shared" si="3"/>
        <v/>
      </c>
      <c r="D72" s="144"/>
      <c r="E72" s="144"/>
      <c r="F72" s="144"/>
      <c r="G72" s="185"/>
      <c r="H72" s="185"/>
      <c r="I72" s="185"/>
    </row>
    <row r="73" spans="2:9" x14ac:dyDescent="0.25">
      <c r="B73" s="141"/>
      <c r="C73" s="142" t="str">
        <f t="shared" si="3"/>
        <v/>
      </c>
      <c r="D73" s="142"/>
      <c r="E73" s="142"/>
      <c r="F73" s="142"/>
      <c r="G73" s="173"/>
      <c r="H73" s="173"/>
      <c r="I73" s="173"/>
    </row>
    <row r="74" spans="2:9" x14ac:dyDescent="0.25">
      <c r="B74" s="141"/>
      <c r="C74" s="142" t="str">
        <f t="shared" si="3"/>
        <v/>
      </c>
      <c r="D74" s="142"/>
      <c r="E74" s="142"/>
      <c r="F74" s="142"/>
      <c r="G74" s="173"/>
      <c r="H74" s="173"/>
      <c r="I74" s="173"/>
    </row>
    <row r="75" spans="2:9" x14ac:dyDescent="0.25">
      <c r="B75" s="141"/>
      <c r="C75" s="142" t="str">
        <f t="shared" si="3"/>
        <v/>
      </c>
      <c r="D75" s="142"/>
      <c r="E75" s="142"/>
      <c r="F75" s="142"/>
      <c r="G75" s="173"/>
      <c r="H75" s="173"/>
      <c r="I75" s="173"/>
    </row>
    <row r="76" spans="2:9" x14ac:dyDescent="0.25">
      <c r="B76" s="141"/>
      <c r="C76" s="142" t="str">
        <f t="shared" si="3"/>
        <v/>
      </c>
      <c r="D76" s="142"/>
      <c r="E76" s="142"/>
      <c r="F76" s="142"/>
      <c r="G76" s="173"/>
      <c r="H76" s="173"/>
      <c r="I76" s="173"/>
    </row>
    <row r="77" spans="2:9" x14ac:dyDescent="0.25">
      <c r="B77" s="141"/>
      <c r="C77" s="142" t="str">
        <f t="shared" si="3"/>
        <v/>
      </c>
      <c r="D77" s="142"/>
      <c r="E77" s="142"/>
      <c r="F77" s="142"/>
      <c r="G77" s="173"/>
      <c r="H77" s="173"/>
      <c r="I77" s="173"/>
    </row>
    <row r="78" spans="2:9" x14ac:dyDescent="0.25">
      <c r="B78" s="167"/>
      <c r="C78" s="168" t="str">
        <f t="shared" si="3"/>
        <v/>
      </c>
      <c r="D78" s="168"/>
      <c r="E78" s="168"/>
      <c r="F78" s="168"/>
      <c r="G78" s="186"/>
      <c r="H78" s="186"/>
      <c r="I78" s="186"/>
    </row>
    <row r="79" spans="2:9" x14ac:dyDescent="0.25">
      <c r="B79" s="170"/>
      <c r="C79" s="171" t="str">
        <f t="shared" si="3"/>
        <v/>
      </c>
      <c r="D79" s="171"/>
      <c r="E79" s="171"/>
      <c r="F79" s="171"/>
      <c r="G79" s="187"/>
      <c r="H79" s="187"/>
      <c r="I79" s="181"/>
    </row>
    <row r="80" spans="2:9" x14ac:dyDescent="0.25">
      <c r="B80" s="170"/>
      <c r="C80" s="171" t="str">
        <f t="shared" si="3"/>
        <v/>
      </c>
      <c r="D80" s="171"/>
      <c r="E80" s="171"/>
      <c r="F80" s="171"/>
      <c r="G80" s="187"/>
      <c r="H80" s="187"/>
      <c r="I80" s="181"/>
    </row>
    <row r="81" spans="2:15" x14ac:dyDescent="0.25">
      <c r="B81" s="170"/>
      <c r="C81" s="171" t="str">
        <f t="shared" si="3"/>
        <v/>
      </c>
      <c r="D81" s="171"/>
      <c r="E81" s="171"/>
      <c r="F81" s="171"/>
      <c r="G81" s="187"/>
      <c r="H81" s="187"/>
      <c r="I81" s="181"/>
    </row>
    <row r="82" spans="2:15" x14ac:dyDescent="0.25">
      <c r="B82" s="170"/>
      <c r="C82" s="171" t="str">
        <f t="shared" si="3"/>
        <v/>
      </c>
      <c r="D82" s="171"/>
      <c r="E82" s="171"/>
      <c r="F82" s="171"/>
      <c r="G82" s="187"/>
      <c r="H82" s="187"/>
      <c r="I82" s="169"/>
    </row>
    <row r="83" spans="2:15" ht="15.75" x14ac:dyDescent="0.25">
      <c r="B83" s="194" t="s">
        <v>88</v>
      </c>
      <c r="C83" s="195"/>
      <c r="D83" s="195">
        <f>SUM(D68:D82)</f>
        <v>62</v>
      </c>
      <c r="E83" s="195">
        <f>SUM(E68:E82)</f>
        <v>20</v>
      </c>
      <c r="F83" s="195">
        <f>SUM(F68:F82)</f>
        <v>0</v>
      </c>
      <c r="G83" s="195">
        <f>SUM(G68:G82)</f>
        <v>0</v>
      </c>
      <c r="H83" s="195"/>
      <c r="I83" s="195">
        <f>SUM(I68:I82)</f>
        <v>82</v>
      </c>
    </row>
    <row r="86" spans="2:15" ht="15.75" x14ac:dyDescent="0.25">
      <c r="B86" s="176"/>
      <c r="C86" s="176"/>
      <c r="D86" s="763" t="s">
        <v>123</v>
      </c>
      <c r="E86" s="764"/>
      <c r="F86" s="188"/>
      <c r="G86" s="177"/>
      <c r="H86" s="177"/>
      <c r="I86" s="189"/>
    </row>
    <row r="87" spans="2:15" ht="15.75" x14ac:dyDescent="0.25">
      <c r="B87" s="178"/>
      <c r="C87" s="178"/>
      <c r="D87" s="765"/>
      <c r="E87" s="766"/>
      <c r="F87" s="190"/>
      <c r="G87" s="179"/>
      <c r="H87" s="179"/>
      <c r="I87" s="191"/>
    </row>
    <row r="88" spans="2:15" ht="15.75" x14ac:dyDescent="0.25">
      <c r="B88" s="140" t="s">
        <v>6</v>
      </c>
      <c r="C88" s="140" t="s">
        <v>86</v>
      </c>
      <c r="D88" s="140" t="s">
        <v>95</v>
      </c>
      <c r="E88" s="140" t="s">
        <v>30</v>
      </c>
      <c r="F88" s="140" t="s">
        <v>28</v>
      </c>
      <c r="G88" s="182" t="s">
        <v>31</v>
      </c>
      <c r="H88" s="182" t="s">
        <v>124</v>
      </c>
      <c r="I88" s="140" t="s">
        <v>88</v>
      </c>
    </row>
    <row r="89" spans="2:15" ht="15.75" x14ac:dyDescent="0.25">
      <c r="B89" s="238">
        <v>44565</v>
      </c>
      <c r="C89" s="237">
        <f>IF(B89&gt;0,_xlfn.ISOWEEKNUM(B89),"")</f>
        <v>1</v>
      </c>
      <c r="D89" s="237">
        <v>79</v>
      </c>
      <c r="E89" s="237">
        <v>22</v>
      </c>
      <c r="F89" s="237"/>
      <c r="G89" s="237">
        <v>77</v>
      </c>
      <c r="H89" s="237"/>
      <c r="I89" s="237">
        <f t="shared" ref="I89:I109" si="4">+D89+E89+F89+G89+H89</f>
        <v>178</v>
      </c>
      <c r="O89">
        <f>300-276</f>
        <v>24</v>
      </c>
    </row>
    <row r="90" spans="2:15" ht="15.75" x14ac:dyDescent="0.25">
      <c r="B90" s="238">
        <v>44566</v>
      </c>
      <c r="C90" s="237">
        <f t="shared" ref="C90:C109" si="5">IF(B90&gt;0,_xlfn.ISOWEEKNUM(B90),"")</f>
        <v>1</v>
      </c>
      <c r="D90" s="237">
        <v>101</v>
      </c>
      <c r="E90" s="237"/>
      <c r="F90" s="237">
        <v>100</v>
      </c>
      <c r="G90" s="237"/>
      <c r="H90" s="237"/>
      <c r="I90" s="237">
        <f t="shared" si="4"/>
        <v>201</v>
      </c>
    </row>
    <row r="91" spans="2:15" ht="15.75" x14ac:dyDescent="0.25">
      <c r="B91" s="238">
        <v>44572</v>
      </c>
      <c r="C91" s="237">
        <f t="shared" si="5"/>
        <v>2</v>
      </c>
      <c r="D91" s="237">
        <v>81</v>
      </c>
      <c r="E91" s="237">
        <v>17</v>
      </c>
      <c r="F91" s="237"/>
      <c r="G91" s="237"/>
      <c r="H91" s="237"/>
      <c r="I91" s="237">
        <f t="shared" si="4"/>
        <v>98</v>
      </c>
    </row>
    <row r="92" spans="2:15" ht="15.75" x14ac:dyDescent="0.25">
      <c r="B92" s="238">
        <v>44573</v>
      </c>
      <c r="C92" s="237">
        <f t="shared" si="5"/>
        <v>2</v>
      </c>
      <c r="D92" s="237">
        <v>96</v>
      </c>
      <c r="E92" s="237"/>
      <c r="F92" s="237">
        <v>81</v>
      </c>
      <c r="G92" s="237"/>
      <c r="H92" s="237"/>
      <c r="I92" s="237">
        <f t="shared" si="4"/>
        <v>177</v>
      </c>
    </row>
    <row r="93" spans="2:15" ht="15.75" x14ac:dyDescent="0.25">
      <c r="B93" s="238">
        <v>44579</v>
      </c>
      <c r="C93" s="237">
        <f t="shared" si="5"/>
        <v>3</v>
      </c>
      <c r="D93" s="237"/>
      <c r="E93" s="237"/>
      <c r="F93" s="237">
        <v>132</v>
      </c>
      <c r="G93" s="237">
        <v>87</v>
      </c>
      <c r="H93" s="237">
        <v>30</v>
      </c>
      <c r="I93" s="237">
        <f t="shared" si="4"/>
        <v>249</v>
      </c>
    </row>
    <row r="94" spans="2:15" ht="15.75" x14ac:dyDescent="0.25">
      <c r="B94" s="238">
        <v>44580</v>
      </c>
      <c r="C94" s="237">
        <f t="shared" si="5"/>
        <v>3</v>
      </c>
      <c r="D94" s="237">
        <v>92</v>
      </c>
      <c r="E94" s="237"/>
      <c r="F94" s="237"/>
      <c r="G94" s="237"/>
      <c r="H94" s="237"/>
      <c r="I94" s="237">
        <f t="shared" si="4"/>
        <v>92</v>
      </c>
    </row>
    <row r="95" spans="2:15" ht="15.75" x14ac:dyDescent="0.25">
      <c r="B95" s="238">
        <v>44586</v>
      </c>
      <c r="C95" s="237">
        <f t="shared" si="5"/>
        <v>4</v>
      </c>
      <c r="D95" s="237">
        <v>106</v>
      </c>
      <c r="E95" s="237">
        <v>12</v>
      </c>
      <c r="F95" s="237"/>
      <c r="G95" s="237"/>
      <c r="H95" s="237"/>
      <c r="I95" s="237">
        <f t="shared" si="4"/>
        <v>118</v>
      </c>
      <c r="O95">
        <f>65-48</f>
        <v>17</v>
      </c>
    </row>
    <row r="96" spans="2:15" ht="15.75" x14ac:dyDescent="0.25">
      <c r="B96" s="238">
        <v>44587</v>
      </c>
      <c r="C96" s="237">
        <f t="shared" si="5"/>
        <v>4</v>
      </c>
      <c r="D96" s="237"/>
      <c r="E96" s="237"/>
      <c r="F96" s="237">
        <v>120</v>
      </c>
      <c r="G96" s="237">
        <v>87</v>
      </c>
      <c r="H96" s="237"/>
      <c r="I96" s="237">
        <f t="shared" si="4"/>
        <v>207</v>
      </c>
    </row>
    <row r="97" spans="2:9" ht="15.75" x14ac:dyDescent="0.25">
      <c r="B97" s="238">
        <v>44593</v>
      </c>
      <c r="C97" s="237">
        <f t="shared" si="5"/>
        <v>5</v>
      </c>
      <c r="D97" s="237">
        <v>116</v>
      </c>
      <c r="E97" s="237">
        <v>10</v>
      </c>
      <c r="F97" s="237"/>
      <c r="G97" s="237"/>
      <c r="H97" s="237"/>
      <c r="I97" s="237">
        <f t="shared" si="4"/>
        <v>126</v>
      </c>
    </row>
    <row r="98" spans="2:9" ht="15.75" x14ac:dyDescent="0.25">
      <c r="B98" s="238">
        <v>44594</v>
      </c>
      <c r="C98" s="237">
        <f t="shared" si="5"/>
        <v>5</v>
      </c>
      <c r="D98" s="237"/>
      <c r="E98" s="237"/>
      <c r="F98" s="237">
        <v>144</v>
      </c>
      <c r="G98" s="237">
        <v>92</v>
      </c>
      <c r="H98" s="237"/>
      <c r="I98" s="237">
        <f t="shared" si="4"/>
        <v>236</v>
      </c>
    </row>
    <row r="99" spans="2:9" ht="15.75" x14ac:dyDescent="0.25">
      <c r="B99" s="238">
        <v>44601</v>
      </c>
      <c r="C99" s="237">
        <v>6</v>
      </c>
      <c r="D99" s="237"/>
      <c r="E99" s="237"/>
      <c r="F99" s="237">
        <v>156</v>
      </c>
      <c r="G99" s="237">
        <v>78</v>
      </c>
      <c r="H99" s="237"/>
      <c r="I99" s="237">
        <f t="shared" si="4"/>
        <v>234</v>
      </c>
    </row>
    <row r="100" spans="2:9" ht="15.75" x14ac:dyDescent="0.25">
      <c r="B100" s="238">
        <v>44608</v>
      </c>
      <c r="C100" s="237">
        <f t="shared" si="5"/>
        <v>7</v>
      </c>
      <c r="D100" s="237">
        <v>77</v>
      </c>
      <c r="E100" s="237"/>
      <c r="F100" s="237">
        <v>168</v>
      </c>
      <c r="G100" s="237">
        <v>154</v>
      </c>
      <c r="H100" s="237"/>
      <c r="I100" s="237">
        <f t="shared" si="4"/>
        <v>399</v>
      </c>
    </row>
    <row r="101" spans="2:9" ht="15.75" x14ac:dyDescent="0.25">
      <c r="B101" s="238">
        <v>44609</v>
      </c>
      <c r="C101" s="237">
        <f t="shared" si="5"/>
        <v>7</v>
      </c>
      <c r="D101" s="237"/>
      <c r="E101" s="237"/>
      <c r="F101" s="237">
        <v>55</v>
      </c>
      <c r="G101" s="237"/>
      <c r="H101" s="237"/>
      <c r="I101" s="237">
        <f t="shared" si="4"/>
        <v>55</v>
      </c>
    </row>
    <row r="102" spans="2:9" ht="15.75" x14ac:dyDescent="0.25">
      <c r="B102" s="238">
        <v>44620</v>
      </c>
      <c r="C102" s="237">
        <f t="shared" si="5"/>
        <v>9</v>
      </c>
      <c r="D102" s="237"/>
      <c r="E102" s="237"/>
      <c r="F102" s="237"/>
      <c r="G102" s="237">
        <v>116</v>
      </c>
      <c r="H102" s="237"/>
      <c r="I102" s="237">
        <f t="shared" si="4"/>
        <v>116</v>
      </c>
    </row>
    <row r="103" spans="2:9" ht="15.75" x14ac:dyDescent="0.25">
      <c r="B103" s="238">
        <v>44623</v>
      </c>
      <c r="C103" s="237">
        <f t="shared" si="5"/>
        <v>9</v>
      </c>
      <c r="D103" s="237"/>
      <c r="E103" s="237"/>
      <c r="F103" s="237">
        <v>41</v>
      </c>
      <c r="G103" s="237">
        <v>31</v>
      </c>
      <c r="H103" s="237"/>
      <c r="I103" s="237">
        <f t="shared" si="4"/>
        <v>72</v>
      </c>
    </row>
    <row r="104" spans="2:9" ht="15.75" x14ac:dyDescent="0.25">
      <c r="B104" s="238"/>
      <c r="C104" s="237"/>
      <c r="D104" s="237"/>
      <c r="E104" s="237"/>
      <c r="F104" s="237"/>
      <c r="G104" s="237"/>
      <c r="H104" s="237"/>
      <c r="I104" s="237"/>
    </row>
    <row r="105" spans="2:9" ht="15.75" x14ac:dyDescent="0.25">
      <c r="B105" s="238"/>
      <c r="C105" s="237"/>
      <c r="D105" s="237"/>
      <c r="E105" s="237"/>
      <c r="F105" s="237"/>
      <c r="G105" s="237"/>
      <c r="H105" s="237"/>
      <c r="I105" s="237"/>
    </row>
    <row r="106" spans="2:9" ht="15.75" x14ac:dyDescent="0.25">
      <c r="B106" s="238"/>
      <c r="C106" s="237"/>
      <c r="D106" s="237"/>
      <c r="E106" s="237"/>
      <c r="F106" s="237"/>
      <c r="G106" s="237"/>
      <c r="H106" s="237"/>
      <c r="I106" s="237"/>
    </row>
    <row r="107" spans="2:9" ht="15.75" x14ac:dyDescent="0.25">
      <c r="B107" s="238"/>
      <c r="C107" s="237"/>
      <c r="D107" s="237"/>
      <c r="E107" s="237"/>
      <c r="F107" s="237"/>
      <c r="G107" s="237"/>
      <c r="H107" s="237"/>
      <c r="I107" s="237"/>
    </row>
    <row r="108" spans="2:9" ht="15.75" x14ac:dyDescent="0.25">
      <c r="B108" s="238"/>
      <c r="C108" s="237"/>
      <c r="D108" s="237"/>
      <c r="E108" s="237"/>
      <c r="F108" s="237"/>
      <c r="G108" s="237"/>
      <c r="H108" s="237"/>
      <c r="I108" s="237"/>
    </row>
    <row r="109" spans="2:9" ht="15.75" x14ac:dyDescent="0.25">
      <c r="B109" s="238"/>
      <c r="C109" s="237" t="str">
        <f t="shared" si="5"/>
        <v/>
      </c>
      <c r="D109" s="237"/>
      <c r="E109" s="237"/>
      <c r="F109" s="237"/>
      <c r="G109" s="237"/>
      <c r="H109" s="237"/>
      <c r="I109" s="237">
        <f t="shared" si="4"/>
        <v>0</v>
      </c>
    </row>
    <row r="110" spans="2:9" ht="18.75" x14ac:dyDescent="0.3">
      <c r="B110" s="234" t="s">
        <v>88</v>
      </c>
      <c r="C110" s="235"/>
      <c r="D110" s="235">
        <f t="shared" ref="D110:I110" si="6">SUM(D89:D109)</f>
        <v>748</v>
      </c>
      <c r="E110" s="235">
        <f t="shared" si="6"/>
        <v>61</v>
      </c>
      <c r="F110" s="235">
        <f t="shared" si="6"/>
        <v>997</v>
      </c>
      <c r="G110" s="235">
        <f t="shared" si="6"/>
        <v>722</v>
      </c>
      <c r="H110" s="235">
        <f t="shared" si="6"/>
        <v>30</v>
      </c>
      <c r="I110" s="236">
        <f t="shared" si="6"/>
        <v>2558</v>
      </c>
    </row>
  </sheetData>
  <mergeCells count="4">
    <mergeCell ref="D7:F8"/>
    <mergeCell ref="D44:E45"/>
    <mergeCell ref="D65:E66"/>
    <mergeCell ref="D86:E87"/>
  </mergeCells>
  <pageMargins left="0.25" right="0.25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DA403-E768-4A23-9A31-9F9969430B70}">
  <dimension ref="B3:P55"/>
  <sheetViews>
    <sheetView topLeftCell="A26" workbookViewId="0">
      <selection activeCell="R12" sqref="R12"/>
    </sheetView>
  </sheetViews>
  <sheetFormatPr baseColWidth="10" defaultColWidth="11.42578125" defaultRowHeight="15" x14ac:dyDescent="0.25"/>
  <cols>
    <col min="4" max="4" width="15.28515625" customWidth="1"/>
    <col min="5" max="5" width="12.7109375" customWidth="1"/>
    <col min="6" max="8" width="15.42578125" customWidth="1"/>
    <col min="12" max="12" width="16" customWidth="1"/>
    <col min="13" max="13" width="11.42578125" style="160"/>
    <col min="14" max="14" width="17.85546875" customWidth="1"/>
    <col min="15" max="15" width="17" customWidth="1"/>
    <col min="16" max="16" width="17.28515625" customWidth="1"/>
  </cols>
  <sheetData>
    <row r="3" spans="2:16" ht="15.75" customHeight="1" x14ac:dyDescent="0.25">
      <c r="B3" s="767" t="s">
        <v>89</v>
      </c>
      <c r="C3" s="768"/>
      <c r="D3" s="768"/>
      <c r="E3" s="768"/>
      <c r="F3" s="768"/>
      <c r="G3" s="230"/>
      <c r="H3" s="230"/>
      <c r="I3" s="154"/>
      <c r="J3" s="767" t="s">
        <v>90</v>
      </c>
      <c r="K3" s="768"/>
      <c r="L3" s="768"/>
      <c r="M3" s="768"/>
      <c r="N3" s="768"/>
      <c r="O3" s="229"/>
      <c r="P3" s="229"/>
    </row>
    <row r="6" spans="2:16" ht="15.75" x14ac:dyDescent="0.25">
      <c r="B6" s="155" t="s">
        <v>86</v>
      </c>
      <c r="C6" s="155" t="s">
        <v>6</v>
      </c>
      <c r="D6" s="155" t="s">
        <v>91</v>
      </c>
      <c r="E6" s="155" t="s">
        <v>92</v>
      </c>
      <c r="F6" s="155" t="s">
        <v>87</v>
      </c>
      <c r="G6" s="155" t="s">
        <v>93</v>
      </c>
      <c r="H6" s="155" t="s">
        <v>59</v>
      </c>
      <c r="J6" s="155" t="s">
        <v>86</v>
      </c>
      <c r="K6" s="155" t="s">
        <v>6</v>
      </c>
      <c r="L6" s="155" t="s">
        <v>91</v>
      </c>
      <c r="M6" s="155" t="s">
        <v>92</v>
      </c>
      <c r="N6" s="155" t="s">
        <v>87</v>
      </c>
      <c r="O6" s="155" t="s">
        <v>93</v>
      </c>
      <c r="P6" s="155" t="s">
        <v>59</v>
      </c>
    </row>
    <row r="7" spans="2:16" ht="15.75" x14ac:dyDescent="0.25">
      <c r="B7" s="157">
        <v>43</v>
      </c>
      <c r="C7" s="158">
        <v>44495</v>
      </c>
      <c r="D7" s="159">
        <v>842008</v>
      </c>
      <c r="E7" s="157" t="s">
        <v>49</v>
      </c>
      <c r="F7" s="159">
        <v>90</v>
      </c>
      <c r="G7" s="159">
        <v>1</v>
      </c>
      <c r="H7" s="159">
        <f>+F7-G7</f>
        <v>89</v>
      </c>
      <c r="I7" s="154"/>
      <c r="J7" s="157">
        <v>42</v>
      </c>
      <c r="K7" s="158">
        <v>44489</v>
      </c>
      <c r="L7" s="159">
        <v>842004</v>
      </c>
      <c r="M7" s="157" t="s">
        <v>51</v>
      </c>
      <c r="N7" s="159">
        <v>21</v>
      </c>
      <c r="O7" s="159"/>
      <c r="P7" s="159">
        <f t="shared" ref="P7:P26" si="0">+N7-O7</f>
        <v>21</v>
      </c>
    </row>
    <row r="8" spans="2:16" ht="15.75" x14ac:dyDescent="0.25">
      <c r="B8" s="157">
        <v>44</v>
      </c>
      <c r="C8" s="158">
        <v>44503</v>
      </c>
      <c r="D8" s="159">
        <v>842015</v>
      </c>
      <c r="E8" s="157" t="s">
        <v>51</v>
      </c>
      <c r="F8" s="159">
        <v>45</v>
      </c>
      <c r="G8" s="159"/>
      <c r="H8" s="159">
        <f t="shared" ref="H8:H25" si="1">+F8-G8</f>
        <v>45</v>
      </c>
      <c r="I8" s="154"/>
      <c r="J8" s="157">
        <v>43</v>
      </c>
      <c r="K8" s="158">
        <v>44496</v>
      </c>
      <c r="L8" s="159">
        <v>842010</v>
      </c>
      <c r="M8" s="157" t="s">
        <v>51</v>
      </c>
      <c r="N8" s="159">
        <v>26</v>
      </c>
      <c r="O8" s="159">
        <v>2</v>
      </c>
      <c r="P8" s="159">
        <f t="shared" si="0"/>
        <v>24</v>
      </c>
    </row>
    <row r="9" spans="2:16" ht="15.75" x14ac:dyDescent="0.25">
      <c r="B9" s="157">
        <v>46</v>
      </c>
      <c r="C9" s="158">
        <v>44516</v>
      </c>
      <c r="D9" s="159">
        <v>842020</v>
      </c>
      <c r="E9" s="157" t="s">
        <v>51</v>
      </c>
      <c r="F9" s="159">
        <v>70</v>
      </c>
      <c r="G9" s="159">
        <v>2</v>
      </c>
      <c r="H9" s="159">
        <f t="shared" si="1"/>
        <v>68</v>
      </c>
      <c r="I9" s="154"/>
      <c r="J9" s="157">
        <v>44</v>
      </c>
      <c r="K9" s="158">
        <v>44503</v>
      </c>
      <c r="L9" s="159">
        <v>842015</v>
      </c>
      <c r="M9" s="157" t="s">
        <v>51</v>
      </c>
      <c r="N9" s="159">
        <v>20</v>
      </c>
      <c r="O9" s="159"/>
      <c r="P9" s="159">
        <f t="shared" si="0"/>
        <v>20</v>
      </c>
    </row>
    <row r="10" spans="2:16" ht="15.75" x14ac:dyDescent="0.25">
      <c r="B10" s="157">
        <v>46</v>
      </c>
      <c r="C10" s="158">
        <v>44517</v>
      </c>
      <c r="D10" s="159">
        <v>842023</v>
      </c>
      <c r="E10" s="157" t="s">
        <v>51</v>
      </c>
      <c r="F10" s="159">
        <v>25</v>
      </c>
      <c r="G10" s="159">
        <v>0</v>
      </c>
      <c r="H10" s="159">
        <f t="shared" si="1"/>
        <v>25</v>
      </c>
      <c r="I10" s="154"/>
      <c r="J10" s="157">
        <v>45</v>
      </c>
      <c r="K10" s="158">
        <v>44509</v>
      </c>
      <c r="L10" s="159">
        <v>842016</v>
      </c>
      <c r="M10" s="157" t="s">
        <v>49</v>
      </c>
      <c r="N10" s="159">
        <v>25</v>
      </c>
      <c r="O10" s="159"/>
      <c r="P10" s="159">
        <f t="shared" si="0"/>
        <v>25</v>
      </c>
    </row>
    <row r="11" spans="2:16" ht="15.75" x14ac:dyDescent="0.25">
      <c r="B11" s="157">
        <v>47</v>
      </c>
      <c r="C11" s="158">
        <v>44523</v>
      </c>
      <c r="D11" s="159">
        <v>842026</v>
      </c>
      <c r="E11" s="157" t="s">
        <v>51</v>
      </c>
      <c r="F11" s="159">
        <v>40</v>
      </c>
      <c r="G11" s="159">
        <v>0</v>
      </c>
      <c r="H11" s="159">
        <f t="shared" si="1"/>
        <v>40</v>
      </c>
      <c r="I11" s="154"/>
      <c r="J11" s="157">
        <v>46</v>
      </c>
      <c r="K11" s="158">
        <v>44517</v>
      </c>
      <c r="L11" s="159">
        <v>842023</v>
      </c>
      <c r="M11" s="157" t="s">
        <v>120</v>
      </c>
      <c r="N11" s="159">
        <v>25</v>
      </c>
      <c r="O11" s="159"/>
      <c r="P11" s="159">
        <f t="shared" si="0"/>
        <v>25</v>
      </c>
    </row>
    <row r="12" spans="2:16" ht="15.75" x14ac:dyDescent="0.25">
      <c r="B12" s="157">
        <v>48</v>
      </c>
      <c r="C12" s="158">
        <v>44530</v>
      </c>
      <c r="D12" s="159">
        <v>842028</v>
      </c>
      <c r="E12" s="157" t="s">
        <v>49</v>
      </c>
      <c r="F12" s="159">
        <v>50</v>
      </c>
      <c r="G12" s="159">
        <v>0</v>
      </c>
      <c r="H12" s="159">
        <f t="shared" si="1"/>
        <v>50</v>
      </c>
      <c r="I12" s="154"/>
      <c r="J12" s="157"/>
      <c r="K12" s="158"/>
      <c r="L12" s="159"/>
      <c r="M12" s="157"/>
      <c r="N12" s="159"/>
      <c r="O12" s="159"/>
      <c r="P12" s="159">
        <f t="shared" si="0"/>
        <v>0</v>
      </c>
    </row>
    <row r="13" spans="2:16" ht="15.75" x14ac:dyDescent="0.25">
      <c r="B13" s="157">
        <v>48</v>
      </c>
      <c r="C13" s="158">
        <v>44531</v>
      </c>
      <c r="D13" s="159"/>
      <c r="E13" s="157" t="s">
        <v>51</v>
      </c>
      <c r="F13" s="159">
        <v>9</v>
      </c>
      <c r="G13" s="159">
        <v>0</v>
      </c>
      <c r="H13" s="159">
        <f t="shared" si="1"/>
        <v>9</v>
      </c>
      <c r="I13" s="154"/>
      <c r="J13" s="157">
        <v>3</v>
      </c>
      <c r="K13" s="158">
        <v>44580</v>
      </c>
      <c r="L13" s="159">
        <v>842113</v>
      </c>
      <c r="M13" s="157" t="s">
        <v>51</v>
      </c>
      <c r="N13" s="159">
        <v>70</v>
      </c>
      <c r="O13" s="159"/>
      <c r="P13" s="159">
        <f t="shared" si="0"/>
        <v>70</v>
      </c>
    </row>
    <row r="14" spans="2:16" ht="15.75" x14ac:dyDescent="0.25">
      <c r="B14" s="157">
        <v>51</v>
      </c>
      <c r="C14" s="158">
        <v>44916</v>
      </c>
      <c r="D14" s="159"/>
      <c r="E14" s="157"/>
      <c r="F14" s="159">
        <v>44</v>
      </c>
      <c r="G14" s="159">
        <v>0</v>
      </c>
      <c r="H14" s="159">
        <f t="shared" si="1"/>
        <v>44</v>
      </c>
      <c r="I14" s="154"/>
      <c r="J14" s="157">
        <v>4</v>
      </c>
      <c r="K14" s="158">
        <v>44588</v>
      </c>
      <c r="L14" s="159">
        <v>842118</v>
      </c>
      <c r="M14" s="157" t="s">
        <v>51</v>
      </c>
      <c r="N14" s="159">
        <v>50</v>
      </c>
      <c r="O14" s="159"/>
      <c r="P14" s="159">
        <f t="shared" si="0"/>
        <v>50</v>
      </c>
    </row>
    <row r="15" spans="2:16" ht="15.75" x14ac:dyDescent="0.25">
      <c r="B15" s="157">
        <v>52</v>
      </c>
      <c r="C15" s="158">
        <v>44559</v>
      </c>
      <c r="D15" s="159"/>
      <c r="E15" s="157" t="s">
        <v>51</v>
      </c>
      <c r="F15" s="159">
        <v>56</v>
      </c>
      <c r="G15" s="159">
        <v>28</v>
      </c>
      <c r="H15" s="159">
        <f t="shared" si="1"/>
        <v>28</v>
      </c>
      <c r="I15" s="154"/>
      <c r="J15" s="157">
        <v>5</v>
      </c>
      <c r="K15" s="158" t="s">
        <v>194</v>
      </c>
      <c r="L15" s="159"/>
      <c r="M15" s="161"/>
      <c r="N15" s="159">
        <v>0</v>
      </c>
      <c r="O15" s="159"/>
      <c r="P15" s="159">
        <f t="shared" si="0"/>
        <v>0</v>
      </c>
    </row>
    <row r="16" spans="2:16" ht="15.75" x14ac:dyDescent="0.25">
      <c r="B16" s="157">
        <v>1</v>
      </c>
      <c r="C16" s="158">
        <v>44566</v>
      </c>
      <c r="D16" s="159">
        <v>842107</v>
      </c>
      <c r="E16" s="157" t="s">
        <v>49</v>
      </c>
      <c r="F16" s="159">
        <v>26</v>
      </c>
      <c r="G16" s="159">
        <v>0</v>
      </c>
      <c r="H16" s="159">
        <f t="shared" si="1"/>
        <v>26</v>
      </c>
      <c r="I16" s="154"/>
      <c r="J16" s="157">
        <v>6</v>
      </c>
      <c r="K16" s="158" t="s">
        <v>194</v>
      </c>
      <c r="L16" s="159"/>
      <c r="M16" s="161"/>
      <c r="N16" s="159">
        <v>0</v>
      </c>
      <c r="O16" s="159"/>
      <c r="P16" s="159">
        <f t="shared" si="0"/>
        <v>0</v>
      </c>
    </row>
    <row r="17" spans="2:16" ht="15.75" x14ac:dyDescent="0.25">
      <c r="B17" s="157">
        <v>2</v>
      </c>
      <c r="C17" s="158">
        <v>44573</v>
      </c>
      <c r="D17" s="159"/>
      <c r="E17" s="157" t="s">
        <v>51</v>
      </c>
      <c r="F17" s="159">
        <v>49</v>
      </c>
      <c r="G17" s="159">
        <v>0</v>
      </c>
      <c r="H17" s="159">
        <f t="shared" si="1"/>
        <v>49</v>
      </c>
      <c r="I17" s="154"/>
      <c r="J17" s="157">
        <v>7</v>
      </c>
      <c r="K17" s="158">
        <v>44607</v>
      </c>
      <c r="L17" s="159">
        <v>842131</v>
      </c>
      <c r="M17" s="161" t="s">
        <v>49</v>
      </c>
      <c r="N17" s="159">
        <v>30</v>
      </c>
      <c r="O17" s="159">
        <v>1</v>
      </c>
      <c r="P17" s="159">
        <f t="shared" si="0"/>
        <v>29</v>
      </c>
    </row>
    <row r="18" spans="2:16" ht="15.75" x14ac:dyDescent="0.25">
      <c r="B18" s="157">
        <v>3</v>
      </c>
      <c r="C18" s="158">
        <v>44580</v>
      </c>
      <c r="D18" s="159">
        <v>842112</v>
      </c>
      <c r="E18" s="157" t="s">
        <v>120</v>
      </c>
      <c r="F18" s="159">
        <v>30</v>
      </c>
      <c r="G18" s="159">
        <v>0</v>
      </c>
      <c r="H18" s="159">
        <f t="shared" si="1"/>
        <v>30</v>
      </c>
      <c r="I18" s="154"/>
      <c r="J18" s="157">
        <v>8</v>
      </c>
      <c r="K18" s="158">
        <v>44615</v>
      </c>
      <c r="L18" s="159">
        <v>842137</v>
      </c>
      <c r="M18" s="161" t="s">
        <v>51</v>
      </c>
      <c r="N18" s="159">
        <v>40</v>
      </c>
      <c r="O18" s="159"/>
      <c r="P18" s="159">
        <f t="shared" si="0"/>
        <v>40</v>
      </c>
    </row>
    <row r="19" spans="2:16" ht="15.75" x14ac:dyDescent="0.25">
      <c r="B19" s="157">
        <v>4</v>
      </c>
      <c r="C19" s="158" t="s">
        <v>194</v>
      </c>
      <c r="D19" s="159"/>
      <c r="E19" s="157"/>
      <c r="F19" s="159"/>
      <c r="G19" s="159">
        <v>0</v>
      </c>
      <c r="H19" s="159">
        <f t="shared" si="1"/>
        <v>0</v>
      </c>
      <c r="I19" s="154"/>
      <c r="J19" s="157">
        <v>9</v>
      </c>
      <c r="K19" s="158">
        <v>44622</v>
      </c>
      <c r="L19" s="159">
        <v>842143</v>
      </c>
      <c r="M19" s="161" t="s">
        <v>51</v>
      </c>
      <c r="N19" s="159">
        <v>40</v>
      </c>
      <c r="O19" s="159"/>
      <c r="P19" s="159">
        <f t="shared" si="0"/>
        <v>40</v>
      </c>
    </row>
    <row r="20" spans="2:16" ht="15.75" x14ac:dyDescent="0.25">
      <c r="B20" s="157">
        <v>5</v>
      </c>
      <c r="C20" s="158" t="s">
        <v>194</v>
      </c>
      <c r="D20" s="159"/>
      <c r="E20" s="157"/>
      <c r="F20" s="159"/>
      <c r="G20" s="159">
        <v>0</v>
      </c>
      <c r="H20" s="159">
        <f t="shared" si="1"/>
        <v>0</v>
      </c>
      <c r="I20" s="154"/>
      <c r="J20" s="157">
        <v>10</v>
      </c>
      <c r="K20" s="158">
        <v>44629</v>
      </c>
      <c r="L20" s="159">
        <v>842150</v>
      </c>
      <c r="M20" s="161" t="s">
        <v>51</v>
      </c>
      <c r="N20" s="159">
        <v>41</v>
      </c>
      <c r="O20" s="159"/>
      <c r="P20" s="159">
        <f t="shared" si="0"/>
        <v>41</v>
      </c>
    </row>
    <row r="21" spans="2:16" ht="15.75" x14ac:dyDescent="0.25">
      <c r="B21" s="157">
        <v>6</v>
      </c>
      <c r="C21" s="158" t="s">
        <v>194</v>
      </c>
      <c r="D21" s="159"/>
      <c r="E21" s="157"/>
      <c r="F21" s="159"/>
      <c r="G21" s="159">
        <v>0</v>
      </c>
      <c r="H21" s="159">
        <f t="shared" si="1"/>
        <v>0</v>
      </c>
      <c r="I21" s="154"/>
      <c r="J21" s="157">
        <v>11</v>
      </c>
      <c r="K21" s="158">
        <v>44636</v>
      </c>
      <c r="L21" s="159">
        <v>842157</v>
      </c>
      <c r="M21" s="161" t="s">
        <v>51</v>
      </c>
      <c r="N21" s="159">
        <v>40</v>
      </c>
      <c r="O21" s="159"/>
      <c r="P21" s="159">
        <f t="shared" si="0"/>
        <v>40</v>
      </c>
    </row>
    <row r="22" spans="2:16" ht="15.75" x14ac:dyDescent="0.25">
      <c r="B22" s="157">
        <v>7</v>
      </c>
      <c r="C22" s="158" t="s">
        <v>194</v>
      </c>
      <c r="D22" s="159"/>
      <c r="E22" s="157"/>
      <c r="F22" s="159"/>
      <c r="G22" s="159">
        <v>0</v>
      </c>
      <c r="H22" s="159">
        <f t="shared" si="1"/>
        <v>0</v>
      </c>
      <c r="I22" s="154"/>
      <c r="J22" s="157">
        <v>12</v>
      </c>
      <c r="K22" s="158">
        <v>44643</v>
      </c>
      <c r="L22" s="159">
        <v>842164</v>
      </c>
      <c r="M22" s="161" t="s">
        <v>51</v>
      </c>
      <c r="N22" s="159">
        <v>55</v>
      </c>
      <c r="O22" s="159"/>
      <c r="P22" s="159">
        <f t="shared" si="0"/>
        <v>55</v>
      </c>
    </row>
    <row r="23" spans="2:16" ht="15.75" x14ac:dyDescent="0.25">
      <c r="B23" s="157">
        <v>8</v>
      </c>
      <c r="C23" s="158" t="s">
        <v>194</v>
      </c>
      <c r="D23" s="159"/>
      <c r="E23" s="157"/>
      <c r="F23" s="159"/>
      <c r="G23" s="159">
        <v>0</v>
      </c>
      <c r="H23" s="159">
        <f t="shared" si="1"/>
        <v>0</v>
      </c>
      <c r="I23" s="154"/>
      <c r="J23" s="157">
        <v>13</v>
      </c>
      <c r="K23" s="158">
        <v>44651</v>
      </c>
      <c r="L23" s="159">
        <v>842170</v>
      </c>
      <c r="M23" s="161" t="s">
        <v>51</v>
      </c>
      <c r="N23" s="159">
        <v>53</v>
      </c>
      <c r="O23" s="159"/>
      <c r="P23" s="159">
        <f t="shared" si="0"/>
        <v>53</v>
      </c>
    </row>
    <row r="24" spans="2:16" ht="15.75" x14ac:dyDescent="0.25">
      <c r="B24" s="157"/>
      <c r="C24" s="158"/>
      <c r="D24" s="159"/>
      <c r="E24" s="157"/>
      <c r="F24" s="159"/>
      <c r="G24" s="159">
        <v>0</v>
      </c>
      <c r="H24" s="159">
        <f t="shared" si="1"/>
        <v>0</v>
      </c>
      <c r="I24" s="154"/>
      <c r="J24" s="157">
        <v>14</v>
      </c>
      <c r="K24" s="158">
        <v>44658</v>
      </c>
      <c r="L24" s="159">
        <v>842178</v>
      </c>
      <c r="M24" s="161" t="s">
        <v>51</v>
      </c>
      <c r="N24" s="159">
        <v>50</v>
      </c>
      <c r="O24" s="159"/>
      <c r="P24" s="159">
        <f t="shared" si="0"/>
        <v>50</v>
      </c>
    </row>
    <row r="25" spans="2:16" ht="15.75" x14ac:dyDescent="0.25">
      <c r="B25" s="157"/>
      <c r="C25" s="158"/>
      <c r="D25" s="159"/>
      <c r="E25" s="157"/>
      <c r="F25" s="159"/>
      <c r="G25" s="159">
        <v>0</v>
      </c>
      <c r="H25" s="159">
        <f t="shared" si="1"/>
        <v>0</v>
      </c>
      <c r="I25" s="154"/>
      <c r="J25" s="157"/>
      <c r="K25" s="158"/>
      <c r="L25" s="159"/>
      <c r="M25" s="161"/>
      <c r="N25" s="159"/>
      <c r="O25" s="159"/>
      <c r="P25" s="159">
        <f t="shared" si="0"/>
        <v>0</v>
      </c>
    </row>
    <row r="26" spans="2:16" ht="15.75" x14ac:dyDescent="0.25">
      <c r="B26" s="156"/>
      <c r="C26" s="156"/>
      <c r="E26" s="166" t="s">
        <v>59</v>
      </c>
      <c r="F26" s="164">
        <f>SUM(F7:F25)</f>
        <v>534</v>
      </c>
      <c r="G26" s="162">
        <f>SUM(G7:G25)</f>
        <v>31</v>
      </c>
      <c r="H26" s="162">
        <f>+F26-G26</f>
        <v>503</v>
      </c>
      <c r="I26" s="154"/>
      <c r="J26" s="157"/>
      <c r="K26" s="158"/>
      <c r="L26" s="159"/>
      <c r="M26" s="161"/>
      <c r="N26" s="159"/>
      <c r="O26" s="159"/>
      <c r="P26" s="159">
        <f t="shared" si="0"/>
        <v>0</v>
      </c>
    </row>
    <row r="27" spans="2:16" ht="15.75" x14ac:dyDescent="0.25"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63" t="s">
        <v>59</v>
      </c>
      <c r="M27" s="164"/>
      <c r="N27" s="165">
        <f>SUM(N7:N26)-2</f>
        <v>584</v>
      </c>
      <c r="O27" s="165">
        <f>SUM(O7:O26)</f>
        <v>3</v>
      </c>
      <c r="P27" s="165">
        <f>+N27-O27</f>
        <v>581</v>
      </c>
    </row>
    <row r="32" spans="2:16" x14ac:dyDescent="0.25">
      <c r="B32" s="767" t="s">
        <v>200</v>
      </c>
      <c r="C32" s="768"/>
      <c r="D32" s="768"/>
      <c r="E32" s="768"/>
      <c r="F32" s="768"/>
      <c r="G32" s="230"/>
    </row>
    <row r="35" spans="2:7" ht="15.75" x14ac:dyDescent="0.25">
      <c r="B35" s="155" t="s">
        <v>86</v>
      </c>
      <c r="C35" s="155" t="s">
        <v>6</v>
      </c>
      <c r="D35" s="155" t="s">
        <v>91</v>
      </c>
      <c r="E35" s="155" t="s">
        <v>92</v>
      </c>
      <c r="F35" s="155" t="s">
        <v>87</v>
      </c>
      <c r="G35" s="155" t="s">
        <v>93</v>
      </c>
    </row>
    <row r="36" spans="2:7" ht="15.75" x14ac:dyDescent="0.25">
      <c r="B36" s="157">
        <v>4</v>
      </c>
      <c r="C36" s="158">
        <v>44588</v>
      </c>
      <c r="D36" s="159">
        <v>842117</v>
      </c>
      <c r="E36" s="157" t="s">
        <v>51</v>
      </c>
      <c r="F36" s="159">
        <v>50</v>
      </c>
      <c r="G36" s="159"/>
    </row>
    <row r="37" spans="2:7" ht="15.75" x14ac:dyDescent="0.25">
      <c r="B37" s="157">
        <v>5</v>
      </c>
      <c r="C37" s="158">
        <v>44593</v>
      </c>
      <c r="D37" s="159">
        <v>842122</v>
      </c>
      <c r="E37" s="157" t="s">
        <v>120</v>
      </c>
      <c r="F37" s="159">
        <v>65</v>
      </c>
      <c r="G37" s="159"/>
    </row>
    <row r="38" spans="2:7" ht="15.75" x14ac:dyDescent="0.25">
      <c r="B38" s="157">
        <v>6</v>
      </c>
      <c r="C38" s="158">
        <v>44600</v>
      </c>
      <c r="D38" s="159"/>
      <c r="E38" s="157" t="s">
        <v>49</v>
      </c>
      <c r="F38" s="159">
        <v>71</v>
      </c>
      <c r="G38" s="159"/>
    </row>
    <row r="39" spans="2:7" ht="15.75" x14ac:dyDescent="0.25">
      <c r="B39" s="157">
        <v>7</v>
      </c>
      <c r="C39" s="158">
        <v>44607</v>
      </c>
      <c r="D39" s="159"/>
      <c r="E39" s="157" t="s">
        <v>49</v>
      </c>
      <c r="F39" s="159">
        <v>80</v>
      </c>
      <c r="G39" s="159"/>
    </row>
    <row r="40" spans="2:7" ht="15.75" x14ac:dyDescent="0.25">
      <c r="B40" s="157">
        <v>8</v>
      </c>
      <c r="C40" s="158">
        <v>44615</v>
      </c>
      <c r="D40" s="159"/>
      <c r="E40" s="157" t="s">
        <v>49</v>
      </c>
      <c r="F40" s="159">
        <v>60</v>
      </c>
      <c r="G40" s="159"/>
    </row>
    <row r="41" spans="2:7" ht="15.75" x14ac:dyDescent="0.25">
      <c r="B41" s="157">
        <v>9</v>
      </c>
      <c r="C41" s="158">
        <v>44622</v>
      </c>
      <c r="D41" s="159"/>
      <c r="E41" s="157" t="s">
        <v>49</v>
      </c>
      <c r="F41" s="159">
        <v>80</v>
      </c>
      <c r="G41" s="159"/>
    </row>
    <row r="42" spans="2:7" ht="15.75" x14ac:dyDescent="0.25">
      <c r="B42" s="157">
        <v>10</v>
      </c>
      <c r="C42" s="158">
        <v>44628</v>
      </c>
      <c r="D42" s="159">
        <v>842145</v>
      </c>
      <c r="E42" s="157" t="s">
        <v>49</v>
      </c>
      <c r="F42" s="159">
        <v>60</v>
      </c>
      <c r="G42" s="159"/>
    </row>
    <row r="43" spans="2:7" ht="15.75" x14ac:dyDescent="0.25">
      <c r="B43" s="157">
        <v>11</v>
      </c>
      <c r="C43" s="158">
        <v>44635</v>
      </c>
      <c r="D43" s="159"/>
      <c r="E43" s="157" t="s">
        <v>49</v>
      </c>
      <c r="F43" s="159">
        <v>50</v>
      </c>
      <c r="G43" s="159"/>
    </row>
    <row r="44" spans="2:7" ht="15.75" x14ac:dyDescent="0.25">
      <c r="B44" s="157">
        <v>12</v>
      </c>
      <c r="C44" s="158">
        <v>44641</v>
      </c>
      <c r="D44" s="159"/>
      <c r="E44" s="157" t="s">
        <v>49</v>
      </c>
      <c r="F44" s="159">
        <v>120</v>
      </c>
      <c r="G44" s="159"/>
    </row>
    <row r="45" spans="2:7" ht="15.75" x14ac:dyDescent="0.25">
      <c r="B45" s="157">
        <v>13</v>
      </c>
      <c r="C45" s="158">
        <v>44649</v>
      </c>
      <c r="D45" s="159"/>
      <c r="E45" s="157" t="s">
        <v>120</v>
      </c>
      <c r="F45" s="159">
        <v>32</v>
      </c>
      <c r="G45" s="159"/>
    </row>
    <row r="46" spans="2:7" ht="15.75" x14ac:dyDescent="0.25">
      <c r="B46" s="157">
        <v>13</v>
      </c>
      <c r="C46" s="158">
        <v>44649</v>
      </c>
      <c r="D46" s="159"/>
      <c r="E46" s="157" t="s">
        <v>49</v>
      </c>
      <c r="F46" s="159">
        <v>50</v>
      </c>
      <c r="G46" s="159"/>
    </row>
    <row r="47" spans="2:7" ht="15.75" x14ac:dyDescent="0.25">
      <c r="B47" s="157"/>
      <c r="C47" s="158"/>
      <c r="D47" s="159"/>
      <c r="E47" s="157"/>
      <c r="F47" s="159"/>
      <c r="G47" s="159"/>
    </row>
    <row r="48" spans="2:7" ht="15.75" x14ac:dyDescent="0.25">
      <c r="B48" s="157"/>
      <c r="C48" s="158"/>
      <c r="D48" s="159"/>
      <c r="E48" s="157"/>
      <c r="F48" s="159"/>
      <c r="G48" s="159"/>
    </row>
    <row r="49" spans="2:7" ht="15.75" x14ac:dyDescent="0.25">
      <c r="B49" s="157"/>
      <c r="C49" s="158"/>
      <c r="D49" s="159"/>
      <c r="E49" s="157"/>
      <c r="F49" s="159"/>
      <c r="G49" s="159"/>
    </row>
    <row r="50" spans="2:7" ht="15.75" x14ac:dyDescent="0.25">
      <c r="B50" s="157"/>
      <c r="C50" s="158"/>
      <c r="D50" s="159"/>
      <c r="E50" s="157"/>
      <c r="F50" s="159"/>
      <c r="G50" s="159"/>
    </row>
    <row r="51" spans="2:7" ht="15.75" x14ac:dyDescent="0.25">
      <c r="B51" s="157"/>
      <c r="C51" s="158"/>
      <c r="D51" s="159"/>
      <c r="E51" s="157"/>
      <c r="F51" s="159"/>
      <c r="G51" s="159"/>
    </row>
    <row r="52" spans="2:7" ht="15.75" x14ac:dyDescent="0.25">
      <c r="B52" s="157"/>
      <c r="C52" s="158"/>
      <c r="D52" s="159"/>
      <c r="E52" s="157"/>
      <c r="F52" s="159"/>
      <c r="G52" s="159"/>
    </row>
    <row r="53" spans="2:7" ht="15.75" x14ac:dyDescent="0.25">
      <c r="B53" s="157"/>
      <c r="C53" s="158"/>
      <c r="D53" s="159"/>
      <c r="E53" s="157"/>
      <c r="F53" s="159"/>
      <c r="G53" s="159">
        <v>0</v>
      </c>
    </row>
    <row r="54" spans="2:7" ht="15.75" x14ac:dyDescent="0.25">
      <c r="B54" s="157"/>
      <c r="C54" s="158"/>
      <c r="D54" s="159"/>
      <c r="E54" s="157"/>
      <c r="F54" s="159"/>
      <c r="G54" s="159">
        <v>0</v>
      </c>
    </row>
    <row r="55" spans="2:7" ht="15.75" x14ac:dyDescent="0.25">
      <c r="B55" s="156"/>
      <c r="C55" s="156"/>
      <c r="E55" s="166" t="s">
        <v>59</v>
      </c>
      <c r="F55" s="164">
        <f>SUM(F36:F54)</f>
        <v>718</v>
      </c>
      <c r="G55" s="162">
        <f>SUM(G36:G54)</f>
        <v>0</v>
      </c>
    </row>
  </sheetData>
  <mergeCells count="3">
    <mergeCell ref="J3:N3"/>
    <mergeCell ref="B3:F3"/>
    <mergeCell ref="B32:F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8BEA-305C-4CB1-B708-993671C2AC8D}">
  <dimension ref="A1:AA235"/>
  <sheetViews>
    <sheetView topLeftCell="A218" zoomScaleNormal="100" workbookViewId="0">
      <selection activeCell="N58" sqref="N58"/>
    </sheetView>
  </sheetViews>
  <sheetFormatPr baseColWidth="10" defaultColWidth="11.42578125" defaultRowHeight="12.75" x14ac:dyDescent="0.25"/>
  <cols>
    <col min="1" max="1" width="1.42578125" style="5" customWidth="1"/>
    <col min="2" max="2" width="3.42578125" style="5" customWidth="1"/>
    <col min="3" max="3" width="30" style="42" customWidth="1"/>
    <col min="4" max="4" width="11.140625" style="42" customWidth="1"/>
    <col min="5" max="6" width="11.42578125" style="43" customWidth="1"/>
    <col min="7" max="7" width="15.7109375" style="42" customWidth="1"/>
    <col min="8" max="8" width="8.7109375" style="5" customWidth="1"/>
    <col min="9" max="9" width="13" style="5" customWidth="1"/>
    <col min="10" max="10" width="8.7109375" style="5" customWidth="1"/>
    <col min="11" max="11" width="6.85546875" style="5" customWidth="1"/>
    <col min="12" max="12" width="6.42578125" style="5" customWidth="1"/>
    <col min="13" max="13" width="6.85546875" style="5" customWidth="1"/>
    <col min="14" max="14" width="10.5703125" style="5" customWidth="1"/>
    <col min="15" max="15" width="10.28515625" style="5" customWidth="1"/>
    <col min="16" max="16" width="8.140625" style="5" customWidth="1"/>
    <col min="17" max="17" width="7.28515625" style="5" customWidth="1"/>
    <col min="18" max="18" width="12.5703125" style="5" customWidth="1"/>
    <col min="19" max="19" width="12.28515625" style="5" customWidth="1"/>
    <col min="20" max="20" width="9.5703125" style="5" customWidth="1"/>
    <col min="21" max="21" width="11" style="5" customWidth="1"/>
    <col min="22" max="22" width="12" style="6" customWidth="1"/>
    <col min="23" max="23" width="8.28515625" style="5" customWidth="1"/>
    <col min="24" max="24" width="14.85546875" style="5" customWidth="1"/>
    <col min="25" max="25" width="12.140625" style="5" bestFit="1" customWidth="1"/>
    <col min="26" max="16384" width="11.42578125" style="5"/>
  </cols>
  <sheetData>
    <row r="1" spans="3:27" ht="22.5" customHeight="1" x14ac:dyDescent="0.25"/>
    <row r="2" spans="3:27" ht="22.5" customHeight="1" x14ac:dyDescent="0.25"/>
    <row r="3" spans="3:27" ht="22.5" customHeight="1" x14ac:dyDescent="0.25">
      <c r="P3" s="133"/>
      <c r="Q3" s="133"/>
      <c r="R3" s="133"/>
      <c r="X3" s="133"/>
    </row>
    <row r="4" spans="3:27" ht="22.5" customHeight="1" x14ac:dyDescent="0.25">
      <c r="R4" s="133"/>
      <c r="S4" s="133"/>
      <c r="V4" s="5"/>
      <c r="X4" s="133"/>
    </row>
    <row r="5" spans="3:27" ht="22.5" customHeight="1" x14ac:dyDescent="0.25">
      <c r="O5" s="5" t="s">
        <v>5</v>
      </c>
      <c r="X5" s="133"/>
      <c r="Y5" s="133"/>
    </row>
    <row r="6" spans="3:27" ht="22.5" customHeight="1" x14ac:dyDescent="0.25">
      <c r="O6" s="133"/>
      <c r="X6" s="133"/>
      <c r="Y6" s="133"/>
      <c r="AA6" s="133"/>
    </row>
    <row r="7" spans="3:27" ht="22.5" customHeight="1" thickBot="1" x14ac:dyDescent="0.3"/>
    <row r="8" spans="3:27" s="55" customFormat="1" ht="45" customHeight="1" thickBot="1" x14ac:dyDescent="0.3">
      <c r="C8" s="44" t="s">
        <v>6</v>
      </c>
      <c r="D8" s="510" t="s">
        <v>255</v>
      </c>
      <c r="E8" s="45" t="s">
        <v>86</v>
      </c>
      <c r="F8" s="48" t="s">
        <v>192</v>
      </c>
      <c r="G8" s="46" t="s">
        <v>8</v>
      </c>
      <c r="H8" s="47" t="s">
        <v>9</v>
      </c>
      <c r="I8" s="48" t="s">
        <v>10</v>
      </c>
      <c r="J8" s="48" t="s">
        <v>11</v>
      </c>
      <c r="K8" s="49" t="s">
        <v>12</v>
      </c>
      <c r="L8" s="45" t="s">
        <v>13</v>
      </c>
      <c r="M8" s="45" t="s">
        <v>14</v>
      </c>
      <c r="N8" s="45" t="s">
        <v>15</v>
      </c>
      <c r="O8" s="46" t="s">
        <v>16</v>
      </c>
      <c r="P8" s="47" t="s">
        <v>0</v>
      </c>
      <c r="Q8" s="48" t="s">
        <v>1</v>
      </c>
      <c r="R8" s="50" t="s">
        <v>17</v>
      </c>
      <c r="S8" s="48" t="s">
        <v>18</v>
      </c>
      <c r="T8" s="50" t="s">
        <v>19</v>
      </c>
      <c r="U8" s="48" t="s">
        <v>20</v>
      </c>
      <c r="V8" s="51" t="s">
        <v>21</v>
      </c>
      <c r="W8" s="48" t="s">
        <v>22</v>
      </c>
      <c r="X8" s="52" t="s">
        <v>23</v>
      </c>
      <c r="Y8" s="53" t="s">
        <v>24</v>
      </c>
      <c r="Z8" s="54" t="s">
        <v>25</v>
      </c>
      <c r="AA8" s="100" t="s">
        <v>27</v>
      </c>
    </row>
    <row r="9" spans="3:27" ht="20.100000000000001" customHeight="1" x14ac:dyDescent="0.25">
      <c r="C9" s="56">
        <v>20</v>
      </c>
      <c r="D9" s="511">
        <f>YEAR(Tabla1[[#This Row],[FECHA]])</f>
        <v>1900</v>
      </c>
      <c r="E9" s="72">
        <f>_xlfn.ISOWEEKNUM(Tabla1[[#This Row],[FECHA]])</f>
        <v>3</v>
      </c>
      <c r="F9" s="57" t="s">
        <v>155</v>
      </c>
      <c r="G9" s="58" t="s">
        <v>28</v>
      </c>
      <c r="H9" s="59">
        <v>152</v>
      </c>
      <c r="I9" s="57">
        <v>51</v>
      </c>
      <c r="J9" s="57">
        <v>11</v>
      </c>
      <c r="K9" s="60"/>
      <c r="L9" s="61"/>
      <c r="M9" s="60">
        <f>+Tabla1[[#This Row],[Rasimos Cosechados]]-Tabla1[[#This Row],[Rasimos Prosesados]]</f>
        <v>0</v>
      </c>
      <c r="N9" s="62">
        <f>+Tabla1[[#This Row],[Rasimos Cosechados]]/Tabla1[[#This Row],[Cajas Elaboradas]]</f>
        <v>0</v>
      </c>
      <c r="O9" s="63">
        <f>+Tabla1[[#This Row],[Rasimos Prosesados]]/Tabla1[[#This Row],[Cajas Elaboradas]]</f>
        <v>0</v>
      </c>
      <c r="P9" s="64">
        <f>IF(H9,'DATOS PARA CALCULO'!D$18,0)</f>
        <v>1500</v>
      </c>
      <c r="Q9" s="65">
        <f>IF(I9,'DATOS PARA CALCULO'!D$22,0)</f>
        <v>500</v>
      </c>
      <c r="R9" s="66">
        <f>IF(P9&gt;0 &amp; H9&gt;0,H9*P9,)</f>
        <v>228000</v>
      </c>
      <c r="S9" s="65">
        <f>IF(Q9&gt;0 &amp; I9&gt;0,I9*Q9,0)</f>
        <v>25500</v>
      </c>
      <c r="T9" s="66">
        <f>S9+R9</f>
        <v>253500</v>
      </c>
      <c r="U9" s="65">
        <f>IF('CAJAS ELABORADAS'!$J9&gt;0,'CAJAS ELABORADAS'!$Y9*'CAJAS ELABORADAS'!$J9,0)</f>
        <v>330000</v>
      </c>
      <c r="V9" s="67">
        <f>'CAJAS ELABORADAS'!$Y9/'DATOS PARA CALCULO'!$D$27</f>
        <v>1</v>
      </c>
      <c r="W9" s="65">
        <f>(Tabla1[[#This Row],[Valor Pagado]]-Tabla1[[#This Row],[PRODUCIDO BOLSAS]])/Tabla1[[#This Row],[Cajas Elaboradas]]</f>
        <v>2003.2894736842106</v>
      </c>
      <c r="X9" s="68">
        <f>IF(J9&gt;0,T9/J9,0)</f>
        <v>23045.454545454544</v>
      </c>
      <c r="Y9" s="69">
        <f>IF('CAJAS ELABORADAS'!$X9&lt;'DATOS PARA CALCULO'!$D$27,'DATOS PARA CALCULO'!$D$27,'CAJAS ELABORADAS'!$X9)</f>
        <v>30000</v>
      </c>
      <c r="Z9" s="70">
        <f>Tabla1[[#This Row],[VALOR  A PAGAR]]-Tabla1[[#This Row],[VALOR GANADO]]</f>
        <v>6954.5454545454559</v>
      </c>
    </row>
    <row r="10" spans="3:27" ht="20.100000000000001" customHeight="1" x14ac:dyDescent="0.25">
      <c r="C10" s="71">
        <v>44292</v>
      </c>
      <c r="D10" s="507">
        <f>YEAR(Tabla1[[#This Row],[FECHA]])</f>
        <v>2021</v>
      </c>
      <c r="E10" s="72">
        <f>_xlfn.ISOWEEKNUM(Tabla1[[#This Row],[FECHA]])</f>
        <v>14</v>
      </c>
      <c r="F10" s="72" t="s">
        <v>152</v>
      </c>
      <c r="G10" s="73" t="s">
        <v>29</v>
      </c>
      <c r="H10" s="74">
        <v>148</v>
      </c>
      <c r="I10" s="72">
        <v>56</v>
      </c>
      <c r="J10" s="72">
        <v>10</v>
      </c>
      <c r="K10" s="75"/>
      <c r="L10" s="76"/>
      <c r="M10" s="75">
        <f>+Tabla1[[#This Row],[Rasimos Cosechados]]-Tabla1[[#This Row],[Rasimos Prosesados]]</f>
        <v>0</v>
      </c>
      <c r="N10" s="77">
        <f>+Tabla1[[#This Row],[Rasimos Cosechados]]/Tabla1[[#This Row],[Cajas Elaboradas]]</f>
        <v>0</v>
      </c>
      <c r="O10" s="78">
        <f>+Tabla1[[#This Row],[Rasimos Prosesados]]/Tabla1[[#This Row],[Cajas Elaboradas]]</f>
        <v>0</v>
      </c>
      <c r="P10" s="79">
        <f>IF(H10,'DATOS PARA CALCULO'!D$18,0)</f>
        <v>1500</v>
      </c>
      <c r="Q10" s="80">
        <f>IF(I10,'DATOS PARA CALCULO'!D$22,0)</f>
        <v>500</v>
      </c>
      <c r="R10" s="81">
        <f>IF(P10&gt;0 &amp; H10&gt;0,H10*P10,)</f>
        <v>222000</v>
      </c>
      <c r="S10" s="80">
        <f>IF(Q10&gt;0 &amp; I10&gt;0,I10*Q10,0)</f>
        <v>28000</v>
      </c>
      <c r="T10" s="81">
        <f>S10+R10</f>
        <v>250000</v>
      </c>
      <c r="U10" s="80">
        <f>IF('CAJAS ELABORADAS'!$J10&gt;0,'CAJAS ELABORADAS'!$Y10*'CAJAS ELABORADAS'!$J10,0)</f>
        <v>300000</v>
      </c>
      <c r="V10" s="82">
        <f>'CAJAS ELABORADAS'!$Y10/'DATOS PARA CALCULO'!$D$27</f>
        <v>1</v>
      </c>
      <c r="W10" s="80">
        <f>(Tabla1[[#This Row],[Valor Pagado]]-Tabla1[[#This Row],[PRODUCIDO BOLSAS]])/Tabla1[[#This Row],[Cajas Elaboradas]]</f>
        <v>1837.8378378378379</v>
      </c>
      <c r="X10" s="83">
        <f>IF(J10&gt;0,T10/J10,0)</f>
        <v>25000</v>
      </c>
      <c r="Y10" s="84">
        <f>IF('CAJAS ELABORADAS'!$X10&lt;'DATOS PARA CALCULO'!$D$27,'DATOS PARA CALCULO'!$D$27,'CAJAS ELABORADAS'!$X10)</f>
        <v>30000</v>
      </c>
      <c r="Z10" s="85">
        <f>Tabla1[[#This Row],[VALOR  A PAGAR]]-Tabla1[[#This Row],[VALOR GANADO]]</f>
        <v>5000</v>
      </c>
    </row>
    <row r="11" spans="3:27" ht="20.100000000000001" customHeight="1" x14ac:dyDescent="0.25">
      <c r="C11" s="71">
        <v>44293</v>
      </c>
      <c r="D11" s="507">
        <f>YEAR(Tabla1[[#This Row],[FECHA]])</f>
        <v>2021</v>
      </c>
      <c r="E11" s="72">
        <f>_xlfn.ISOWEEKNUM(Tabla1[[#This Row],[FECHA]])</f>
        <v>14</v>
      </c>
      <c r="F11" s="72" t="s">
        <v>152</v>
      </c>
      <c r="G11" s="73" t="s">
        <v>29</v>
      </c>
      <c r="H11" s="74">
        <v>134</v>
      </c>
      <c r="I11" s="72">
        <v>62</v>
      </c>
      <c r="J11" s="72">
        <v>21</v>
      </c>
      <c r="K11" s="75"/>
      <c r="L11" s="76"/>
      <c r="M11" s="75">
        <f>+Tabla1[[#This Row],[Rasimos Cosechados]]-Tabla1[[#This Row],[Rasimos Prosesados]]</f>
        <v>0</v>
      </c>
      <c r="N11" s="77">
        <f>+Tabla1[[#This Row],[Rasimos Cosechados]]/Tabla1[[#This Row],[Cajas Elaboradas]]</f>
        <v>0</v>
      </c>
      <c r="O11" s="78">
        <f>+Tabla1[[#This Row],[Rasimos Prosesados]]/Tabla1[[#This Row],[Cajas Elaboradas]]</f>
        <v>0</v>
      </c>
      <c r="P11" s="79">
        <f>IF(H11,'DATOS PARA CALCULO'!D$18,0)</f>
        <v>1500</v>
      </c>
      <c r="Q11" s="80">
        <f>IF(I11,'DATOS PARA CALCULO'!D$22,0)</f>
        <v>500</v>
      </c>
      <c r="R11" s="81">
        <f>IF(P11&gt;0 &amp; H11&gt;0,H11*P11,)</f>
        <v>201000</v>
      </c>
      <c r="S11" s="80">
        <f>IF(Q11&gt;0 &amp; I11&gt;0,I11*Q11,0)</f>
        <v>31000</v>
      </c>
      <c r="T11" s="81">
        <f>S11+R11</f>
        <v>232000</v>
      </c>
      <c r="U11" s="80">
        <f>IF('CAJAS ELABORADAS'!$J11&gt;0,'CAJAS ELABORADAS'!$Y11*'CAJAS ELABORADAS'!$J11,0)</f>
        <v>630000</v>
      </c>
      <c r="V11" s="82">
        <f>'CAJAS ELABORADAS'!$Y11/'DATOS PARA CALCULO'!$D$27</f>
        <v>1</v>
      </c>
      <c r="W11" s="80">
        <f>(Tabla1[[#This Row],[Valor Pagado]]-Tabla1[[#This Row],[PRODUCIDO BOLSAS]])/Tabla1[[#This Row],[Cajas Elaboradas]]</f>
        <v>4470.1492537313434</v>
      </c>
      <c r="X11" s="83">
        <f>IF(J11&gt;0,T11/J11,0)</f>
        <v>11047.619047619048</v>
      </c>
      <c r="Y11" s="84">
        <f>IF('CAJAS ELABORADAS'!$X11&lt;'DATOS PARA CALCULO'!$D$27,'DATOS PARA CALCULO'!$D$27,'CAJAS ELABORADAS'!$X11)</f>
        <v>30000</v>
      </c>
      <c r="Z11" s="85">
        <f>Tabla1[[#This Row],[VALOR  A PAGAR]]-Tabla1[[#This Row],[VALOR GANADO]]</f>
        <v>18952.380952380954</v>
      </c>
    </row>
    <row r="12" spans="3:27" ht="20.100000000000001" customHeight="1" x14ac:dyDescent="0.25">
      <c r="C12" s="71">
        <v>44293</v>
      </c>
      <c r="D12" s="507">
        <f>YEAR(Tabla1[[#This Row],[FECHA]])</f>
        <v>2021</v>
      </c>
      <c r="E12" s="72">
        <f>_xlfn.ISOWEEKNUM(Tabla1[[#This Row],[FECHA]])</f>
        <v>14</v>
      </c>
      <c r="F12" s="72"/>
      <c r="G12" s="73" t="s">
        <v>30</v>
      </c>
      <c r="H12" s="74">
        <v>119</v>
      </c>
      <c r="I12" s="72">
        <v>23</v>
      </c>
      <c r="J12" s="72">
        <v>6</v>
      </c>
      <c r="K12" s="75"/>
      <c r="L12" s="76"/>
      <c r="M12" s="75">
        <f>+Tabla1[[#This Row],[Rasimos Cosechados]]-Tabla1[[#This Row],[Rasimos Prosesados]]</f>
        <v>0</v>
      </c>
      <c r="N12" s="77">
        <f>+Tabla1[[#This Row],[Rasimos Cosechados]]/Tabla1[[#This Row],[Cajas Elaboradas]]</f>
        <v>0</v>
      </c>
      <c r="O12" s="78">
        <f>+Tabla1[[#This Row],[Rasimos Prosesados]]/Tabla1[[#This Row],[Cajas Elaboradas]]</f>
        <v>0</v>
      </c>
      <c r="P12" s="79">
        <f>IF(H12,'DATOS PARA CALCULO'!D$18,0)</f>
        <v>1500</v>
      </c>
      <c r="Q12" s="80">
        <f>IF(I12,'DATOS PARA CALCULO'!D$22,0)</f>
        <v>500</v>
      </c>
      <c r="R12" s="81">
        <f>IF(P12&gt;0 &amp; H12&gt;0,H12*P12,)</f>
        <v>178500</v>
      </c>
      <c r="S12" s="80">
        <f>IF(Q12&gt;0 &amp; I12&gt;0,I12*Q12,0)</f>
        <v>11500</v>
      </c>
      <c r="T12" s="81">
        <f>S12+R12</f>
        <v>190000</v>
      </c>
      <c r="U12" s="80">
        <f>IF('CAJAS ELABORADAS'!$J12&gt;0,'CAJAS ELABORADAS'!$Y12*'CAJAS ELABORADAS'!$J12,0)</f>
        <v>190000</v>
      </c>
      <c r="V12" s="82">
        <f>'CAJAS ELABORADAS'!$Y12/'DATOS PARA CALCULO'!$D$27</f>
        <v>1.0555555555555556</v>
      </c>
      <c r="W12" s="80">
        <f>(Tabla1[[#This Row],[Valor Pagado]]-Tabla1[[#This Row],[PRODUCIDO BOLSAS]])/Tabla1[[#This Row],[Cajas Elaboradas]]</f>
        <v>1500</v>
      </c>
      <c r="X12" s="83">
        <f>IF(J12&gt;0,T12/J12,0)</f>
        <v>31666.666666666668</v>
      </c>
      <c r="Y12" s="84">
        <f>IF('CAJAS ELABORADAS'!$X12&lt;'DATOS PARA CALCULO'!$D$27,'DATOS PARA CALCULO'!$D$27,'CAJAS ELABORADAS'!$X12)</f>
        <v>31666.666666666668</v>
      </c>
      <c r="Z12" s="85">
        <f>Tabla1[[#This Row],[VALOR  A PAGAR]]-Tabla1[[#This Row],[VALOR GANADO]]</f>
        <v>0</v>
      </c>
    </row>
    <row r="13" spans="3:27" ht="20.100000000000001" customHeight="1" x14ac:dyDescent="0.25">
      <c r="C13" s="71">
        <v>44299</v>
      </c>
      <c r="D13" s="507">
        <f>YEAR(Tabla1[[#This Row],[FECHA]])</f>
        <v>2021</v>
      </c>
      <c r="E13" s="72">
        <f>_xlfn.ISOWEEKNUM(Tabla1[[#This Row],[FECHA]])</f>
        <v>15</v>
      </c>
      <c r="F13" s="57" t="s">
        <v>155</v>
      </c>
      <c r="G13" s="73" t="s">
        <v>28</v>
      </c>
      <c r="H13" s="74">
        <v>159</v>
      </c>
      <c r="I13" s="72">
        <v>70</v>
      </c>
      <c r="J13" s="72">
        <v>10</v>
      </c>
      <c r="K13" s="75"/>
      <c r="L13" s="76"/>
      <c r="M13" s="75">
        <f>+Tabla1[[#This Row],[Rasimos Cosechados]]-Tabla1[[#This Row],[Rasimos Prosesados]]</f>
        <v>0</v>
      </c>
      <c r="N13" s="77">
        <f>+Tabla1[[#This Row],[Rasimos Cosechados]]/Tabla1[[#This Row],[Cajas Elaboradas]]</f>
        <v>0</v>
      </c>
      <c r="O13" s="78">
        <f>+Tabla1[[#This Row],[Rasimos Prosesados]]/Tabla1[[#This Row],[Cajas Elaboradas]]</f>
        <v>0</v>
      </c>
      <c r="P13" s="79">
        <f>IF(H13,'DATOS PARA CALCULO'!D$18,0)</f>
        <v>1500</v>
      </c>
      <c r="Q13" s="80">
        <f>IF(I13,'DATOS PARA CALCULO'!D$22,0)</f>
        <v>500</v>
      </c>
      <c r="R13" s="81">
        <f>IF(P13&gt;0 &amp; H13&gt;0,H13*P13,)</f>
        <v>238500</v>
      </c>
      <c r="S13" s="80">
        <f>IF(Q13&gt;0 &amp; I13&gt;0,I13*Q13,0)</f>
        <v>35000</v>
      </c>
      <c r="T13" s="81">
        <f>S13+R13</f>
        <v>273500</v>
      </c>
      <c r="U13" s="80">
        <f>IF('CAJAS ELABORADAS'!$J13&gt;0,'CAJAS ELABORADAS'!$Y13*'CAJAS ELABORADAS'!$J13,0)</f>
        <v>300000</v>
      </c>
      <c r="V13" s="82">
        <f>'CAJAS ELABORADAS'!$Y13/'DATOS PARA CALCULO'!$D$27</f>
        <v>1</v>
      </c>
      <c r="W13" s="80">
        <f>(Tabla1[[#This Row],[Valor Pagado]]-Tabla1[[#This Row],[PRODUCIDO BOLSAS]])/Tabla1[[#This Row],[Cajas Elaboradas]]</f>
        <v>1666.6666666666667</v>
      </c>
      <c r="X13" s="83">
        <f>IF(J13&gt;0,T13/J13,0)</f>
        <v>27350</v>
      </c>
      <c r="Y13" s="84">
        <f>IF('CAJAS ELABORADAS'!$X13&lt;'DATOS PARA CALCULO'!$D$27,'DATOS PARA CALCULO'!$D$27,'CAJAS ELABORADAS'!$X13)</f>
        <v>30000</v>
      </c>
      <c r="Z13" s="85">
        <f>Tabla1[[#This Row],[VALOR  A PAGAR]]-Tabla1[[#This Row],[VALOR GANADO]]</f>
        <v>2650</v>
      </c>
    </row>
    <row r="14" spans="3:27" ht="20.100000000000001" customHeight="1" x14ac:dyDescent="0.25">
      <c r="C14" s="71">
        <v>44299</v>
      </c>
      <c r="D14" s="507">
        <f>YEAR(Tabla1[[#This Row],[FECHA]])</f>
        <v>2021</v>
      </c>
      <c r="E14" s="72">
        <f>_xlfn.ISOWEEKNUM(Tabla1[[#This Row],[FECHA]])</f>
        <v>15</v>
      </c>
      <c r="F14" s="72" t="s">
        <v>157</v>
      </c>
      <c r="G14" s="73" t="s">
        <v>31</v>
      </c>
      <c r="H14" s="74">
        <v>21</v>
      </c>
      <c r="I14" s="72">
        <v>20</v>
      </c>
      <c r="J14" s="72">
        <v>12</v>
      </c>
      <c r="K14" s="75"/>
      <c r="L14" s="76"/>
      <c r="M14" s="75">
        <f>+Tabla1[[#This Row],[Rasimos Cosechados]]-Tabla1[[#This Row],[Rasimos Prosesados]]</f>
        <v>0</v>
      </c>
      <c r="N14" s="77">
        <f>+Tabla1[[#This Row],[Rasimos Cosechados]]/Tabla1[[#This Row],[Cajas Elaboradas]]</f>
        <v>0</v>
      </c>
      <c r="O14" s="78">
        <f>+Tabla1[[#This Row],[Rasimos Prosesados]]/Tabla1[[#This Row],[Cajas Elaboradas]]</f>
        <v>0</v>
      </c>
      <c r="P14" s="79">
        <v>3000</v>
      </c>
      <c r="Q14" s="80">
        <f>IF(I14,'DATOS PARA CALCULO'!D$22,0)</f>
        <v>500</v>
      </c>
      <c r="R14" s="81">
        <f t="shared" ref="R14:R60" si="0">IF(P14&gt;0 &amp; H14&gt;0,H14*P14,)</f>
        <v>63000</v>
      </c>
      <c r="S14" s="80">
        <f t="shared" ref="S14:S60" si="1">IF(Q14&gt;0 &amp; I14&gt;0,I14*Q14,0)</f>
        <v>10000</v>
      </c>
      <c r="T14" s="81">
        <f t="shared" ref="T14:T60" si="2">S14+R14</f>
        <v>73000</v>
      </c>
      <c r="U14" s="80">
        <f>IF('CAJAS ELABORADAS'!$J14&gt;0,'CAJAS ELABORADAS'!$Y14*'CAJAS ELABORADAS'!$J14,0)</f>
        <v>360000</v>
      </c>
      <c r="V14" s="82">
        <f>'CAJAS ELABORADAS'!$Y14/'DATOS PARA CALCULO'!$D$27</f>
        <v>1</v>
      </c>
      <c r="W14" s="80">
        <f>(Tabla1[[#This Row],[Valor Pagado]]-Tabla1[[#This Row],[PRODUCIDO BOLSAS]])/Tabla1[[#This Row],[Cajas Elaboradas]]</f>
        <v>16666.666666666668</v>
      </c>
      <c r="X14" s="83">
        <f t="shared" ref="X14:X60" si="3">IF(J14&gt;0,T14/J14,0)</f>
        <v>6083.333333333333</v>
      </c>
      <c r="Y14" s="84">
        <f>IF('CAJAS ELABORADAS'!$X14&lt;'DATOS PARA CALCULO'!$D$27,'DATOS PARA CALCULO'!$D$27,'CAJAS ELABORADAS'!$X14)</f>
        <v>30000</v>
      </c>
      <c r="Z14" s="85">
        <f>Tabla1[[#This Row],[VALOR  A PAGAR]]-Tabla1[[#This Row],[VALOR GANADO]]</f>
        <v>23916.666666666668</v>
      </c>
    </row>
    <row r="15" spans="3:27" ht="20.100000000000001" customHeight="1" x14ac:dyDescent="0.25">
      <c r="C15" s="71">
        <v>44300</v>
      </c>
      <c r="D15" s="507">
        <f>YEAR(Tabla1[[#This Row],[FECHA]])</f>
        <v>2021</v>
      </c>
      <c r="E15" s="72">
        <f>_xlfn.ISOWEEKNUM(Tabla1[[#This Row],[FECHA]])</f>
        <v>15</v>
      </c>
      <c r="F15" s="72"/>
      <c r="G15" s="73" t="s">
        <v>32</v>
      </c>
      <c r="H15" s="74">
        <v>71</v>
      </c>
      <c r="I15" s="72">
        <v>28</v>
      </c>
      <c r="J15" s="72">
        <v>7</v>
      </c>
      <c r="K15" s="75"/>
      <c r="L15" s="76"/>
      <c r="M15" s="75">
        <f>+Tabla1[[#This Row],[Rasimos Cosechados]]-Tabla1[[#This Row],[Rasimos Prosesados]]</f>
        <v>0</v>
      </c>
      <c r="N15" s="77">
        <f>+Tabla1[[#This Row],[Rasimos Cosechados]]/Tabla1[[#This Row],[Cajas Elaboradas]]</f>
        <v>0</v>
      </c>
      <c r="O15" s="78">
        <f>+Tabla1[[#This Row],[Rasimos Prosesados]]/Tabla1[[#This Row],[Cajas Elaboradas]]</f>
        <v>0</v>
      </c>
      <c r="P15" s="79">
        <f>IF(H15,'DATOS PARA CALCULO'!D$18,0)</f>
        <v>1500</v>
      </c>
      <c r="Q15" s="80">
        <f>IF(I15,'DATOS PARA CALCULO'!D$22,0)</f>
        <v>500</v>
      </c>
      <c r="R15" s="81">
        <f t="shared" si="0"/>
        <v>106500</v>
      </c>
      <c r="S15" s="80">
        <f t="shared" si="1"/>
        <v>14000</v>
      </c>
      <c r="T15" s="81">
        <f t="shared" si="2"/>
        <v>120500</v>
      </c>
      <c r="U15" s="80">
        <f>IF('CAJAS ELABORADAS'!$J15&gt;0,'CAJAS ELABORADAS'!$Y15*'CAJAS ELABORADAS'!$J15,0)</f>
        <v>210000</v>
      </c>
      <c r="V15" s="82">
        <f>'CAJAS ELABORADAS'!$Y15/'DATOS PARA CALCULO'!$D$27</f>
        <v>1</v>
      </c>
      <c r="W15" s="80">
        <f>(Tabla1[[#This Row],[Valor Pagado]]-Tabla1[[#This Row],[PRODUCIDO BOLSAS]])/Tabla1[[#This Row],[Cajas Elaboradas]]</f>
        <v>2760.5633802816901</v>
      </c>
      <c r="X15" s="83">
        <f t="shared" si="3"/>
        <v>17214.285714285714</v>
      </c>
      <c r="Y15" s="84">
        <f>IF('CAJAS ELABORADAS'!$X15&lt;'DATOS PARA CALCULO'!$D$27,'DATOS PARA CALCULO'!$D$27,'CAJAS ELABORADAS'!$X15)</f>
        <v>30000</v>
      </c>
      <c r="Z15" s="85">
        <f>Tabla1[[#This Row],[VALOR  A PAGAR]]-Tabla1[[#This Row],[VALOR GANADO]]</f>
        <v>12785.714285714286</v>
      </c>
    </row>
    <row r="16" spans="3:27" ht="20.100000000000001" customHeight="1" x14ac:dyDescent="0.25">
      <c r="C16" s="71">
        <v>44300</v>
      </c>
      <c r="D16" s="507">
        <f>YEAR(Tabla1[[#This Row],[FECHA]])</f>
        <v>2021</v>
      </c>
      <c r="E16" s="72">
        <f>_xlfn.ISOWEEKNUM(Tabla1[[#This Row],[FECHA]])</f>
        <v>15</v>
      </c>
      <c r="F16" s="72" t="s">
        <v>152</v>
      </c>
      <c r="G16" s="73" t="s">
        <v>29</v>
      </c>
      <c r="H16" s="74">
        <f>130+99</f>
        <v>229</v>
      </c>
      <c r="I16" s="72">
        <v>210</v>
      </c>
      <c r="J16" s="72">
        <v>17</v>
      </c>
      <c r="K16" s="75"/>
      <c r="L16" s="76"/>
      <c r="M16" s="75">
        <f>+Tabla1[[#This Row],[Rasimos Cosechados]]-Tabla1[[#This Row],[Rasimos Prosesados]]</f>
        <v>0</v>
      </c>
      <c r="N16" s="77">
        <f>+Tabla1[[#This Row],[Rasimos Cosechados]]/Tabla1[[#This Row],[Cajas Elaboradas]]</f>
        <v>0</v>
      </c>
      <c r="O16" s="78">
        <f>+Tabla1[[#This Row],[Rasimos Prosesados]]/Tabla1[[#This Row],[Cajas Elaboradas]]</f>
        <v>0</v>
      </c>
      <c r="P16" s="79">
        <f>IF(H16,'DATOS PARA CALCULO'!D$18,0)</f>
        <v>1500</v>
      </c>
      <c r="Q16" s="80">
        <f>IF(I16,'DATOS PARA CALCULO'!D$22,0)</f>
        <v>500</v>
      </c>
      <c r="R16" s="81">
        <f t="shared" si="0"/>
        <v>343500</v>
      </c>
      <c r="S16" s="80">
        <f t="shared" si="1"/>
        <v>105000</v>
      </c>
      <c r="T16" s="81">
        <f t="shared" si="2"/>
        <v>448500</v>
      </c>
      <c r="U16" s="80">
        <f>IF('CAJAS ELABORADAS'!$J16&gt;0,'CAJAS ELABORADAS'!$Y16*'CAJAS ELABORADAS'!$J16,0)</f>
        <v>510000</v>
      </c>
      <c r="V16" s="82">
        <f>'CAJAS ELABORADAS'!$Y16/'DATOS PARA CALCULO'!$D$27</f>
        <v>1</v>
      </c>
      <c r="W16" s="80">
        <f>(Tabla1[[#This Row],[Valor Pagado]]-Tabla1[[#This Row],[PRODUCIDO BOLSAS]])/Tabla1[[#This Row],[Cajas Elaboradas]]</f>
        <v>1768.5589519650655</v>
      </c>
      <c r="X16" s="83">
        <f t="shared" si="3"/>
        <v>26382.352941176472</v>
      </c>
      <c r="Y16" s="84">
        <f>IF('CAJAS ELABORADAS'!$X16&lt;'DATOS PARA CALCULO'!$D$27,'DATOS PARA CALCULO'!$D$27,'CAJAS ELABORADAS'!$X16)</f>
        <v>30000</v>
      </c>
      <c r="Z16" s="85">
        <f>Tabla1[[#This Row],[VALOR  A PAGAR]]-Tabla1[[#This Row],[VALOR GANADO]]</f>
        <v>3617.6470588235279</v>
      </c>
    </row>
    <row r="17" spans="3:26" ht="20.100000000000001" customHeight="1" x14ac:dyDescent="0.25">
      <c r="C17" s="71">
        <v>44306</v>
      </c>
      <c r="D17" s="507">
        <f>YEAR(Tabla1[[#This Row],[FECHA]])</f>
        <v>2021</v>
      </c>
      <c r="E17" s="72">
        <f>_xlfn.ISOWEEKNUM(Tabla1[[#This Row],[FECHA]])</f>
        <v>16</v>
      </c>
      <c r="F17" s="57" t="s">
        <v>155</v>
      </c>
      <c r="G17" s="73" t="s">
        <v>28</v>
      </c>
      <c r="H17" s="74">
        <v>101</v>
      </c>
      <c r="I17" s="72">
        <v>54</v>
      </c>
      <c r="J17" s="72">
        <f>8+6</f>
        <v>14</v>
      </c>
      <c r="K17" s="75"/>
      <c r="L17" s="76"/>
      <c r="M17" s="75">
        <f>+Tabla1[[#This Row],[Rasimos Cosechados]]-Tabla1[[#This Row],[Rasimos Prosesados]]</f>
        <v>0</v>
      </c>
      <c r="N17" s="77">
        <f>+Tabla1[[#This Row],[Rasimos Cosechados]]/Tabla1[[#This Row],[Cajas Elaboradas]]</f>
        <v>0</v>
      </c>
      <c r="O17" s="78">
        <f>+Tabla1[[#This Row],[Rasimos Prosesados]]/Tabla1[[#This Row],[Cajas Elaboradas]]</f>
        <v>0</v>
      </c>
      <c r="P17" s="79">
        <f>IF(H17,'DATOS PARA CALCULO'!D$18,0)</f>
        <v>1500</v>
      </c>
      <c r="Q17" s="80">
        <f>IF(I17,'DATOS PARA CALCULO'!D$22,0)</f>
        <v>500</v>
      </c>
      <c r="R17" s="81">
        <f t="shared" si="0"/>
        <v>151500</v>
      </c>
      <c r="S17" s="80">
        <f t="shared" si="1"/>
        <v>27000</v>
      </c>
      <c r="T17" s="81">
        <f t="shared" si="2"/>
        <v>178500</v>
      </c>
      <c r="U17" s="80">
        <f>IF('CAJAS ELABORADAS'!$J17&gt;0,'CAJAS ELABORADAS'!$Y17*'CAJAS ELABORADAS'!$J17,0)</f>
        <v>420000</v>
      </c>
      <c r="V17" s="82">
        <f>'CAJAS ELABORADAS'!$Y17/'DATOS PARA CALCULO'!$D$27</f>
        <v>1</v>
      </c>
      <c r="W17" s="80">
        <f>(Tabla1[[#This Row],[Valor Pagado]]-Tabla1[[#This Row],[PRODUCIDO BOLSAS]])/Tabla1[[#This Row],[Cajas Elaboradas]]</f>
        <v>3891.0891089108909</v>
      </c>
      <c r="X17" s="83">
        <f t="shared" si="3"/>
        <v>12750</v>
      </c>
      <c r="Y17" s="84">
        <f>IF('CAJAS ELABORADAS'!$X17&lt;'DATOS PARA CALCULO'!$D$27,'DATOS PARA CALCULO'!$D$27,'CAJAS ELABORADAS'!$X17)</f>
        <v>30000</v>
      </c>
      <c r="Z17" s="85">
        <f>Tabla1[[#This Row],[VALOR  A PAGAR]]-Tabla1[[#This Row],[VALOR GANADO]]</f>
        <v>17250</v>
      </c>
    </row>
    <row r="18" spans="3:26" ht="20.100000000000001" customHeight="1" x14ac:dyDescent="0.25">
      <c r="C18" s="71">
        <v>44306</v>
      </c>
      <c r="D18" s="507">
        <f>YEAR(Tabla1[[#This Row],[FECHA]])</f>
        <v>2021</v>
      </c>
      <c r="E18" s="72">
        <f>_xlfn.ISOWEEKNUM(Tabla1[[#This Row],[FECHA]])</f>
        <v>16</v>
      </c>
      <c r="F18" s="72" t="s">
        <v>157</v>
      </c>
      <c r="G18" s="73" t="s">
        <v>31</v>
      </c>
      <c r="H18" s="74">
        <v>16</v>
      </c>
      <c r="I18" s="72">
        <v>14</v>
      </c>
      <c r="J18" s="72">
        <v>12</v>
      </c>
      <c r="K18" s="75"/>
      <c r="L18" s="76"/>
      <c r="M18" s="75">
        <f>+Tabla1[[#This Row],[Rasimos Cosechados]]-Tabla1[[#This Row],[Rasimos Prosesados]]</f>
        <v>0</v>
      </c>
      <c r="N18" s="77">
        <f>+Tabla1[[#This Row],[Rasimos Cosechados]]/Tabla1[[#This Row],[Cajas Elaboradas]]</f>
        <v>0</v>
      </c>
      <c r="O18" s="78">
        <f>+Tabla1[[#This Row],[Rasimos Prosesados]]/Tabla1[[#This Row],[Cajas Elaboradas]]</f>
        <v>0</v>
      </c>
      <c r="P18" s="79">
        <v>3000</v>
      </c>
      <c r="Q18" s="80">
        <f>IF(I18,'DATOS PARA CALCULO'!D$22,0)</f>
        <v>500</v>
      </c>
      <c r="R18" s="81">
        <f t="shared" si="0"/>
        <v>48000</v>
      </c>
      <c r="S18" s="80">
        <f t="shared" si="1"/>
        <v>7000</v>
      </c>
      <c r="T18" s="81">
        <f t="shared" si="2"/>
        <v>55000</v>
      </c>
      <c r="U18" s="80">
        <f>IF('CAJAS ELABORADAS'!$J18&gt;0,'CAJAS ELABORADAS'!$Y18*'CAJAS ELABORADAS'!$J18,0)</f>
        <v>360000</v>
      </c>
      <c r="V18" s="82">
        <f>'CAJAS ELABORADAS'!$Y18/'DATOS PARA CALCULO'!$D$27</f>
        <v>1</v>
      </c>
      <c r="W18" s="80">
        <f>(Tabla1[[#This Row],[Valor Pagado]]-Tabla1[[#This Row],[PRODUCIDO BOLSAS]])/Tabla1[[#This Row],[Cajas Elaboradas]]</f>
        <v>22062.5</v>
      </c>
      <c r="X18" s="83">
        <f t="shared" si="3"/>
        <v>4583.333333333333</v>
      </c>
      <c r="Y18" s="84">
        <f>IF('CAJAS ELABORADAS'!$X18&lt;'DATOS PARA CALCULO'!$D$27,'DATOS PARA CALCULO'!$D$27,'CAJAS ELABORADAS'!$X18)</f>
        <v>30000</v>
      </c>
      <c r="Z18" s="85">
        <f>Tabla1[[#This Row],[VALOR  A PAGAR]]-Tabla1[[#This Row],[VALOR GANADO]]</f>
        <v>25416.666666666668</v>
      </c>
    </row>
    <row r="19" spans="3:26" ht="20.100000000000001" customHeight="1" x14ac:dyDescent="0.25">
      <c r="C19" s="71">
        <v>44306</v>
      </c>
      <c r="D19" s="507">
        <f>YEAR(Tabla1[[#This Row],[FECHA]])</f>
        <v>2021</v>
      </c>
      <c r="E19" s="72">
        <f>_xlfn.ISOWEEKNUM(Tabla1[[#This Row],[FECHA]])</f>
        <v>16</v>
      </c>
      <c r="F19" s="72" t="s">
        <v>152</v>
      </c>
      <c r="G19" s="73" t="s">
        <v>29</v>
      </c>
      <c r="H19" s="74">
        <v>180</v>
      </c>
      <c r="I19" s="72">
        <v>60</v>
      </c>
      <c r="J19" s="72">
        <v>13</v>
      </c>
      <c r="K19" s="75"/>
      <c r="L19" s="76"/>
      <c r="M19" s="75">
        <f>+Tabla1[[#This Row],[Rasimos Cosechados]]-Tabla1[[#This Row],[Rasimos Prosesados]]</f>
        <v>0</v>
      </c>
      <c r="N19" s="77">
        <f>+Tabla1[[#This Row],[Rasimos Cosechados]]/Tabla1[[#This Row],[Cajas Elaboradas]]</f>
        <v>0</v>
      </c>
      <c r="O19" s="78">
        <f>+Tabla1[[#This Row],[Rasimos Prosesados]]/Tabla1[[#This Row],[Cajas Elaboradas]]</f>
        <v>0</v>
      </c>
      <c r="P19" s="79">
        <f>IF(H19,'DATOS PARA CALCULO'!D$18,0)</f>
        <v>1500</v>
      </c>
      <c r="Q19" s="80">
        <f>IF(I19,'DATOS PARA CALCULO'!D$22,0)</f>
        <v>500</v>
      </c>
      <c r="R19" s="81">
        <f t="shared" si="0"/>
        <v>270000</v>
      </c>
      <c r="S19" s="80">
        <f t="shared" si="1"/>
        <v>30000</v>
      </c>
      <c r="T19" s="81">
        <f t="shared" si="2"/>
        <v>300000</v>
      </c>
      <c r="U19" s="80">
        <f>IF('CAJAS ELABORADAS'!$J19&gt;0,'CAJAS ELABORADAS'!$Y19*'CAJAS ELABORADAS'!$J19,0)</f>
        <v>390000</v>
      </c>
      <c r="V19" s="82">
        <f>'CAJAS ELABORADAS'!$Y19/'DATOS PARA CALCULO'!$D$27</f>
        <v>1</v>
      </c>
      <c r="W19" s="80">
        <f>(Tabla1[[#This Row],[Valor Pagado]]-Tabla1[[#This Row],[PRODUCIDO BOLSAS]])/Tabla1[[#This Row],[Cajas Elaboradas]]</f>
        <v>2000</v>
      </c>
      <c r="X19" s="83">
        <f t="shared" si="3"/>
        <v>23076.923076923078</v>
      </c>
      <c r="Y19" s="84">
        <f>IF('CAJAS ELABORADAS'!$X19&lt;'DATOS PARA CALCULO'!$D$27,'DATOS PARA CALCULO'!$D$27,'CAJAS ELABORADAS'!$X19)</f>
        <v>30000</v>
      </c>
      <c r="Z19" s="85">
        <f>Tabla1[[#This Row],[VALOR  A PAGAR]]-Tabla1[[#This Row],[VALOR GANADO]]</f>
        <v>6923.076923076922</v>
      </c>
    </row>
    <row r="20" spans="3:26" ht="20.100000000000001" customHeight="1" x14ac:dyDescent="0.25">
      <c r="C20" s="71">
        <v>44307</v>
      </c>
      <c r="D20" s="507">
        <f>YEAR(Tabla1[[#This Row],[FECHA]])</f>
        <v>2021</v>
      </c>
      <c r="E20" s="72">
        <f>_xlfn.ISOWEEKNUM(Tabla1[[#This Row],[FECHA]])</f>
        <v>16</v>
      </c>
      <c r="F20" s="72"/>
      <c r="G20" s="73" t="s">
        <v>30</v>
      </c>
      <c r="H20" s="74">
        <v>71</v>
      </c>
      <c r="I20" s="72">
        <v>34</v>
      </c>
      <c r="J20" s="72">
        <v>7</v>
      </c>
      <c r="K20" s="75"/>
      <c r="L20" s="76"/>
      <c r="M20" s="75">
        <f>+Tabla1[[#This Row],[Rasimos Cosechados]]-Tabla1[[#This Row],[Rasimos Prosesados]]</f>
        <v>0</v>
      </c>
      <c r="N20" s="77">
        <f>+Tabla1[[#This Row],[Rasimos Cosechados]]/Tabla1[[#This Row],[Cajas Elaboradas]]</f>
        <v>0</v>
      </c>
      <c r="O20" s="78">
        <f>+Tabla1[[#This Row],[Rasimos Prosesados]]/Tabla1[[#This Row],[Cajas Elaboradas]]</f>
        <v>0</v>
      </c>
      <c r="P20" s="79">
        <f>IF(H20,'DATOS PARA CALCULO'!D$18,0)</f>
        <v>1500</v>
      </c>
      <c r="Q20" s="80">
        <f>IF(I20,'DATOS PARA CALCULO'!D$22,0)</f>
        <v>500</v>
      </c>
      <c r="R20" s="81">
        <f t="shared" si="0"/>
        <v>106500</v>
      </c>
      <c r="S20" s="80">
        <f t="shared" si="1"/>
        <v>17000</v>
      </c>
      <c r="T20" s="81">
        <f t="shared" si="2"/>
        <v>123500</v>
      </c>
      <c r="U20" s="80">
        <f>IF('CAJAS ELABORADAS'!$J20&gt;0,'CAJAS ELABORADAS'!$Y20*'CAJAS ELABORADAS'!$J20,0)</f>
        <v>210000</v>
      </c>
      <c r="V20" s="82">
        <f>'CAJAS ELABORADAS'!$Y20/'DATOS PARA CALCULO'!$D$27</f>
        <v>1</v>
      </c>
      <c r="W20" s="80">
        <f>(Tabla1[[#This Row],[Valor Pagado]]-Tabla1[[#This Row],[PRODUCIDO BOLSAS]])/Tabla1[[#This Row],[Cajas Elaboradas]]</f>
        <v>2718.3098591549297</v>
      </c>
      <c r="X20" s="83">
        <f t="shared" si="3"/>
        <v>17642.857142857141</v>
      </c>
      <c r="Y20" s="84">
        <f>IF('CAJAS ELABORADAS'!$X20&lt;'DATOS PARA CALCULO'!$D$27,'DATOS PARA CALCULO'!$D$27,'CAJAS ELABORADAS'!$X20)</f>
        <v>30000</v>
      </c>
      <c r="Z20" s="85">
        <f>Tabla1[[#This Row],[VALOR  A PAGAR]]-Tabla1[[#This Row],[VALOR GANADO]]</f>
        <v>12357.142857142859</v>
      </c>
    </row>
    <row r="21" spans="3:26" ht="20.100000000000001" customHeight="1" x14ac:dyDescent="0.25">
      <c r="C21" s="71">
        <v>44307</v>
      </c>
      <c r="D21" s="507">
        <f>YEAR(Tabla1[[#This Row],[FECHA]])</f>
        <v>2021</v>
      </c>
      <c r="E21" s="72">
        <f>_xlfn.ISOWEEKNUM(Tabla1[[#This Row],[FECHA]])</f>
        <v>16</v>
      </c>
      <c r="F21" s="72" t="s">
        <v>152</v>
      </c>
      <c r="G21" s="73" t="s">
        <v>29</v>
      </c>
      <c r="H21" s="74">
        <v>189</v>
      </c>
      <c r="I21" s="72">
        <v>234</v>
      </c>
      <c r="J21" s="72">
        <v>15</v>
      </c>
      <c r="K21" s="75"/>
      <c r="L21" s="76"/>
      <c r="M21" s="75">
        <f>+Tabla1[[#This Row],[Rasimos Cosechados]]-Tabla1[[#This Row],[Rasimos Prosesados]]</f>
        <v>0</v>
      </c>
      <c r="N21" s="77">
        <f>+Tabla1[[#This Row],[Rasimos Cosechados]]/Tabla1[[#This Row],[Cajas Elaboradas]]</f>
        <v>0</v>
      </c>
      <c r="O21" s="78">
        <f>+Tabla1[[#This Row],[Rasimos Prosesados]]/Tabla1[[#This Row],[Cajas Elaboradas]]</f>
        <v>0</v>
      </c>
      <c r="P21" s="79">
        <f>IF(H21,'DATOS PARA CALCULO'!D$18,0)</f>
        <v>1500</v>
      </c>
      <c r="Q21" s="80">
        <f>IF(I21,'DATOS PARA CALCULO'!D$22,0)</f>
        <v>500</v>
      </c>
      <c r="R21" s="81">
        <f t="shared" si="0"/>
        <v>283500</v>
      </c>
      <c r="S21" s="80">
        <f t="shared" si="1"/>
        <v>117000</v>
      </c>
      <c r="T21" s="81">
        <f t="shared" si="2"/>
        <v>400500</v>
      </c>
      <c r="U21" s="80">
        <f>IF('CAJAS ELABORADAS'!$J21&gt;0,'CAJAS ELABORADAS'!$Y21*'CAJAS ELABORADAS'!$J21,0)</f>
        <v>450000</v>
      </c>
      <c r="V21" s="82">
        <f>'CAJAS ELABORADAS'!$Y21/'DATOS PARA CALCULO'!$D$27</f>
        <v>1</v>
      </c>
      <c r="W21" s="80">
        <f>(Tabla1[[#This Row],[Valor Pagado]]-Tabla1[[#This Row],[PRODUCIDO BOLSAS]])/Tabla1[[#This Row],[Cajas Elaboradas]]</f>
        <v>1761.9047619047619</v>
      </c>
      <c r="X21" s="83">
        <f t="shared" si="3"/>
        <v>26700</v>
      </c>
      <c r="Y21" s="84">
        <f>IF('CAJAS ELABORADAS'!$X21&lt;'DATOS PARA CALCULO'!$D$27,'DATOS PARA CALCULO'!$D$27,'CAJAS ELABORADAS'!$X21)</f>
        <v>30000</v>
      </c>
      <c r="Z21" s="85">
        <f>Tabla1[[#This Row],[VALOR  A PAGAR]]-Tabla1[[#This Row],[VALOR GANADO]]</f>
        <v>3300</v>
      </c>
    </row>
    <row r="22" spans="3:26" ht="20.100000000000001" customHeight="1" x14ac:dyDescent="0.25">
      <c r="C22" s="71">
        <v>44313</v>
      </c>
      <c r="D22" s="507">
        <f>YEAR(Tabla1[[#This Row],[FECHA]])</f>
        <v>2021</v>
      </c>
      <c r="E22" s="72">
        <f>_xlfn.ISOWEEKNUM(Tabla1[[#This Row],[FECHA]])</f>
        <v>17</v>
      </c>
      <c r="F22" s="72" t="s">
        <v>152</v>
      </c>
      <c r="G22" s="73" t="s">
        <v>29</v>
      </c>
      <c r="H22" s="74">
        <v>212</v>
      </c>
      <c r="I22" s="72">
        <v>165</v>
      </c>
      <c r="J22" s="72">
        <v>22</v>
      </c>
      <c r="K22" s="75"/>
      <c r="L22" s="76"/>
      <c r="M22" s="75">
        <f>+Tabla1[[#This Row],[Rasimos Cosechados]]-Tabla1[[#This Row],[Rasimos Prosesados]]</f>
        <v>0</v>
      </c>
      <c r="N22" s="77">
        <f>+Tabla1[[#This Row],[Rasimos Cosechados]]/Tabla1[[#This Row],[Cajas Elaboradas]]</f>
        <v>0</v>
      </c>
      <c r="O22" s="78">
        <f>+Tabla1[[#This Row],[Rasimos Prosesados]]/Tabla1[[#This Row],[Cajas Elaboradas]]</f>
        <v>0</v>
      </c>
      <c r="P22" s="79">
        <f>IF(H22,'DATOS PARA CALCULO'!D$18,0)</f>
        <v>1500</v>
      </c>
      <c r="Q22" s="80">
        <f>IF(I22,'DATOS PARA CALCULO'!D$22,0)</f>
        <v>500</v>
      </c>
      <c r="R22" s="81">
        <f t="shared" si="0"/>
        <v>318000</v>
      </c>
      <c r="S22" s="80">
        <f t="shared" si="1"/>
        <v>82500</v>
      </c>
      <c r="T22" s="81">
        <f t="shared" si="2"/>
        <v>400500</v>
      </c>
      <c r="U22" s="80">
        <f>IF('CAJAS ELABORADAS'!$J22&gt;0,'CAJAS ELABORADAS'!$Y22*'CAJAS ELABORADAS'!$J22,0)</f>
        <v>660000</v>
      </c>
      <c r="V22" s="82">
        <f>'CAJAS ELABORADAS'!$Y22/'DATOS PARA CALCULO'!$D$27</f>
        <v>1</v>
      </c>
      <c r="W22" s="80">
        <f>(Tabla1[[#This Row],[Valor Pagado]]-Tabla1[[#This Row],[PRODUCIDO BOLSAS]])/Tabla1[[#This Row],[Cajas Elaboradas]]</f>
        <v>2724.0566037735848</v>
      </c>
      <c r="X22" s="83">
        <f t="shared" si="3"/>
        <v>18204.545454545456</v>
      </c>
      <c r="Y22" s="84">
        <f>IF('CAJAS ELABORADAS'!$X22&lt;'DATOS PARA CALCULO'!$D$27,'DATOS PARA CALCULO'!$D$27,'CAJAS ELABORADAS'!$X22)</f>
        <v>30000</v>
      </c>
      <c r="Z22" s="85">
        <f>Tabla1[[#This Row],[VALOR  A PAGAR]]-Tabla1[[#This Row],[VALOR GANADO]]</f>
        <v>11795.454545454544</v>
      </c>
    </row>
    <row r="23" spans="3:26" ht="20.100000000000001" customHeight="1" x14ac:dyDescent="0.25">
      <c r="C23" s="71">
        <v>44313</v>
      </c>
      <c r="D23" s="507">
        <f>YEAR(Tabla1[[#This Row],[FECHA]])</f>
        <v>2021</v>
      </c>
      <c r="E23" s="72">
        <f>_xlfn.ISOWEEKNUM(Tabla1[[#This Row],[FECHA]])</f>
        <v>17</v>
      </c>
      <c r="F23" s="57" t="s">
        <v>155</v>
      </c>
      <c r="G23" s="73" t="s">
        <v>28</v>
      </c>
      <c r="H23" s="74">
        <v>83</v>
      </c>
      <c r="I23" s="72">
        <v>35</v>
      </c>
      <c r="J23" s="72">
        <v>8</v>
      </c>
      <c r="K23" s="75"/>
      <c r="L23" s="76"/>
      <c r="M23" s="75">
        <f>+Tabla1[[#This Row],[Rasimos Cosechados]]-Tabla1[[#This Row],[Rasimos Prosesados]]</f>
        <v>0</v>
      </c>
      <c r="N23" s="77">
        <f>+Tabla1[[#This Row],[Rasimos Cosechados]]/Tabla1[[#This Row],[Cajas Elaboradas]]</f>
        <v>0</v>
      </c>
      <c r="O23" s="78">
        <f>+Tabla1[[#This Row],[Rasimos Prosesados]]/Tabla1[[#This Row],[Cajas Elaboradas]]</f>
        <v>0</v>
      </c>
      <c r="P23" s="79">
        <f>IF(H23,'DATOS PARA CALCULO'!D$18,0)</f>
        <v>1500</v>
      </c>
      <c r="Q23" s="80">
        <f>IF(I23,'DATOS PARA CALCULO'!D$22,0)</f>
        <v>500</v>
      </c>
      <c r="R23" s="81">
        <f t="shared" si="0"/>
        <v>124500</v>
      </c>
      <c r="S23" s="80">
        <f t="shared" si="1"/>
        <v>17500</v>
      </c>
      <c r="T23" s="81">
        <f t="shared" si="2"/>
        <v>142000</v>
      </c>
      <c r="U23" s="80">
        <f>IF('CAJAS ELABORADAS'!$J23&gt;0,'CAJAS ELABORADAS'!$Y23*'CAJAS ELABORADAS'!$J23,0)</f>
        <v>240000</v>
      </c>
      <c r="V23" s="82">
        <f>'CAJAS ELABORADAS'!$Y23/'DATOS PARA CALCULO'!$D$27</f>
        <v>1</v>
      </c>
      <c r="W23" s="80">
        <f>(Tabla1[[#This Row],[Valor Pagado]]-Tabla1[[#This Row],[PRODUCIDO BOLSAS]])/Tabla1[[#This Row],[Cajas Elaboradas]]</f>
        <v>2680.7228915662649</v>
      </c>
      <c r="X23" s="83">
        <f t="shared" si="3"/>
        <v>17750</v>
      </c>
      <c r="Y23" s="84">
        <f>IF('CAJAS ELABORADAS'!$X23&lt;'DATOS PARA CALCULO'!$D$27,'DATOS PARA CALCULO'!$D$27,'CAJAS ELABORADAS'!$X23)</f>
        <v>30000</v>
      </c>
      <c r="Z23" s="85">
        <f>Tabla1[[#This Row],[VALOR  A PAGAR]]-Tabla1[[#This Row],[VALOR GANADO]]</f>
        <v>12250</v>
      </c>
    </row>
    <row r="24" spans="3:26" ht="20.100000000000001" customHeight="1" x14ac:dyDescent="0.25">
      <c r="C24" s="71">
        <v>44320</v>
      </c>
      <c r="D24" s="507">
        <f>YEAR(Tabla1[[#This Row],[FECHA]])</f>
        <v>2021</v>
      </c>
      <c r="E24" s="72">
        <f>_xlfn.ISOWEEKNUM(Tabla1[[#This Row],[FECHA]])</f>
        <v>18</v>
      </c>
      <c r="F24" s="72" t="s">
        <v>152</v>
      </c>
      <c r="G24" s="73" t="s">
        <v>29</v>
      </c>
      <c r="H24" s="74">
        <v>66</v>
      </c>
      <c r="I24" s="72">
        <v>19</v>
      </c>
      <c r="J24" s="72">
        <v>11</v>
      </c>
      <c r="K24" s="75"/>
      <c r="L24" s="76"/>
      <c r="M24" s="75">
        <f>+Tabla1[[#This Row],[Rasimos Cosechados]]-Tabla1[[#This Row],[Rasimos Prosesados]]</f>
        <v>0</v>
      </c>
      <c r="N24" s="77">
        <f>+Tabla1[[#This Row],[Rasimos Cosechados]]/Tabla1[[#This Row],[Cajas Elaboradas]]</f>
        <v>0</v>
      </c>
      <c r="O24" s="78">
        <f>+Tabla1[[#This Row],[Rasimos Prosesados]]/Tabla1[[#This Row],[Cajas Elaboradas]]</f>
        <v>0</v>
      </c>
      <c r="P24" s="79">
        <f>IF(H24,'DATOS PARA CALCULO'!D$18,0)</f>
        <v>1500</v>
      </c>
      <c r="Q24" s="80">
        <f>IF(I24,'DATOS PARA CALCULO'!D$22,0)</f>
        <v>500</v>
      </c>
      <c r="R24" s="81">
        <f t="shared" si="0"/>
        <v>99000</v>
      </c>
      <c r="S24" s="80">
        <f t="shared" si="1"/>
        <v>9500</v>
      </c>
      <c r="T24" s="81">
        <f t="shared" si="2"/>
        <v>108500</v>
      </c>
      <c r="U24" s="80">
        <f>IF('CAJAS ELABORADAS'!$J24&gt;0,'CAJAS ELABORADAS'!$Y24*'CAJAS ELABORADAS'!$J24,0)</f>
        <v>330000</v>
      </c>
      <c r="V24" s="82">
        <f>'CAJAS ELABORADAS'!$Y24/'DATOS PARA CALCULO'!$D$27</f>
        <v>1</v>
      </c>
      <c r="W24" s="80">
        <f>(Tabla1[[#This Row],[Valor Pagado]]-Tabla1[[#This Row],[PRODUCIDO BOLSAS]])/Tabla1[[#This Row],[Cajas Elaboradas]]</f>
        <v>4856.060606060606</v>
      </c>
      <c r="X24" s="83">
        <f t="shared" si="3"/>
        <v>9863.636363636364</v>
      </c>
      <c r="Y24" s="84">
        <f>IF('CAJAS ELABORADAS'!$X24&lt;'DATOS PARA CALCULO'!$D$27,'DATOS PARA CALCULO'!$D$27,'CAJAS ELABORADAS'!$X24)</f>
        <v>30000</v>
      </c>
      <c r="Z24" s="85">
        <f>Tabla1[[#This Row],[VALOR  A PAGAR]]-Tabla1[[#This Row],[VALOR GANADO]]</f>
        <v>20136.363636363636</v>
      </c>
    </row>
    <row r="25" spans="3:26" ht="20.100000000000001" customHeight="1" x14ac:dyDescent="0.25">
      <c r="C25" s="71">
        <v>44320</v>
      </c>
      <c r="D25" s="507">
        <f>YEAR(Tabla1[[#This Row],[FECHA]])</f>
        <v>2021</v>
      </c>
      <c r="E25" s="72">
        <f>_xlfn.ISOWEEKNUM(Tabla1[[#This Row],[FECHA]])</f>
        <v>18</v>
      </c>
      <c r="F25" s="57" t="s">
        <v>155</v>
      </c>
      <c r="G25" s="73" t="s">
        <v>28</v>
      </c>
      <c r="H25" s="74">
        <v>125</v>
      </c>
      <c r="I25" s="72">
        <v>70</v>
      </c>
      <c r="J25" s="72">
        <v>10</v>
      </c>
      <c r="K25" s="75"/>
      <c r="L25" s="76"/>
      <c r="M25" s="75">
        <f>+Tabla1[[#This Row],[Rasimos Cosechados]]-Tabla1[[#This Row],[Rasimos Prosesados]]</f>
        <v>0</v>
      </c>
      <c r="N25" s="77">
        <f>+Tabla1[[#This Row],[Rasimos Cosechados]]/Tabla1[[#This Row],[Cajas Elaboradas]]</f>
        <v>0</v>
      </c>
      <c r="O25" s="78">
        <f>+Tabla1[[#This Row],[Rasimos Prosesados]]/Tabla1[[#This Row],[Cajas Elaboradas]]</f>
        <v>0</v>
      </c>
      <c r="P25" s="79">
        <f>IF(H25,'DATOS PARA CALCULO'!D$18,0)</f>
        <v>1500</v>
      </c>
      <c r="Q25" s="80">
        <f>IF(I25,'DATOS PARA CALCULO'!D$22,0)</f>
        <v>500</v>
      </c>
      <c r="R25" s="81">
        <f t="shared" si="0"/>
        <v>187500</v>
      </c>
      <c r="S25" s="80">
        <f t="shared" si="1"/>
        <v>35000</v>
      </c>
      <c r="T25" s="81">
        <f t="shared" si="2"/>
        <v>222500</v>
      </c>
      <c r="U25" s="80">
        <f>IF('CAJAS ELABORADAS'!$J25&gt;0,'CAJAS ELABORADAS'!$Y25*'CAJAS ELABORADAS'!$J25,0)</f>
        <v>300000</v>
      </c>
      <c r="V25" s="82">
        <f>'CAJAS ELABORADAS'!$Y25/'DATOS PARA CALCULO'!$D$27</f>
        <v>1</v>
      </c>
      <c r="W25" s="80">
        <f>(Tabla1[[#This Row],[Valor Pagado]]-Tabla1[[#This Row],[PRODUCIDO BOLSAS]])/Tabla1[[#This Row],[Cajas Elaboradas]]</f>
        <v>2120</v>
      </c>
      <c r="X25" s="83">
        <f t="shared" si="3"/>
        <v>22250</v>
      </c>
      <c r="Y25" s="84">
        <f>IF('CAJAS ELABORADAS'!$X25&lt;'DATOS PARA CALCULO'!$D$27,'DATOS PARA CALCULO'!$D$27,'CAJAS ELABORADAS'!$X25)</f>
        <v>30000</v>
      </c>
      <c r="Z25" s="85">
        <f>Tabla1[[#This Row],[VALOR  A PAGAR]]-Tabla1[[#This Row],[VALOR GANADO]]</f>
        <v>7750</v>
      </c>
    </row>
    <row r="26" spans="3:26" ht="20.100000000000001" customHeight="1" x14ac:dyDescent="0.25">
      <c r="C26" s="71">
        <v>44320</v>
      </c>
      <c r="D26" s="507">
        <f>YEAR(Tabla1[[#This Row],[FECHA]])</f>
        <v>2021</v>
      </c>
      <c r="E26" s="72">
        <f>_xlfn.ISOWEEKNUM(Tabla1[[#This Row],[FECHA]])</f>
        <v>18</v>
      </c>
      <c r="F26" s="72" t="s">
        <v>157</v>
      </c>
      <c r="G26" s="73" t="s">
        <v>31</v>
      </c>
      <c r="H26" s="74">
        <v>54</v>
      </c>
      <c r="I26" s="72">
        <v>75</v>
      </c>
      <c r="J26" s="72">
        <v>11</v>
      </c>
      <c r="K26" s="75"/>
      <c r="L26" s="76"/>
      <c r="M26" s="75">
        <f>+Tabla1[[#This Row],[Rasimos Cosechados]]-Tabla1[[#This Row],[Rasimos Prosesados]]</f>
        <v>0</v>
      </c>
      <c r="N26" s="77">
        <f>+Tabla1[[#This Row],[Rasimos Cosechados]]/Tabla1[[#This Row],[Cajas Elaboradas]]</f>
        <v>0</v>
      </c>
      <c r="O26" s="78">
        <f>+Tabla1[[#This Row],[Rasimos Prosesados]]/Tabla1[[#This Row],[Cajas Elaboradas]]</f>
        <v>0</v>
      </c>
      <c r="P26" s="79">
        <v>3000</v>
      </c>
      <c r="Q26" s="80">
        <f>IF(I26,'DATOS PARA CALCULO'!D$22,0)</f>
        <v>500</v>
      </c>
      <c r="R26" s="81">
        <f t="shared" si="0"/>
        <v>162000</v>
      </c>
      <c r="S26" s="80">
        <f t="shared" si="1"/>
        <v>37500</v>
      </c>
      <c r="T26" s="81">
        <f t="shared" si="2"/>
        <v>199500</v>
      </c>
      <c r="U26" s="80">
        <f>IF('CAJAS ELABORADAS'!$J26&gt;0,'CAJAS ELABORADAS'!$Y26*'CAJAS ELABORADAS'!$J26,0)</f>
        <v>330000</v>
      </c>
      <c r="V26" s="82">
        <f>'CAJAS ELABORADAS'!$Y26/'DATOS PARA CALCULO'!$D$27</f>
        <v>1</v>
      </c>
      <c r="W26" s="80">
        <f>(Tabla1[[#This Row],[Valor Pagado]]-Tabla1[[#This Row],[PRODUCIDO BOLSAS]])/Tabla1[[#This Row],[Cajas Elaboradas]]</f>
        <v>5416.666666666667</v>
      </c>
      <c r="X26" s="83">
        <f t="shared" si="3"/>
        <v>18136.363636363636</v>
      </c>
      <c r="Y26" s="84">
        <f>IF('CAJAS ELABORADAS'!$X26&lt;'DATOS PARA CALCULO'!$D$27,'DATOS PARA CALCULO'!$D$27,'CAJAS ELABORADAS'!$X26)</f>
        <v>30000</v>
      </c>
      <c r="Z26" s="85">
        <f>Tabla1[[#This Row],[VALOR  A PAGAR]]-Tabla1[[#This Row],[VALOR GANADO]]</f>
        <v>11863.636363636364</v>
      </c>
    </row>
    <row r="27" spans="3:26" ht="20.100000000000001" customHeight="1" x14ac:dyDescent="0.25">
      <c r="C27" s="71">
        <v>44321</v>
      </c>
      <c r="D27" s="507">
        <f>YEAR(Tabla1[[#This Row],[FECHA]])</f>
        <v>2021</v>
      </c>
      <c r="E27" s="72">
        <f>_xlfn.ISOWEEKNUM(Tabla1[[#This Row],[FECHA]])</f>
        <v>18</v>
      </c>
      <c r="F27" s="72" t="s">
        <v>152</v>
      </c>
      <c r="G27" s="73" t="s">
        <v>29</v>
      </c>
      <c r="H27" s="74">
        <v>175</v>
      </c>
      <c r="I27" s="72">
        <v>103</v>
      </c>
      <c r="J27" s="72">
        <v>17</v>
      </c>
      <c r="K27" s="75"/>
      <c r="L27" s="76"/>
      <c r="M27" s="75">
        <f>+Tabla1[[#This Row],[Rasimos Cosechados]]-Tabla1[[#This Row],[Rasimos Prosesados]]</f>
        <v>0</v>
      </c>
      <c r="N27" s="77">
        <f>+Tabla1[[#This Row],[Rasimos Cosechados]]/Tabla1[[#This Row],[Cajas Elaboradas]]</f>
        <v>0</v>
      </c>
      <c r="O27" s="78">
        <f>+Tabla1[[#This Row],[Rasimos Prosesados]]/Tabla1[[#This Row],[Cajas Elaboradas]]</f>
        <v>0</v>
      </c>
      <c r="P27" s="79">
        <f>IF(H27,'DATOS PARA CALCULO'!D$18,0)</f>
        <v>1500</v>
      </c>
      <c r="Q27" s="80">
        <f>IF(I27,'DATOS PARA CALCULO'!D$22,0)</f>
        <v>500</v>
      </c>
      <c r="R27" s="81">
        <f t="shared" si="0"/>
        <v>262500</v>
      </c>
      <c r="S27" s="80">
        <f t="shared" si="1"/>
        <v>51500</v>
      </c>
      <c r="T27" s="81">
        <f t="shared" si="2"/>
        <v>314000</v>
      </c>
      <c r="U27" s="80">
        <f>IF('CAJAS ELABORADAS'!$J27&gt;0,'CAJAS ELABORADAS'!$Y27*'CAJAS ELABORADAS'!$J27,0)</f>
        <v>510000</v>
      </c>
      <c r="V27" s="82">
        <f>'CAJAS ELABORADAS'!$Y27/'DATOS PARA CALCULO'!$D$27</f>
        <v>1</v>
      </c>
      <c r="W27" s="80">
        <f>(Tabla1[[#This Row],[Valor Pagado]]-Tabla1[[#This Row],[PRODUCIDO BOLSAS]])/Tabla1[[#This Row],[Cajas Elaboradas]]</f>
        <v>2620</v>
      </c>
      <c r="X27" s="83">
        <f t="shared" si="3"/>
        <v>18470.588235294119</v>
      </c>
      <c r="Y27" s="84">
        <f>IF('CAJAS ELABORADAS'!$X27&lt;'DATOS PARA CALCULO'!$D$27,'DATOS PARA CALCULO'!$D$27,'CAJAS ELABORADAS'!$X27)</f>
        <v>30000</v>
      </c>
      <c r="Z27" s="85">
        <f>Tabla1[[#This Row],[VALOR  A PAGAR]]-Tabla1[[#This Row],[VALOR GANADO]]</f>
        <v>11529.411764705881</v>
      </c>
    </row>
    <row r="28" spans="3:26" ht="20.100000000000001" customHeight="1" x14ac:dyDescent="0.25">
      <c r="C28" s="71">
        <v>44321</v>
      </c>
      <c r="D28" s="507">
        <f>YEAR(Tabla1[[#This Row],[FECHA]])</f>
        <v>2021</v>
      </c>
      <c r="E28" s="72">
        <f>_xlfn.ISOWEEKNUM(Tabla1[[#This Row],[FECHA]])</f>
        <v>18</v>
      </c>
      <c r="F28" s="72"/>
      <c r="G28" s="73" t="s">
        <v>30</v>
      </c>
      <c r="H28" s="74">
        <v>80</v>
      </c>
      <c r="I28" s="72">
        <v>34</v>
      </c>
      <c r="J28" s="72">
        <v>7</v>
      </c>
      <c r="K28" s="75"/>
      <c r="L28" s="76"/>
      <c r="M28" s="75">
        <f>+Tabla1[[#This Row],[Rasimos Cosechados]]-Tabla1[[#This Row],[Rasimos Prosesados]]</f>
        <v>0</v>
      </c>
      <c r="N28" s="77">
        <f>+Tabla1[[#This Row],[Rasimos Cosechados]]/Tabla1[[#This Row],[Cajas Elaboradas]]</f>
        <v>0</v>
      </c>
      <c r="O28" s="78">
        <f>+Tabla1[[#This Row],[Rasimos Prosesados]]/Tabla1[[#This Row],[Cajas Elaboradas]]</f>
        <v>0</v>
      </c>
      <c r="P28" s="79">
        <f>IF(H28,'DATOS PARA CALCULO'!D$18,0)</f>
        <v>1500</v>
      </c>
      <c r="Q28" s="80">
        <f>IF(I28,'DATOS PARA CALCULO'!D$22,0)</f>
        <v>500</v>
      </c>
      <c r="R28" s="81">
        <f t="shared" si="0"/>
        <v>120000</v>
      </c>
      <c r="S28" s="80">
        <f t="shared" si="1"/>
        <v>17000</v>
      </c>
      <c r="T28" s="81">
        <f t="shared" si="2"/>
        <v>137000</v>
      </c>
      <c r="U28" s="80">
        <f>IF('CAJAS ELABORADAS'!$J28&gt;0,'CAJAS ELABORADAS'!$Y28*'CAJAS ELABORADAS'!$J28,0)</f>
        <v>210000</v>
      </c>
      <c r="V28" s="82">
        <f>'CAJAS ELABORADAS'!$Y28/'DATOS PARA CALCULO'!$D$27</f>
        <v>1</v>
      </c>
      <c r="W28" s="80">
        <f>(Tabla1[[#This Row],[Valor Pagado]]-Tabla1[[#This Row],[PRODUCIDO BOLSAS]])/Tabla1[[#This Row],[Cajas Elaboradas]]</f>
        <v>2412.5</v>
      </c>
      <c r="X28" s="83">
        <f t="shared" si="3"/>
        <v>19571.428571428572</v>
      </c>
      <c r="Y28" s="84">
        <f>IF('CAJAS ELABORADAS'!$X28&lt;'DATOS PARA CALCULO'!$D$27,'DATOS PARA CALCULO'!$D$27,'CAJAS ELABORADAS'!$X28)</f>
        <v>30000</v>
      </c>
      <c r="Z28" s="85">
        <f>Tabla1[[#This Row],[VALOR  A PAGAR]]-Tabla1[[#This Row],[VALOR GANADO]]</f>
        <v>10428.571428571428</v>
      </c>
    </row>
    <row r="29" spans="3:26" ht="20.100000000000001" customHeight="1" x14ac:dyDescent="0.25">
      <c r="C29" s="71">
        <v>44327</v>
      </c>
      <c r="D29" s="507">
        <f>YEAR(Tabla1[[#This Row],[FECHA]])</f>
        <v>2021</v>
      </c>
      <c r="E29" s="72">
        <f>_xlfn.ISOWEEKNUM(Tabla1[[#This Row],[FECHA]])</f>
        <v>19</v>
      </c>
      <c r="F29" s="72" t="s">
        <v>152</v>
      </c>
      <c r="G29" s="73" t="s">
        <v>29</v>
      </c>
      <c r="H29" s="74">
        <v>141</v>
      </c>
      <c r="I29" s="72">
        <v>76</v>
      </c>
      <c r="J29" s="72">
        <v>12</v>
      </c>
      <c r="K29" s="75"/>
      <c r="L29" s="76"/>
      <c r="M29" s="75">
        <f>+Tabla1[[#This Row],[Rasimos Cosechados]]-Tabla1[[#This Row],[Rasimos Prosesados]]</f>
        <v>0</v>
      </c>
      <c r="N29" s="77">
        <f>+Tabla1[[#This Row],[Rasimos Cosechados]]/Tabla1[[#This Row],[Cajas Elaboradas]]</f>
        <v>0</v>
      </c>
      <c r="O29" s="78">
        <f>+Tabla1[[#This Row],[Rasimos Prosesados]]/Tabla1[[#This Row],[Cajas Elaboradas]]</f>
        <v>0</v>
      </c>
      <c r="P29" s="79">
        <f>IF(H29,'DATOS PARA CALCULO'!D$18,0)</f>
        <v>1500</v>
      </c>
      <c r="Q29" s="80">
        <f>IF(I29,'DATOS PARA CALCULO'!D$22,0)</f>
        <v>500</v>
      </c>
      <c r="R29" s="81">
        <f t="shared" si="0"/>
        <v>211500</v>
      </c>
      <c r="S29" s="80">
        <f t="shared" si="1"/>
        <v>38000</v>
      </c>
      <c r="T29" s="81">
        <f t="shared" si="2"/>
        <v>249500</v>
      </c>
      <c r="U29" s="80">
        <f>IF('CAJAS ELABORADAS'!$J29&gt;0,'CAJAS ELABORADAS'!$Y29*'CAJAS ELABORADAS'!$J29,0)</f>
        <v>360000</v>
      </c>
      <c r="V29" s="82">
        <f>'CAJAS ELABORADAS'!$Y29/'DATOS PARA CALCULO'!$D$27</f>
        <v>1</v>
      </c>
      <c r="W29" s="80">
        <f>(Tabla1[[#This Row],[Valor Pagado]]-Tabla1[[#This Row],[PRODUCIDO BOLSAS]])/Tabla1[[#This Row],[Cajas Elaboradas]]</f>
        <v>2283.6879432624114</v>
      </c>
      <c r="X29" s="83">
        <f t="shared" si="3"/>
        <v>20791.666666666668</v>
      </c>
      <c r="Y29" s="84">
        <f>IF('CAJAS ELABORADAS'!$X29&lt;'DATOS PARA CALCULO'!$D$27,'DATOS PARA CALCULO'!$D$27,'CAJAS ELABORADAS'!$X29)</f>
        <v>30000</v>
      </c>
      <c r="Z29" s="85">
        <f>Tabla1[[#This Row],[VALOR  A PAGAR]]-Tabla1[[#This Row],[VALOR GANADO]]</f>
        <v>9208.3333333333321</v>
      </c>
    </row>
    <row r="30" spans="3:26" ht="20.100000000000001" customHeight="1" x14ac:dyDescent="0.25">
      <c r="C30" s="71">
        <v>44327</v>
      </c>
      <c r="D30" s="507">
        <f>YEAR(Tabla1[[#This Row],[FECHA]])</f>
        <v>2021</v>
      </c>
      <c r="E30" s="72">
        <f>_xlfn.ISOWEEKNUM(Tabla1[[#This Row],[FECHA]])</f>
        <v>19</v>
      </c>
      <c r="F30" s="72"/>
      <c r="G30" s="73" t="s">
        <v>30</v>
      </c>
      <c r="H30" s="74">
        <v>50</v>
      </c>
      <c r="I30" s="72">
        <v>24</v>
      </c>
      <c r="J30" s="72">
        <v>7</v>
      </c>
      <c r="K30" s="75"/>
      <c r="L30" s="76"/>
      <c r="M30" s="75">
        <f>+Tabla1[[#This Row],[Rasimos Cosechados]]-Tabla1[[#This Row],[Rasimos Prosesados]]</f>
        <v>0</v>
      </c>
      <c r="N30" s="77">
        <f>+Tabla1[[#This Row],[Rasimos Cosechados]]/Tabla1[[#This Row],[Cajas Elaboradas]]</f>
        <v>0</v>
      </c>
      <c r="O30" s="78">
        <f>+Tabla1[[#This Row],[Rasimos Prosesados]]/Tabla1[[#This Row],[Cajas Elaboradas]]</f>
        <v>0</v>
      </c>
      <c r="P30" s="79">
        <f>IF(H30,'DATOS PARA CALCULO'!D$18,0)</f>
        <v>1500</v>
      </c>
      <c r="Q30" s="80">
        <f>IF(I30,'DATOS PARA CALCULO'!D$22,0)</f>
        <v>500</v>
      </c>
      <c r="R30" s="81">
        <f t="shared" si="0"/>
        <v>75000</v>
      </c>
      <c r="S30" s="80">
        <f t="shared" si="1"/>
        <v>12000</v>
      </c>
      <c r="T30" s="81">
        <f t="shared" si="2"/>
        <v>87000</v>
      </c>
      <c r="U30" s="80">
        <f>IF('CAJAS ELABORADAS'!$J30&gt;0,'CAJAS ELABORADAS'!$Y30*'CAJAS ELABORADAS'!$J30,0)</f>
        <v>210000</v>
      </c>
      <c r="V30" s="82">
        <f>'CAJAS ELABORADAS'!$Y30/'DATOS PARA CALCULO'!$D$27</f>
        <v>1</v>
      </c>
      <c r="W30" s="80">
        <f>(Tabla1[[#This Row],[Valor Pagado]]-Tabla1[[#This Row],[PRODUCIDO BOLSAS]])/Tabla1[[#This Row],[Cajas Elaboradas]]</f>
        <v>3960</v>
      </c>
      <c r="X30" s="83">
        <f t="shared" si="3"/>
        <v>12428.571428571429</v>
      </c>
      <c r="Y30" s="84">
        <f>IF('CAJAS ELABORADAS'!$X30&lt;'DATOS PARA CALCULO'!$D$27,'DATOS PARA CALCULO'!$D$27,'CAJAS ELABORADAS'!$X30)</f>
        <v>30000</v>
      </c>
      <c r="Z30" s="85">
        <f>Tabla1[[#This Row],[VALOR  A PAGAR]]-Tabla1[[#This Row],[VALOR GANADO]]</f>
        <v>17571.428571428572</v>
      </c>
    </row>
    <row r="31" spans="3:26" ht="20.100000000000001" customHeight="1" x14ac:dyDescent="0.25">
      <c r="C31" s="71">
        <v>44327</v>
      </c>
      <c r="D31" s="507">
        <f>YEAR(Tabla1[[#This Row],[FECHA]])</f>
        <v>2021</v>
      </c>
      <c r="E31" s="72">
        <f>_xlfn.ISOWEEKNUM(Tabla1[[#This Row],[FECHA]])</f>
        <v>19</v>
      </c>
      <c r="F31" s="72" t="s">
        <v>157</v>
      </c>
      <c r="G31" s="73" t="s">
        <v>31</v>
      </c>
      <c r="H31" s="74">
        <v>31</v>
      </c>
      <c r="I31" s="72">
        <v>70</v>
      </c>
      <c r="J31" s="72">
        <v>12</v>
      </c>
      <c r="K31" s="75"/>
      <c r="L31" s="76"/>
      <c r="M31" s="75">
        <f>+Tabla1[[#This Row],[Rasimos Cosechados]]-Tabla1[[#This Row],[Rasimos Prosesados]]</f>
        <v>0</v>
      </c>
      <c r="N31" s="77">
        <f>+Tabla1[[#This Row],[Rasimos Cosechados]]/Tabla1[[#This Row],[Cajas Elaboradas]]</f>
        <v>0</v>
      </c>
      <c r="O31" s="78">
        <f>+Tabla1[[#This Row],[Rasimos Prosesados]]/Tabla1[[#This Row],[Cajas Elaboradas]]</f>
        <v>0</v>
      </c>
      <c r="P31" s="79">
        <v>3000</v>
      </c>
      <c r="Q31" s="80">
        <f>IF(I31,'DATOS PARA CALCULO'!D$22,0)</f>
        <v>500</v>
      </c>
      <c r="R31" s="81">
        <f t="shared" si="0"/>
        <v>93000</v>
      </c>
      <c r="S31" s="80">
        <f t="shared" si="1"/>
        <v>35000</v>
      </c>
      <c r="T31" s="81">
        <f t="shared" si="2"/>
        <v>128000</v>
      </c>
      <c r="U31" s="80">
        <f>IF('CAJAS ELABORADAS'!$J31&gt;0,'CAJAS ELABORADAS'!$Y31*'CAJAS ELABORADAS'!$J31,0)</f>
        <v>360000</v>
      </c>
      <c r="V31" s="82">
        <f>'CAJAS ELABORADAS'!$Y31/'DATOS PARA CALCULO'!$D$27</f>
        <v>1</v>
      </c>
      <c r="W31" s="80">
        <f>(Tabla1[[#This Row],[Valor Pagado]]-Tabla1[[#This Row],[PRODUCIDO BOLSAS]])/Tabla1[[#This Row],[Cajas Elaboradas]]</f>
        <v>10483.870967741936</v>
      </c>
      <c r="X31" s="83">
        <f t="shared" si="3"/>
        <v>10666.666666666666</v>
      </c>
      <c r="Y31" s="84">
        <f>IF('CAJAS ELABORADAS'!$X31&lt;'DATOS PARA CALCULO'!$D$27,'DATOS PARA CALCULO'!$D$27,'CAJAS ELABORADAS'!$X31)</f>
        <v>30000</v>
      </c>
      <c r="Z31" s="85">
        <f>Tabla1[[#This Row],[VALOR  A PAGAR]]-Tabla1[[#This Row],[VALOR GANADO]]</f>
        <v>19333.333333333336</v>
      </c>
    </row>
    <row r="32" spans="3:26" ht="20.100000000000001" customHeight="1" x14ac:dyDescent="0.25">
      <c r="C32" s="71">
        <v>44328</v>
      </c>
      <c r="D32" s="507">
        <f>YEAR(Tabla1[[#This Row],[FECHA]])</f>
        <v>2021</v>
      </c>
      <c r="E32" s="72">
        <f>_xlfn.ISOWEEKNUM(Tabla1[[#This Row],[FECHA]])</f>
        <v>19</v>
      </c>
      <c r="F32" s="72" t="s">
        <v>152</v>
      </c>
      <c r="G32" s="73" t="s">
        <v>29</v>
      </c>
      <c r="H32" s="74">
        <v>226</v>
      </c>
      <c r="I32" s="72">
        <f>156+36</f>
        <v>192</v>
      </c>
      <c r="J32" s="72">
        <v>20</v>
      </c>
      <c r="K32" s="75"/>
      <c r="L32" s="76"/>
      <c r="M32" s="75">
        <f>+Tabla1[[#This Row],[Rasimos Cosechados]]-Tabla1[[#This Row],[Rasimos Prosesados]]</f>
        <v>0</v>
      </c>
      <c r="N32" s="77">
        <f>+Tabla1[[#This Row],[Rasimos Cosechados]]/Tabla1[[#This Row],[Cajas Elaboradas]]</f>
        <v>0</v>
      </c>
      <c r="O32" s="78">
        <f>+Tabla1[[#This Row],[Rasimos Prosesados]]/Tabla1[[#This Row],[Cajas Elaboradas]]</f>
        <v>0</v>
      </c>
      <c r="P32" s="79">
        <f>IF(H32,'DATOS PARA CALCULO'!D$18,0)</f>
        <v>1500</v>
      </c>
      <c r="Q32" s="80">
        <f>IF(I32,'DATOS PARA CALCULO'!D$22,0)</f>
        <v>500</v>
      </c>
      <c r="R32" s="81">
        <f t="shared" si="0"/>
        <v>339000</v>
      </c>
      <c r="S32" s="80">
        <f t="shared" si="1"/>
        <v>96000</v>
      </c>
      <c r="T32" s="81">
        <f t="shared" si="2"/>
        <v>435000</v>
      </c>
      <c r="U32" s="80">
        <f>IF('CAJAS ELABORADAS'!$J32&gt;0,'CAJAS ELABORADAS'!$Y32*'CAJAS ELABORADAS'!$J32,0)</f>
        <v>600000</v>
      </c>
      <c r="V32" s="82">
        <f>'CAJAS ELABORADAS'!$Y32/'DATOS PARA CALCULO'!$D$27</f>
        <v>1</v>
      </c>
      <c r="W32" s="80">
        <f>(Tabla1[[#This Row],[Valor Pagado]]-Tabla1[[#This Row],[PRODUCIDO BOLSAS]])/Tabla1[[#This Row],[Cajas Elaboradas]]</f>
        <v>2230.0884955752213</v>
      </c>
      <c r="X32" s="83">
        <f t="shared" si="3"/>
        <v>21750</v>
      </c>
      <c r="Y32" s="84">
        <f>IF('CAJAS ELABORADAS'!$X32&lt;'DATOS PARA CALCULO'!$D$27,'DATOS PARA CALCULO'!$D$27,'CAJAS ELABORADAS'!$X32)</f>
        <v>30000</v>
      </c>
      <c r="Z32" s="85">
        <f>Tabla1[[#This Row],[VALOR  A PAGAR]]-Tabla1[[#This Row],[VALOR GANADO]]</f>
        <v>8250</v>
      </c>
    </row>
    <row r="33" spans="3:26" ht="20.100000000000001" customHeight="1" x14ac:dyDescent="0.25">
      <c r="C33" s="71">
        <v>44328</v>
      </c>
      <c r="D33" s="507">
        <f>YEAR(Tabla1[[#This Row],[FECHA]])</f>
        <v>2021</v>
      </c>
      <c r="E33" s="72">
        <f>_xlfn.ISOWEEKNUM(Tabla1[[#This Row],[FECHA]])</f>
        <v>19</v>
      </c>
      <c r="F33" s="57" t="s">
        <v>155</v>
      </c>
      <c r="G33" s="73" t="s">
        <v>28</v>
      </c>
      <c r="H33" s="74">
        <v>74</v>
      </c>
      <c r="I33" s="72">
        <v>40</v>
      </c>
      <c r="J33" s="72">
        <v>9</v>
      </c>
      <c r="K33" s="75"/>
      <c r="L33" s="76"/>
      <c r="M33" s="75">
        <f>+Tabla1[[#This Row],[Rasimos Cosechados]]-Tabla1[[#This Row],[Rasimos Prosesados]]</f>
        <v>0</v>
      </c>
      <c r="N33" s="77">
        <f>+Tabla1[[#This Row],[Rasimos Cosechados]]/Tabla1[[#This Row],[Cajas Elaboradas]]</f>
        <v>0</v>
      </c>
      <c r="O33" s="78">
        <f>+Tabla1[[#This Row],[Rasimos Prosesados]]/Tabla1[[#This Row],[Cajas Elaboradas]]</f>
        <v>0</v>
      </c>
      <c r="P33" s="79">
        <f>IF(H33,'DATOS PARA CALCULO'!D$18,0)</f>
        <v>1500</v>
      </c>
      <c r="Q33" s="80">
        <f>IF(I33,'DATOS PARA CALCULO'!D$22,0)</f>
        <v>500</v>
      </c>
      <c r="R33" s="81">
        <f t="shared" si="0"/>
        <v>111000</v>
      </c>
      <c r="S33" s="80">
        <f t="shared" si="1"/>
        <v>20000</v>
      </c>
      <c r="T33" s="81">
        <f t="shared" si="2"/>
        <v>131000</v>
      </c>
      <c r="U33" s="80">
        <f>IF('CAJAS ELABORADAS'!$J33&gt;0,'CAJAS ELABORADAS'!$Y33*'CAJAS ELABORADAS'!$J33,0)</f>
        <v>270000</v>
      </c>
      <c r="V33" s="82">
        <f>'CAJAS ELABORADAS'!$Y33/'DATOS PARA CALCULO'!$D$27</f>
        <v>1</v>
      </c>
      <c r="W33" s="80">
        <f>(Tabla1[[#This Row],[Valor Pagado]]-Tabla1[[#This Row],[PRODUCIDO BOLSAS]])/Tabla1[[#This Row],[Cajas Elaboradas]]</f>
        <v>3378.3783783783783</v>
      </c>
      <c r="X33" s="83">
        <f t="shared" si="3"/>
        <v>14555.555555555555</v>
      </c>
      <c r="Y33" s="84">
        <f>IF('CAJAS ELABORADAS'!$X33&lt;'DATOS PARA CALCULO'!$D$27,'DATOS PARA CALCULO'!$D$27,'CAJAS ELABORADAS'!$X33)</f>
        <v>30000</v>
      </c>
      <c r="Z33" s="85">
        <f>Tabla1[[#This Row],[VALOR  A PAGAR]]-Tabla1[[#This Row],[VALOR GANADO]]</f>
        <v>15444.444444444445</v>
      </c>
    </row>
    <row r="34" spans="3:26" ht="20.100000000000001" customHeight="1" x14ac:dyDescent="0.25">
      <c r="C34" s="71">
        <v>44334</v>
      </c>
      <c r="D34" s="507">
        <f>YEAR(Tabla1[[#This Row],[FECHA]])</f>
        <v>2021</v>
      </c>
      <c r="E34" s="72">
        <f>_xlfn.ISOWEEKNUM(Tabla1[[#This Row],[FECHA]])</f>
        <v>20</v>
      </c>
      <c r="F34" s="72" t="s">
        <v>152</v>
      </c>
      <c r="G34" s="73" t="s">
        <v>29</v>
      </c>
      <c r="H34" s="74">
        <v>160</v>
      </c>
      <c r="I34" s="72">
        <v>118</v>
      </c>
      <c r="J34" s="72">
        <v>12</v>
      </c>
      <c r="K34" s="75"/>
      <c r="L34" s="76"/>
      <c r="M34" s="75">
        <f>+Tabla1[[#This Row],[Rasimos Cosechados]]-Tabla1[[#This Row],[Rasimos Prosesados]]</f>
        <v>0</v>
      </c>
      <c r="N34" s="77">
        <f>+Tabla1[[#This Row],[Rasimos Cosechados]]/Tabla1[[#This Row],[Cajas Elaboradas]]</f>
        <v>0</v>
      </c>
      <c r="O34" s="78">
        <f>+Tabla1[[#This Row],[Rasimos Prosesados]]/Tabla1[[#This Row],[Cajas Elaboradas]]</f>
        <v>0</v>
      </c>
      <c r="P34" s="79">
        <f>IF(H34,'DATOS PARA CALCULO'!D$18,0)</f>
        <v>1500</v>
      </c>
      <c r="Q34" s="80">
        <f>IF(I34,'DATOS PARA CALCULO'!D$22,0)</f>
        <v>500</v>
      </c>
      <c r="R34" s="81">
        <f t="shared" si="0"/>
        <v>240000</v>
      </c>
      <c r="S34" s="80">
        <f t="shared" si="1"/>
        <v>59000</v>
      </c>
      <c r="T34" s="81">
        <f t="shared" si="2"/>
        <v>299000</v>
      </c>
      <c r="U34" s="80">
        <f>IF('CAJAS ELABORADAS'!$J34&gt;0,'CAJAS ELABORADAS'!$Y34*'CAJAS ELABORADAS'!$J34,0)</f>
        <v>360000</v>
      </c>
      <c r="V34" s="82">
        <f>'CAJAS ELABORADAS'!$Y34/'DATOS PARA CALCULO'!$D$27</f>
        <v>1</v>
      </c>
      <c r="W34" s="80">
        <f>(Tabla1[[#This Row],[Valor Pagado]]-Tabla1[[#This Row],[PRODUCIDO BOLSAS]])/Tabla1[[#This Row],[Cajas Elaboradas]]</f>
        <v>1881.25</v>
      </c>
      <c r="X34" s="83">
        <f t="shared" si="3"/>
        <v>24916.666666666668</v>
      </c>
      <c r="Y34" s="84">
        <f>IF('CAJAS ELABORADAS'!$X34&lt;'DATOS PARA CALCULO'!$D$27,'DATOS PARA CALCULO'!$D$27,'CAJAS ELABORADAS'!$X34)</f>
        <v>30000</v>
      </c>
      <c r="Z34" s="85">
        <f>Tabla1[[#This Row],[VALOR  A PAGAR]]-Tabla1[[#This Row],[VALOR GANADO]]</f>
        <v>5083.3333333333321</v>
      </c>
    </row>
    <row r="35" spans="3:26" ht="20.100000000000001" customHeight="1" x14ac:dyDescent="0.25">
      <c r="C35" s="71">
        <v>44334</v>
      </c>
      <c r="D35" s="507">
        <f>YEAR(Tabla1[[#This Row],[FECHA]])</f>
        <v>2021</v>
      </c>
      <c r="E35" s="72">
        <f>_xlfn.ISOWEEKNUM(Tabla1[[#This Row],[FECHA]])</f>
        <v>20</v>
      </c>
      <c r="F35" s="57" t="s">
        <v>155</v>
      </c>
      <c r="G35" s="73" t="s">
        <v>28</v>
      </c>
      <c r="H35" s="74">
        <v>140</v>
      </c>
      <c r="I35" s="72">
        <v>55</v>
      </c>
      <c r="J35" s="72">
        <v>12</v>
      </c>
      <c r="K35" s="75"/>
      <c r="L35" s="76"/>
      <c r="M35" s="75">
        <f>+Tabla1[[#This Row],[Rasimos Cosechados]]-Tabla1[[#This Row],[Rasimos Prosesados]]</f>
        <v>0</v>
      </c>
      <c r="N35" s="77">
        <f>+Tabla1[[#This Row],[Rasimos Cosechados]]/Tabla1[[#This Row],[Cajas Elaboradas]]</f>
        <v>0</v>
      </c>
      <c r="O35" s="78">
        <f>+Tabla1[[#This Row],[Rasimos Prosesados]]/Tabla1[[#This Row],[Cajas Elaboradas]]</f>
        <v>0</v>
      </c>
      <c r="P35" s="79">
        <f>IF(H35,'DATOS PARA CALCULO'!D$18,0)</f>
        <v>1500</v>
      </c>
      <c r="Q35" s="80">
        <f>IF(I35,'DATOS PARA CALCULO'!D$22,0)</f>
        <v>500</v>
      </c>
      <c r="R35" s="81">
        <f t="shared" si="0"/>
        <v>210000</v>
      </c>
      <c r="S35" s="80">
        <f t="shared" si="1"/>
        <v>27500</v>
      </c>
      <c r="T35" s="81">
        <f t="shared" si="2"/>
        <v>237500</v>
      </c>
      <c r="U35" s="80">
        <f>IF('CAJAS ELABORADAS'!$J35&gt;0,'CAJAS ELABORADAS'!$Y35*'CAJAS ELABORADAS'!$J35,0)</f>
        <v>360000</v>
      </c>
      <c r="V35" s="82">
        <f>'CAJAS ELABORADAS'!$Y35/'DATOS PARA CALCULO'!$D$27</f>
        <v>1</v>
      </c>
      <c r="W35" s="80">
        <f>(Tabla1[[#This Row],[Valor Pagado]]-Tabla1[[#This Row],[PRODUCIDO BOLSAS]])/Tabla1[[#This Row],[Cajas Elaboradas]]</f>
        <v>2375</v>
      </c>
      <c r="X35" s="83">
        <f t="shared" si="3"/>
        <v>19791.666666666668</v>
      </c>
      <c r="Y35" s="84">
        <f>IF('CAJAS ELABORADAS'!$X35&lt;'DATOS PARA CALCULO'!$D$27,'DATOS PARA CALCULO'!$D$27,'CAJAS ELABORADAS'!$X35)</f>
        <v>30000</v>
      </c>
      <c r="Z35" s="85">
        <f>Tabla1[[#This Row],[VALOR  A PAGAR]]-Tabla1[[#This Row],[VALOR GANADO]]</f>
        <v>10208.333333333332</v>
      </c>
    </row>
    <row r="36" spans="3:26" ht="20.100000000000001" customHeight="1" x14ac:dyDescent="0.25">
      <c r="C36" s="71">
        <v>44335</v>
      </c>
      <c r="D36" s="507">
        <f>YEAR(Tabla1[[#This Row],[FECHA]])</f>
        <v>2021</v>
      </c>
      <c r="E36" s="72">
        <f>_xlfn.ISOWEEKNUM(Tabla1[[#This Row],[FECHA]])</f>
        <v>20</v>
      </c>
      <c r="F36" s="72" t="s">
        <v>152</v>
      </c>
      <c r="G36" s="73" t="s">
        <v>29</v>
      </c>
      <c r="H36" s="74">
        <v>238</v>
      </c>
      <c r="I36" s="72">
        <v>157</v>
      </c>
      <c r="J36" s="72">
        <v>18</v>
      </c>
      <c r="K36" s="75"/>
      <c r="L36" s="76"/>
      <c r="M36" s="75">
        <f>+Tabla1[[#This Row],[Rasimos Cosechados]]-Tabla1[[#This Row],[Rasimos Prosesados]]</f>
        <v>0</v>
      </c>
      <c r="N36" s="77">
        <f>+Tabla1[[#This Row],[Rasimos Cosechados]]/Tabla1[[#This Row],[Cajas Elaboradas]]</f>
        <v>0</v>
      </c>
      <c r="O36" s="78">
        <f>+Tabla1[[#This Row],[Rasimos Prosesados]]/Tabla1[[#This Row],[Cajas Elaboradas]]</f>
        <v>0</v>
      </c>
      <c r="P36" s="79">
        <f>IF(H36,'DATOS PARA CALCULO'!D$18,0)</f>
        <v>1500</v>
      </c>
      <c r="Q36" s="80">
        <f>IF(I36,'DATOS PARA CALCULO'!D$22,0)</f>
        <v>500</v>
      </c>
      <c r="R36" s="81">
        <f t="shared" si="0"/>
        <v>357000</v>
      </c>
      <c r="S36" s="80">
        <f t="shared" si="1"/>
        <v>78500</v>
      </c>
      <c r="T36" s="81">
        <f t="shared" si="2"/>
        <v>435500</v>
      </c>
      <c r="U36" s="80">
        <f>IF('CAJAS ELABORADAS'!$J36&gt;0,'CAJAS ELABORADAS'!$Y36*'CAJAS ELABORADAS'!$J36,0)</f>
        <v>540000</v>
      </c>
      <c r="V36" s="82">
        <f>'CAJAS ELABORADAS'!$Y36/'DATOS PARA CALCULO'!$D$27</f>
        <v>1</v>
      </c>
      <c r="W36" s="80">
        <f>(Tabla1[[#This Row],[Valor Pagado]]-Tabla1[[#This Row],[PRODUCIDO BOLSAS]])/Tabla1[[#This Row],[Cajas Elaboradas]]</f>
        <v>1939.0756302521008</v>
      </c>
      <c r="X36" s="83">
        <f t="shared" si="3"/>
        <v>24194.444444444445</v>
      </c>
      <c r="Y36" s="84">
        <f>IF('CAJAS ELABORADAS'!$X36&lt;'DATOS PARA CALCULO'!$D$27,'DATOS PARA CALCULO'!$D$27,'CAJAS ELABORADAS'!$X36)</f>
        <v>30000</v>
      </c>
      <c r="Z36" s="85">
        <f>Tabla1[[#This Row],[VALOR  A PAGAR]]-Tabla1[[#This Row],[VALOR GANADO]]</f>
        <v>5805.5555555555547</v>
      </c>
    </row>
    <row r="37" spans="3:26" ht="20.100000000000001" customHeight="1" x14ac:dyDescent="0.25">
      <c r="C37" s="71">
        <v>44335</v>
      </c>
      <c r="D37" s="507">
        <f>YEAR(Tabla1[[#This Row],[FECHA]])</f>
        <v>2021</v>
      </c>
      <c r="E37" s="72">
        <f>_xlfn.ISOWEEKNUM(Tabla1[[#This Row],[FECHA]])</f>
        <v>20</v>
      </c>
      <c r="F37" s="72" t="s">
        <v>157</v>
      </c>
      <c r="G37" s="73" t="str">
        <f>+G31</f>
        <v>PEDRITO</v>
      </c>
      <c r="H37" s="74">
        <v>64</v>
      </c>
      <c r="I37" s="72">
        <v>25</v>
      </c>
      <c r="J37" s="72">
        <v>7</v>
      </c>
      <c r="K37" s="75"/>
      <c r="L37" s="76"/>
      <c r="M37" s="75">
        <f>+Tabla1[[#This Row],[Rasimos Cosechados]]-Tabla1[[#This Row],[Rasimos Prosesados]]</f>
        <v>0</v>
      </c>
      <c r="N37" s="77">
        <f>+Tabla1[[#This Row],[Rasimos Cosechados]]/Tabla1[[#This Row],[Cajas Elaboradas]]</f>
        <v>0</v>
      </c>
      <c r="O37" s="78">
        <f>+Tabla1[[#This Row],[Rasimos Prosesados]]/Tabla1[[#This Row],[Cajas Elaboradas]]</f>
        <v>0</v>
      </c>
      <c r="P37" s="79">
        <v>3000</v>
      </c>
      <c r="Q37" s="80">
        <f>IF(I37,'DATOS PARA CALCULO'!D$22,0)</f>
        <v>500</v>
      </c>
      <c r="R37" s="81">
        <f t="shared" si="0"/>
        <v>192000</v>
      </c>
      <c r="S37" s="80">
        <f t="shared" si="1"/>
        <v>12500</v>
      </c>
      <c r="T37" s="81">
        <f t="shared" si="2"/>
        <v>204500</v>
      </c>
      <c r="U37" s="80">
        <f>IF('CAJAS ELABORADAS'!$J37&gt;0,'CAJAS ELABORADAS'!$Y37*'CAJAS ELABORADAS'!$J37,0)</f>
        <v>210000</v>
      </c>
      <c r="V37" s="82">
        <f>'CAJAS ELABORADAS'!$Y37/'DATOS PARA CALCULO'!$D$27</f>
        <v>1</v>
      </c>
      <c r="W37" s="80">
        <f>(Tabla1[[#This Row],[Valor Pagado]]-Tabla1[[#This Row],[PRODUCIDO BOLSAS]])/Tabla1[[#This Row],[Cajas Elaboradas]]</f>
        <v>3085.9375</v>
      </c>
      <c r="X37" s="83">
        <f t="shared" si="3"/>
        <v>29214.285714285714</v>
      </c>
      <c r="Y37" s="84">
        <f>IF('CAJAS ELABORADAS'!$X37&lt;'DATOS PARA CALCULO'!$D$27,'DATOS PARA CALCULO'!$D$27,'CAJAS ELABORADAS'!$X37)</f>
        <v>30000</v>
      </c>
      <c r="Z37" s="85">
        <f>Tabla1[[#This Row],[VALOR  A PAGAR]]-Tabla1[[#This Row],[VALOR GANADO]]</f>
        <v>785.71428571428623</v>
      </c>
    </row>
    <row r="38" spans="3:26" ht="20.100000000000001" customHeight="1" x14ac:dyDescent="0.25">
      <c r="C38" s="71">
        <v>44341</v>
      </c>
      <c r="D38" s="507">
        <f>YEAR(Tabla1[[#This Row],[FECHA]])</f>
        <v>2021</v>
      </c>
      <c r="E38" s="72">
        <f>_xlfn.ISOWEEKNUM(Tabla1[[#This Row],[FECHA]])</f>
        <v>21</v>
      </c>
      <c r="F38" s="72" t="s">
        <v>157</v>
      </c>
      <c r="G38" s="73" t="s">
        <v>31</v>
      </c>
      <c r="H38" s="74">
        <v>10</v>
      </c>
      <c r="I38" s="72">
        <v>11</v>
      </c>
      <c r="J38" s="72">
        <v>3</v>
      </c>
      <c r="K38" s="75"/>
      <c r="L38" s="76"/>
      <c r="M38" s="75">
        <f>+Tabla1[[#This Row],[Rasimos Cosechados]]-Tabla1[[#This Row],[Rasimos Prosesados]]</f>
        <v>0</v>
      </c>
      <c r="N38" s="77">
        <f>+Tabla1[[#This Row],[Rasimos Cosechados]]/Tabla1[[#This Row],[Cajas Elaboradas]]</f>
        <v>0</v>
      </c>
      <c r="O38" s="78">
        <f>+Tabla1[[#This Row],[Rasimos Prosesados]]/Tabla1[[#This Row],[Cajas Elaboradas]]</f>
        <v>0</v>
      </c>
      <c r="P38" s="79">
        <v>3000</v>
      </c>
      <c r="Q38" s="80">
        <f>IF(I38,'DATOS PARA CALCULO'!D$22,0)</f>
        <v>500</v>
      </c>
      <c r="R38" s="81">
        <f t="shared" si="0"/>
        <v>30000</v>
      </c>
      <c r="S38" s="80">
        <f t="shared" si="1"/>
        <v>5500</v>
      </c>
      <c r="T38" s="81">
        <f t="shared" si="2"/>
        <v>35500</v>
      </c>
      <c r="U38" s="80">
        <f>IF('CAJAS ELABORADAS'!$J38&gt;0,'CAJAS ELABORADAS'!$Y38*'CAJAS ELABORADAS'!$J38,0)</f>
        <v>90000</v>
      </c>
      <c r="V38" s="82">
        <f>'CAJAS ELABORADAS'!$Y38/'DATOS PARA CALCULO'!$D$27</f>
        <v>1</v>
      </c>
      <c r="W38" s="80">
        <f>(Tabla1[[#This Row],[Valor Pagado]]-Tabla1[[#This Row],[PRODUCIDO BOLSAS]])/Tabla1[[#This Row],[Cajas Elaboradas]]</f>
        <v>8450</v>
      </c>
      <c r="X38" s="83">
        <f t="shared" si="3"/>
        <v>11833.333333333334</v>
      </c>
      <c r="Y38" s="84">
        <f>IF('CAJAS ELABORADAS'!$X38&lt;'DATOS PARA CALCULO'!$D$27,'DATOS PARA CALCULO'!$D$27,'CAJAS ELABORADAS'!$X38)</f>
        <v>30000</v>
      </c>
      <c r="Z38" s="85">
        <f>Tabla1[[#This Row],[VALOR  A PAGAR]]-Tabla1[[#This Row],[VALOR GANADO]]</f>
        <v>18166.666666666664</v>
      </c>
    </row>
    <row r="39" spans="3:26" ht="20.100000000000001" customHeight="1" x14ac:dyDescent="0.25">
      <c r="C39" s="71">
        <v>44341</v>
      </c>
      <c r="D39" s="507">
        <f>YEAR(Tabla1[[#This Row],[FECHA]])</f>
        <v>2021</v>
      </c>
      <c r="E39" s="72">
        <f>_xlfn.ISOWEEKNUM(Tabla1[[#This Row],[FECHA]])</f>
        <v>21</v>
      </c>
      <c r="F39" s="72" t="s">
        <v>152</v>
      </c>
      <c r="G39" s="73" t="s">
        <v>29</v>
      </c>
      <c r="H39" s="74">
        <v>154</v>
      </c>
      <c r="I39" s="72">
        <v>67</v>
      </c>
      <c r="J39" s="72">
        <v>11</v>
      </c>
      <c r="K39" s="75">
        <v>524</v>
      </c>
      <c r="L39" s="76">
        <v>417</v>
      </c>
      <c r="M39" s="75">
        <f>+Tabla1[[#This Row],[Rasimos Cosechados]]-Tabla1[[#This Row],[Rasimos Prosesados]]</f>
        <v>107</v>
      </c>
      <c r="N39" s="77">
        <f>+Tabla1[[#This Row],[Rasimos Cosechados]]/Tabla1[[#This Row],[Cajas Elaboradas]]</f>
        <v>3.4025974025974026</v>
      </c>
      <c r="O39" s="78">
        <f>+Tabla1[[#This Row],[Rasimos Prosesados]]/Tabla1[[#This Row],[Cajas Elaboradas]]</f>
        <v>2.7077922077922079</v>
      </c>
      <c r="P39" s="79">
        <f>IF(H39,'DATOS PARA CALCULO'!D$18,0)</f>
        <v>1500</v>
      </c>
      <c r="Q39" s="80">
        <f>IF(I39,'DATOS PARA CALCULO'!D$22,0)</f>
        <v>500</v>
      </c>
      <c r="R39" s="81">
        <f t="shared" si="0"/>
        <v>231000</v>
      </c>
      <c r="S39" s="80">
        <f t="shared" si="1"/>
        <v>33500</v>
      </c>
      <c r="T39" s="81">
        <f t="shared" si="2"/>
        <v>264500</v>
      </c>
      <c r="U39" s="80">
        <f>IF('CAJAS ELABORADAS'!$J39&gt;0,'CAJAS ELABORADAS'!$Y39*'CAJAS ELABORADAS'!$J39,0)</f>
        <v>330000</v>
      </c>
      <c r="V39" s="82">
        <f>'CAJAS ELABORADAS'!$Y39/'DATOS PARA CALCULO'!$D$27</f>
        <v>1</v>
      </c>
      <c r="W39" s="80">
        <f>(Tabla1[[#This Row],[Valor Pagado]]-Tabla1[[#This Row],[PRODUCIDO BOLSAS]])/Tabla1[[#This Row],[Cajas Elaboradas]]</f>
        <v>1925.3246753246754</v>
      </c>
      <c r="X39" s="83">
        <f t="shared" si="3"/>
        <v>24045.454545454544</v>
      </c>
      <c r="Y39" s="84">
        <f>IF('CAJAS ELABORADAS'!$X39&lt;'DATOS PARA CALCULO'!$D$27,'DATOS PARA CALCULO'!$D$27,'CAJAS ELABORADAS'!$X39)</f>
        <v>30000</v>
      </c>
      <c r="Z39" s="85">
        <f>Tabla1[[#This Row],[VALOR  A PAGAR]]-Tabla1[[#This Row],[VALOR GANADO]]</f>
        <v>5954.5454545454559</v>
      </c>
    </row>
    <row r="40" spans="3:26" ht="20.100000000000001" customHeight="1" x14ac:dyDescent="0.25">
      <c r="C40" s="71">
        <v>44341</v>
      </c>
      <c r="D40" s="507">
        <f>YEAR(Tabla1[[#This Row],[FECHA]])</f>
        <v>2021</v>
      </c>
      <c r="E40" s="72">
        <f>_xlfn.ISOWEEKNUM(Tabla1[[#This Row],[FECHA]])</f>
        <v>21</v>
      </c>
      <c r="F40" s="57" t="s">
        <v>155</v>
      </c>
      <c r="G40" s="73" t="s">
        <v>28</v>
      </c>
      <c r="H40" s="74">
        <v>131</v>
      </c>
      <c r="I40" s="72">
        <v>57</v>
      </c>
      <c r="J40" s="72">
        <v>13</v>
      </c>
      <c r="K40" s="75"/>
      <c r="L40" s="76"/>
      <c r="M40" s="75">
        <f>+Tabla1[[#This Row],[Rasimos Cosechados]]-Tabla1[[#This Row],[Rasimos Prosesados]]</f>
        <v>0</v>
      </c>
      <c r="N40" s="77">
        <f>+Tabla1[[#This Row],[Rasimos Cosechados]]/Tabla1[[#This Row],[Cajas Elaboradas]]</f>
        <v>0</v>
      </c>
      <c r="O40" s="78">
        <f>+Tabla1[[#This Row],[Rasimos Prosesados]]/Tabla1[[#This Row],[Cajas Elaboradas]]</f>
        <v>0</v>
      </c>
      <c r="P40" s="79">
        <f>IF(H40,'DATOS PARA CALCULO'!D$18,0)</f>
        <v>1500</v>
      </c>
      <c r="Q40" s="80">
        <f>IF(I40,'DATOS PARA CALCULO'!D$22,0)</f>
        <v>500</v>
      </c>
      <c r="R40" s="81">
        <f t="shared" si="0"/>
        <v>196500</v>
      </c>
      <c r="S40" s="80">
        <f t="shared" si="1"/>
        <v>28500</v>
      </c>
      <c r="T40" s="81">
        <f t="shared" si="2"/>
        <v>225000</v>
      </c>
      <c r="U40" s="80">
        <f>IF('CAJAS ELABORADAS'!$J40&gt;0,'CAJAS ELABORADAS'!$Y40*'CAJAS ELABORADAS'!$J40,0)</f>
        <v>390000</v>
      </c>
      <c r="V40" s="82">
        <f>'CAJAS ELABORADAS'!$Y40/'DATOS PARA CALCULO'!$D$27</f>
        <v>1</v>
      </c>
      <c r="W40" s="80">
        <f>(Tabla1[[#This Row],[Valor Pagado]]-Tabla1[[#This Row],[PRODUCIDO BOLSAS]])/Tabla1[[#This Row],[Cajas Elaboradas]]</f>
        <v>2759.5419847328244</v>
      </c>
      <c r="X40" s="83">
        <f t="shared" si="3"/>
        <v>17307.692307692309</v>
      </c>
      <c r="Y40" s="84">
        <f>IF('CAJAS ELABORADAS'!$X40&lt;'DATOS PARA CALCULO'!$D$27,'DATOS PARA CALCULO'!$D$27,'CAJAS ELABORADAS'!$X40)</f>
        <v>30000</v>
      </c>
      <c r="Z40" s="85">
        <f>Tabla1[[#This Row],[VALOR  A PAGAR]]-Tabla1[[#This Row],[VALOR GANADO]]</f>
        <v>12692.307692307691</v>
      </c>
    </row>
    <row r="41" spans="3:26" ht="20.100000000000001" customHeight="1" x14ac:dyDescent="0.25">
      <c r="C41" s="71">
        <v>44342</v>
      </c>
      <c r="D41" s="507">
        <f>YEAR(Tabla1[[#This Row],[FECHA]])</f>
        <v>2021</v>
      </c>
      <c r="E41" s="72">
        <f>_xlfn.ISOWEEKNUM(Tabla1[[#This Row],[FECHA]])</f>
        <v>21</v>
      </c>
      <c r="F41" s="72"/>
      <c r="G41" s="73" t="s">
        <v>30</v>
      </c>
      <c r="H41" s="74">
        <v>90</v>
      </c>
      <c r="I41" s="72">
        <v>23</v>
      </c>
      <c r="J41" s="72">
        <v>7</v>
      </c>
      <c r="K41" s="75"/>
      <c r="L41" s="76"/>
      <c r="M41" s="75">
        <f>+Tabla1[[#This Row],[Rasimos Cosechados]]-Tabla1[[#This Row],[Rasimos Prosesados]]</f>
        <v>0</v>
      </c>
      <c r="N41" s="77">
        <f>+Tabla1[[#This Row],[Rasimos Cosechados]]/Tabla1[[#This Row],[Cajas Elaboradas]]</f>
        <v>0</v>
      </c>
      <c r="O41" s="78">
        <f>+Tabla1[[#This Row],[Rasimos Prosesados]]/Tabla1[[#This Row],[Cajas Elaboradas]]</f>
        <v>0</v>
      </c>
      <c r="P41" s="79">
        <f>IF(H41,'DATOS PARA CALCULO'!D$18,0)</f>
        <v>1500</v>
      </c>
      <c r="Q41" s="80">
        <f>IF(I41,'DATOS PARA CALCULO'!D$22,0)</f>
        <v>500</v>
      </c>
      <c r="R41" s="81">
        <f t="shared" si="0"/>
        <v>135000</v>
      </c>
      <c r="S41" s="80">
        <f t="shared" si="1"/>
        <v>11500</v>
      </c>
      <c r="T41" s="81">
        <f t="shared" si="2"/>
        <v>146500</v>
      </c>
      <c r="U41" s="80">
        <f>IF('CAJAS ELABORADAS'!$J41&gt;0,'CAJAS ELABORADAS'!$Y41*'CAJAS ELABORADAS'!$J41,0)</f>
        <v>210000</v>
      </c>
      <c r="V41" s="82">
        <f>'CAJAS ELABORADAS'!$Y41/'DATOS PARA CALCULO'!$D$27</f>
        <v>1</v>
      </c>
      <c r="W41" s="80">
        <f>(Tabla1[[#This Row],[Valor Pagado]]-Tabla1[[#This Row],[PRODUCIDO BOLSAS]])/Tabla1[[#This Row],[Cajas Elaboradas]]</f>
        <v>2205.5555555555557</v>
      </c>
      <c r="X41" s="83">
        <f t="shared" si="3"/>
        <v>20928.571428571428</v>
      </c>
      <c r="Y41" s="84">
        <f>IF('CAJAS ELABORADAS'!$X41&lt;'DATOS PARA CALCULO'!$D$27,'DATOS PARA CALCULO'!$D$27,'CAJAS ELABORADAS'!$X41)</f>
        <v>30000</v>
      </c>
      <c r="Z41" s="85">
        <f>Tabla1[[#This Row],[VALOR  A PAGAR]]-Tabla1[[#This Row],[VALOR GANADO]]</f>
        <v>9071.4285714285725</v>
      </c>
    </row>
    <row r="42" spans="3:26" ht="20.100000000000001" customHeight="1" x14ac:dyDescent="0.25">
      <c r="C42" s="71">
        <v>44342</v>
      </c>
      <c r="D42" s="507">
        <f>YEAR(Tabla1[[#This Row],[FECHA]])</f>
        <v>2021</v>
      </c>
      <c r="E42" s="72">
        <f>_xlfn.ISOWEEKNUM(Tabla1[[#This Row],[FECHA]])</f>
        <v>21</v>
      </c>
      <c r="F42" s="72" t="s">
        <v>152</v>
      </c>
      <c r="G42" s="73" t="s">
        <v>29</v>
      </c>
      <c r="H42" s="74">
        <f>37+88</f>
        <v>125</v>
      </c>
      <c r="I42" s="72">
        <f>20+17</f>
        <v>37</v>
      </c>
      <c r="J42" s="72">
        <v>10</v>
      </c>
      <c r="K42" s="75">
        <v>336</v>
      </c>
      <c r="L42" s="76">
        <v>336</v>
      </c>
      <c r="M42" s="75">
        <f>+Tabla1[[#This Row],[Rasimos Cosechados]]-Tabla1[[#This Row],[Rasimos Prosesados]]</f>
        <v>0</v>
      </c>
      <c r="N42" s="77">
        <f>+Tabla1[[#This Row],[Rasimos Cosechados]]/Tabla1[[#This Row],[Cajas Elaboradas]]</f>
        <v>2.6880000000000002</v>
      </c>
      <c r="O42" s="78">
        <f>+Tabla1[[#This Row],[Rasimos Prosesados]]/Tabla1[[#This Row],[Cajas Elaboradas]]</f>
        <v>2.6880000000000002</v>
      </c>
      <c r="P42" s="79">
        <f>IF(H42,'DATOS PARA CALCULO'!D$18,0)</f>
        <v>1500</v>
      </c>
      <c r="Q42" s="80">
        <f>IF(I42,'DATOS PARA CALCULO'!D$22,0)</f>
        <v>500</v>
      </c>
      <c r="R42" s="81">
        <f t="shared" si="0"/>
        <v>187500</v>
      </c>
      <c r="S42" s="80">
        <f t="shared" si="1"/>
        <v>18500</v>
      </c>
      <c r="T42" s="81">
        <f t="shared" si="2"/>
        <v>206000</v>
      </c>
      <c r="U42" s="80">
        <f>IF('CAJAS ELABORADAS'!$J42&gt;0,'CAJAS ELABORADAS'!$Y42*'CAJAS ELABORADAS'!$J42,0)</f>
        <v>300000</v>
      </c>
      <c r="V42" s="82">
        <f>'CAJAS ELABORADAS'!$Y42/'DATOS PARA CALCULO'!$D$27</f>
        <v>1</v>
      </c>
      <c r="W42" s="80">
        <f>(Tabla1[[#This Row],[Valor Pagado]]-Tabla1[[#This Row],[PRODUCIDO BOLSAS]])/Tabla1[[#This Row],[Cajas Elaboradas]]</f>
        <v>2252</v>
      </c>
      <c r="X42" s="83">
        <f t="shared" si="3"/>
        <v>20600</v>
      </c>
      <c r="Y42" s="84">
        <f>IF('CAJAS ELABORADAS'!$X42&lt;'DATOS PARA CALCULO'!$D$27,'DATOS PARA CALCULO'!$D$27,'CAJAS ELABORADAS'!$X42)</f>
        <v>30000</v>
      </c>
      <c r="Z42" s="85">
        <f>Tabla1[[#This Row],[VALOR  A PAGAR]]-Tabla1[[#This Row],[VALOR GANADO]]</f>
        <v>9400</v>
      </c>
    </row>
    <row r="43" spans="3:26" ht="20.100000000000001" customHeight="1" x14ac:dyDescent="0.25">
      <c r="C43" s="71">
        <v>44342</v>
      </c>
      <c r="D43" s="507">
        <f>YEAR(Tabla1[[#This Row],[FECHA]])</f>
        <v>2021</v>
      </c>
      <c r="E43" s="72">
        <f>_xlfn.ISOWEEKNUM(Tabla1[[#This Row],[FECHA]])</f>
        <v>21</v>
      </c>
      <c r="F43" s="72" t="s">
        <v>157</v>
      </c>
      <c r="G43" s="73" t="s">
        <v>31</v>
      </c>
      <c r="H43" s="74">
        <v>117</v>
      </c>
      <c r="I43" s="72">
        <v>100</v>
      </c>
      <c r="J43" s="72">
        <v>15</v>
      </c>
      <c r="K43" s="75"/>
      <c r="L43" s="76"/>
      <c r="M43" s="75">
        <f>+Tabla1[[#This Row],[Rasimos Cosechados]]-Tabla1[[#This Row],[Rasimos Prosesados]]</f>
        <v>0</v>
      </c>
      <c r="N43" s="77">
        <f>+Tabla1[[#This Row],[Rasimos Cosechados]]/Tabla1[[#This Row],[Cajas Elaboradas]]</f>
        <v>0</v>
      </c>
      <c r="O43" s="78">
        <f>+Tabla1[[#This Row],[Rasimos Prosesados]]/Tabla1[[#This Row],[Cajas Elaboradas]]</f>
        <v>0</v>
      </c>
      <c r="P43" s="79">
        <v>3000</v>
      </c>
      <c r="Q43" s="80">
        <f>IF(I43,'DATOS PARA CALCULO'!D$22,0)</f>
        <v>500</v>
      </c>
      <c r="R43" s="81">
        <f t="shared" si="0"/>
        <v>351000</v>
      </c>
      <c r="S43" s="80">
        <f t="shared" si="1"/>
        <v>50000</v>
      </c>
      <c r="T43" s="81">
        <f t="shared" si="2"/>
        <v>401000</v>
      </c>
      <c r="U43" s="80">
        <f>IF('CAJAS ELABORADAS'!$J43&gt;0,'CAJAS ELABORADAS'!$Y43*'CAJAS ELABORADAS'!$J43,0)</f>
        <v>450000</v>
      </c>
      <c r="V43" s="82">
        <f>'CAJAS ELABORADAS'!$Y43/'DATOS PARA CALCULO'!$D$27</f>
        <v>1</v>
      </c>
      <c r="W43" s="80">
        <f>(Tabla1[[#This Row],[Valor Pagado]]-Tabla1[[#This Row],[PRODUCIDO BOLSAS]])/Tabla1[[#This Row],[Cajas Elaboradas]]</f>
        <v>3418.8034188034189</v>
      </c>
      <c r="X43" s="83">
        <f t="shared" si="3"/>
        <v>26733.333333333332</v>
      </c>
      <c r="Y43" s="84">
        <f>IF('CAJAS ELABORADAS'!$X43&lt;'DATOS PARA CALCULO'!$D$27,'DATOS PARA CALCULO'!$D$27,'CAJAS ELABORADAS'!$X43)</f>
        <v>30000</v>
      </c>
      <c r="Z43" s="85">
        <f>Tabla1[[#This Row],[VALOR  A PAGAR]]-Tabla1[[#This Row],[VALOR GANADO]]</f>
        <v>3266.6666666666679</v>
      </c>
    </row>
    <row r="44" spans="3:26" ht="18.75" x14ac:dyDescent="0.25">
      <c r="C44" s="71">
        <v>44348</v>
      </c>
      <c r="D44" s="507">
        <f>YEAR(Tabla1[[#This Row],[FECHA]])</f>
        <v>2021</v>
      </c>
      <c r="E44" s="72">
        <f>_xlfn.ISOWEEKNUM(Tabla1[[#This Row],[FECHA]])</f>
        <v>22</v>
      </c>
      <c r="F44" s="72" t="s">
        <v>152</v>
      </c>
      <c r="G44" s="73" t="s">
        <v>29</v>
      </c>
      <c r="H44" s="74">
        <v>154</v>
      </c>
      <c r="I44" s="72">
        <v>98</v>
      </c>
      <c r="J44" s="72">
        <v>11</v>
      </c>
      <c r="K44" s="86">
        <v>792</v>
      </c>
      <c r="L44" s="87">
        <v>792</v>
      </c>
      <c r="M44" s="86">
        <f>+Tabla1[[#This Row],[Rasimos Cosechados]]-Tabla1[[#This Row],[Rasimos Prosesados]]</f>
        <v>0</v>
      </c>
      <c r="N44" s="88">
        <f>+Tabla1[[#This Row],[Rasimos Cosechados]]/Tabla1[[#This Row],[Cajas Elaboradas]]</f>
        <v>5.1428571428571432</v>
      </c>
      <c r="O44" s="89">
        <f>+Tabla1[[#This Row],[Rasimos Prosesados]]/Tabla1[[#This Row],[Cajas Elaboradas]]</f>
        <v>5.1428571428571432</v>
      </c>
      <c r="P44" s="81">
        <f>IF(H44,'DATOS PARA CALCULO'!D$18,0)</f>
        <v>1500</v>
      </c>
      <c r="Q44" s="80">
        <f>IF(I44,'DATOS PARA CALCULO'!D$22,0)</f>
        <v>500</v>
      </c>
      <c r="R44" s="81">
        <f t="shared" si="0"/>
        <v>231000</v>
      </c>
      <c r="S44" s="80">
        <f t="shared" si="1"/>
        <v>49000</v>
      </c>
      <c r="T44" s="81">
        <f t="shared" si="2"/>
        <v>280000</v>
      </c>
      <c r="U44" s="80">
        <f>IF('CAJAS ELABORADAS'!$J44&gt;0,'CAJAS ELABORADAS'!$Y44*'CAJAS ELABORADAS'!$J44,0)</f>
        <v>330000</v>
      </c>
      <c r="V44" s="82">
        <f>'CAJAS ELABORADAS'!$Y44/'DATOS PARA CALCULO'!$D$27</f>
        <v>1</v>
      </c>
      <c r="W44" s="79">
        <f>(Tabla1[[#This Row],[Valor Pagado]]-Tabla1[[#This Row],[PRODUCIDO BOLSAS]])/Tabla1[[#This Row],[Cajas Elaboradas]]</f>
        <v>1824.6753246753246</v>
      </c>
      <c r="X44" s="90">
        <f t="shared" si="3"/>
        <v>25454.545454545456</v>
      </c>
      <c r="Y44" s="91">
        <f>IF('CAJAS ELABORADAS'!$X44&lt;'DATOS PARA CALCULO'!$D$27,'DATOS PARA CALCULO'!$D$27,'CAJAS ELABORADAS'!$X44)</f>
        <v>30000</v>
      </c>
      <c r="Z44" s="92">
        <f>Tabla1[[#This Row],[VALOR  A PAGAR]]-Tabla1[[#This Row],[VALOR GANADO]]</f>
        <v>4545.4545454545441</v>
      </c>
    </row>
    <row r="45" spans="3:26" ht="18.75" x14ac:dyDescent="0.25">
      <c r="C45" s="71">
        <v>44348</v>
      </c>
      <c r="D45" s="507">
        <f>YEAR(Tabla1[[#This Row],[FECHA]])</f>
        <v>2021</v>
      </c>
      <c r="E45" s="72">
        <f>_xlfn.ISOWEEKNUM(Tabla1[[#This Row],[FECHA]])</f>
        <v>22</v>
      </c>
      <c r="F45" s="57" t="s">
        <v>155</v>
      </c>
      <c r="G45" s="73" t="s">
        <v>28</v>
      </c>
      <c r="H45" s="74">
        <v>140</v>
      </c>
      <c r="I45" s="72">
        <v>40</v>
      </c>
      <c r="J45" s="72">
        <v>12</v>
      </c>
      <c r="K45" s="86"/>
      <c r="L45" s="87"/>
      <c r="M45" s="86">
        <f>+Tabla1[[#This Row],[Rasimos Cosechados]]-Tabla1[[#This Row],[Rasimos Prosesados]]</f>
        <v>0</v>
      </c>
      <c r="N45" s="88">
        <f>+Tabla1[[#This Row],[Rasimos Cosechados]]/Tabla1[[#This Row],[Cajas Elaboradas]]</f>
        <v>0</v>
      </c>
      <c r="O45" s="89">
        <f>+Tabla1[[#This Row],[Rasimos Prosesados]]/Tabla1[[#This Row],[Cajas Elaboradas]]</f>
        <v>0</v>
      </c>
      <c r="P45" s="81">
        <f>IF(H45,'DATOS PARA CALCULO'!D$18,0)</f>
        <v>1500</v>
      </c>
      <c r="Q45" s="80">
        <f>IF(I45,'DATOS PARA CALCULO'!D$22,0)</f>
        <v>500</v>
      </c>
      <c r="R45" s="81">
        <f t="shared" si="0"/>
        <v>210000</v>
      </c>
      <c r="S45" s="80">
        <f t="shared" si="1"/>
        <v>20000</v>
      </c>
      <c r="T45" s="81">
        <f t="shared" si="2"/>
        <v>230000</v>
      </c>
      <c r="U45" s="80">
        <f>IF('CAJAS ELABORADAS'!$J45&gt;0,'CAJAS ELABORADAS'!$Y45*'CAJAS ELABORADAS'!$J45,0)</f>
        <v>360000</v>
      </c>
      <c r="V45" s="82">
        <f>'CAJAS ELABORADAS'!$Y45/'DATOS PARA CALCULO'!$D$27</f>
        <v>1</v>
      </c>
      <c r="W45" s="79">
        <f>(Tabla1[[#This Row],[Valor Pagado]]-Tabla1[[#This Row],[PRODUCIDO BOLSAS]])/Tabla1[[#This Row],[Cajas Elaboradas]]</f>
        <v>2428.5714285714284</v>
      </c>
      <c r="X45" s="90">
        <f t="shared" si="3"/>
        <v>19166.666666666668</v>
      </c>
      <c r="Y45" s="91">
        <f>IF('CAJAS ELABORADAS'!$X45&lt;'DATOS PARA CALCULO'!$D$27,'DATOS PARA CALCULO'!$D$27,'CAJAS ELABORADAS'!$X45)</f>
        <v>30000</v>
      </c>
      <c r="Z45" s="92">
        <f>Tabla1[[#This Row],[VALOR  A PAGAR]]-Tabla1[[#This Row],[VALOR GANADO]]</f>
        <v>10833.333333333332</v>
      </c>
    </row>
    <row r="46" spans="3:26" ht="18.75" x14ac:dyDescent="0.25">
      <c r="C46" s="71">
        <v>44349</v>
      </c>
      <c r="D46" s="507">
        <f>YEAR(Tabla1[[#This Row],[FECHA]])</f>
        <v>2021</v>
      </c>
      <c r="E46" s="72">
        <f>_xlfn.ISOWEEKNUM(Tabla1[[#This Row],[FECHA]])</f>
        <v>22</v>
      </c>
      <c r="F46" s="72" t="s">
        <v>157</v>
      </c>
      <c r="G46" s="73" t="s">
        <v>31</v>
      </c>
      <c r="H46" s="74">
        <f>173-56</f>
        <v>117</v>
      </c>
      <c r="I46" s="72">
        <v>75</v>
      </c>
      <c r="J46" s="72">
        <v>16</v>
      </c>
      <c r="K46" s="86"/>
      <c r="L46" s="87"/>
      <c r="M46" s="86">
        <f>+Tabla1[[#This Row],[Rasimos Cosechados]]-Tabla1[[#This Row],[Rasimos Prosesados]]</f>
        <v>0</v>
      </c>
      <c r="N46" s="88">
        <f>+Tabla1[[#This Row],[Rasimos Cosechados]]/Tabla1[[#This Row],[Cajas Elaboradas]]</f>
        <v>0</v>
      </c>
      <c r="O46" s="89">
        <f>+Tabla1[[#This Row],[Rasimos Prosesados]]/Tabla1[[#This Row],[Cajas Elaboradas]]</f>
        <v>0</v>
      </c>
      <c r="P46" s="79">
        <v>3000</v>
      </c>
      <c r="Q46" s="80">
        <f>IF(I46,'DATOS PARA CALCULO'!D$22,0)</f>
        <v>500</v>
      </c>
      <c r="R46" s="81">
        <f t="shared" si="0"/>
        <v>351000</v>
      </c>
      <c r="S46" s="80">
        <f t="shared" si="1"/>
        <v>37500</v>
      </c>
      <c r="T46" s="81">
        <f t="shared" si="2"/>
        <v>388500</v>
      </c>
      <c r="U46" s="80">
        <f>IF('CAJAS ELABORADAS'!$J46&gt;0,'CAJAS ELABORADAS'!$Y46*'CAJAS ELABORADAS'!$J46,0)</f>
        <v>480000</v>
      </c>
      <c r="V46" s="82">
        <f>'CAJAS ELABORADAS'!$Y46/'DATOS PARA CALCULO'!$D$27</f>
        <v>1</v>
      </c>
      <c r="W46" s="79">
        <f>(Tabla1[[#This Row],[Valor Pagado]]-Tabla1[[#This Row],[PRODUCIDO BOLSAS]])/Tabla1[[#This Row],[Cajas Elaboradas]]</f>
        <v>3782.0512820512822</v>
      </c>
      <c r="X46" s="90">
        <f t="shared" si="3"/>
        <v>24281.25</v>
      </c>
      <c r="Y46" s="91">
        <f>IF('CAJAS ELABORADAS'!$X46&lt;'DATOS PARA CALCULO'!$D$27,'DATOS PARA CALCULO'!$D$27,'CAJAS ELABORADAS'!$X46)</f>
        <v>30000</v>
      </c>
      <c r="Z46" s="92">
        <f>Tabla1[[#This Row],[VALOR  A PAGAR]]-Tabla1[[#This Row],[VALOR GANADO]]</f>
        <v>5718.75</v>
      </c>
    </row>
    <row r="47" spans="3:26" ht="18.75" x14ac:dyDescent="0.25">
      <c r="C47" s="71">
        <v>44349</v>
      </c>
      <c r="D47" s="507">
        <f>YEAR(Tabla1[[#This Row],[FECHA]])</f>
        <v>2021</v>
      </c>
      <c r="E47" s="72">
        <f>_xlfn.ISOWEEKNUM(Tabla1[[#This Row],[FECHA]])</f>
        <v>22</v>
      </c>
      <c r="F47" s="72" t="s">
        <v>152</v>
      </c>
      <c r="G47" s="73" t="s">
        <v>29</v>
      </c>
      <c r="H47" s="74">
        <f>173-117</f>
        <v>56</v>
      </c>
      <c r="I47" s="72">
        <v>33</v>
      </c>
      <c r="J47" s="72">
        <v>5</v>
      </c>
      <c r="K47" s="86">
        <v>205</v>
      </c>
      <c r="L47" s="87">
        <v>205</v>
      </c>
      <c r="M47" s="86">
        <f>+Tabla1[[#This Row],[Rasimos Cosechados]]-Tabla1[[#This Row],[Rasimos Prosesados]]</f>
        <v>0</v>
      </c>
      <c r="N47" s="88">
        <f>+Tabla1[[#This Row],[Rasimos Cosechados]]/Tabla1[[#This Row],[Cajas Elaboradas]]</f>
        <v>3.6607142857142856</v>
      </c>
      <c r="O47" s="89">
        <f>+Tabla1[[#This Row],[Rasimos Prosesados]]/Tabla1[[#This Row],[Cajas Elaboradas]]</f>
        <v>3.6607142857142856</v>
      </c>
      <c r="P47" s="81">
        <f>IF(H47,'DATOS PARA CALCULO'!D$18,0)</f>
        <v>1500</v>
      </c>
      <c r="Q47" s="80">
        <f>IF(I47,'DATOS PARA CALCULO'!D$22,0)</f>
        <v>500</v>
      </c>
      <c r="R47" s="81">
        <f t="shared" si="0"/>
        <v>84000</v>
      </c>
      <c r="S47" s="80">
        <f t="shared" si="1"/>
        <v>16500</v>
      </c>
      <c r="T47" s="81">
        <f t="shared" si="2"/>
        <v>100500</v>
      </c>
      <c r="U47" s="80">
        <f>IF('CAJAS ELABORADAS'!$J47&gt;0,'CAJAS ELABORADAS'!$Y47*'CAJAS ELABORADAS'!$J47,0)</f>
        <v>150000</v>
      </c>
      <c r="V47" s="82">
        <f>'CAJAS ELABORADAS'!$Y47/'DATOS PARA CALCULO'!$D$27</f>
        <v>1</v>
      </c>
      <c r="W47" s="79">
        <f>(Tabla1[[#This Row],[Valor Pagado]]-Tabla1[[#This Row],[PRODUCIDO BOLSAS]])/Tabla1[[#This Row],[Cajas Elaboradas]]</f>
        <v>2383.9285714285716</v>
      </c>
      <c r="X47" s="90">
        <f t="shared" si="3"/>
        <v>20100</v>
      </c>
      <c r="Y47" s="91">
        <f>IF('CAJAS ELABORADAS'!$X47&lt;'DATOS PARA CALCULO'!$D$27,'DATOS PARA CALCULO'!$D$27,'CAJAS ELABORADAS'!$X47)</f>
        <v>30000</v>
      </c>
      <c r="Z47" s="92">
        <f>Tabla1[[#This Row],[VALOR  A PAGAR]]-Tabla1[[#This Row],[VALOR GANADO]]</f>
        <v>9900</v>
      </c>
    </row>
    <row r="48" spans="3:26" ht="18.75" x14ac:dyDescent="0.25">
      <c r="C48" s="71">
        <v>44349</v>
      </c>
      <c r="D48" s="507">
        <f>YEAR(Tabla1[[#This Row],[FECHA]])</f>
        <v>2021</v>
      </c>
      <c r="E48" s="72">
        <f>_xlfn.ISOWEEKNUM(Tabla1[[#This Row],[FECHA]])</f>
        <v>22</v>
      </c>
      <c r="F48" s="72"/>
      <c r="G48" s="73" t="s">
        <v>30</v>
      </c>
      <c r="H48" s="74">
        <v>73</v>
      </c>
      <c r="I48" s="72">
        <v>25</v>
      </c>
      <c r="J48" s="72">
        <v>7</v>
      </c>
      <c r="K48" s="86"/>
      <c r="L48" s="87"/>
      <c r="M48" s="86">
        <f>+Tabla1[[#This Row],[Rasimos Cosechados]]-Tabla1[[#This Row],[Rasimos Prosesados]]</f>
        <v>0</v>
      </c>
      <c r="N48" s="88">
        <f>+Tabla1[[#This Row],[Rasimos Cosechados]]/Tabla1[[#This Row],[Cajas Elaboradas]]</f>
        <v>0</v>
      </c>
      <c r="O48" s="89">
        <f>+Tabla1[[#This Row],[Rasimos Prosesados]]/Tabla1[[#This Row],[Cajas Elaboradas]]</f>
        <v>0</v>
      </c>
      <c r="P48" s="81">
        <f>IF(H48,'DATOS PARA CALCULO'!D$18,0)</f>
        <v>1500</v>
      </c>
      <c r="Q48" s="80">
        <f>IF(I48,'DATOS PARA CALCULO'!D$22,0)</f>
        <v>500</v>
      </c>
      <c r="R48" s="81">
        <f t="shared" si="0"/>
        <v>109500</v>
      </c>
      <c r="S48" s="80">
        <f t="shared" si="1"/>
        <v>12500</v>
      </c>
      <c r="T48" s="81">
        <f t="shared" si="2"/>
        <v>122000</v>
      </c>
      <c r="U48" s="80">
        <f>IF('CAJAS ELABORADAS'!$J48&gt;0,'CAJAS ELABORADAS'!$Y48*'CAJAS ELABORADAS'!$J48,0)</f>
        <v>210000</v>
      </c>
      <c r="V48" s="82">
        <f>'CAJAS ELABORADAS'!$Y48/'DATOS PARA CALCULO'!$D$27</f>
        <v>1</v>
      </c>
      <c r="W48" s="79">
        <f>(Tabla1[[#This Row],[Valor Pagado]]-Tabla1[[#This Row],[PRODUCIDO BOLSAS]])/Tabla1[[#This Row],[Cajas Elaboradas]]</f>
        <v>2705.4794520547944</v>
      </c>
      <c r="X48" s="90">
        <f t="shared" si="3"/>
        <v>17428.571428571428</v>
      </c>
      <c r="Y48" s="91">
        <f>IF('CAJAS ELABORADAS'!$X48&lt;'DATOS PARA CALCULO'!$D$27,'DATOS PARA CALCULO'!$D$27,'CAJAS ELABORADAS'!$X48)</f>
        <v>30000</v>
      </c>
      <c r="Z48" s="92">
        <f>Tabla1[[#This Row],[VALOR  A PAGAR]]-Tabla1[[#This Row],[VALOR GANADO]]</f>
        <v>12571.428571428572</v>
      </c>
    </row>
    <row r="49" spans="3:26" ht="18.75" x14ac:dyDescent="0.25">
      <c r="C49" s="71">
        <v>44355</v>
      </c>
      <c r="D49" s="507">
        <f>YEAR(Tabla1[[#This Row],[FECHA]])</f>
        <v>2021</v>
      </c>
      <c r="E49" s="72">
        <f>_xlfn.ISOWEEKNUM(Tabla1[[#This Row],[FECHA]])</f>
        <v>23</v>
      </c>
      <c r="F49" s="72" t="s">
        <v>157</v>
      </c>
      <c r="G49" s="73" t="s">
        <v>31</v>
      </c>
      <c r="H49" s="74">
        <f>120-9</f>
        <v>111</v>
      </c>
      <c r="I49" s="72">
        <v>95</v>
      </c>
      <c r="J49" s="72">
        <v>19</v>
      </c>
      <c r="K49" s="86"/>
      <c r="L49" s="87"/>
      <c r="M49" s="86">
        <f>+Tabla1[[#This Row],[Rasimos Cosechados]]-Tabla1[[#This Row],[Rasimos Prosesados]]</f>
        <v>0</v>
      </c>
      <c r="N49" s="88">
        <f>+Tabla1[[#This Row],[Rasimos Cosechados]]/Tabla1[[#This Row],[Cajas Elaboradas]]</f>
        <v>0</v>
      </c>
      <c r="O49" s="89">
        <f>+Tabla1[[#This Row],[Rasimos Prosesados]]/Tabla1[[#This Row],[Cajas Elaboradas]]</f>
        <v>0</v>
      </c>
      <c r="P49" s="79">
        <v>3000</v>
      </c>
      <c r="Q49" s="80">
        <f>IF(I49,'DATOS PARA CALCULO'!D$22,0)</f>
        <v>500</v>
      </c>
      <c r="R49" s="81">
        <f t="shared" si="0"/>
        <v>333000</v>
      </c>
      <c r="S49" s="80">
        <f t="shared" si="1"/>
        <v>47500</v>
      </c>
      <c r="T49" s="81">
        <f t="shared" si="2"/>
        <v>380500</v>
      </c>
      <c r="U49" s="80">
        <f>IF('CAJAS ELABORADAS'!$J49&gt;0,'CAJAS ELABORADAS'!$Y49*'CAJAS ELABORADAS'!$J49,0)</f>
        <v>570000</v>
      </c>
      <c r="V49" s="82">
        <f>'CAJAS ELABORADAS'!$Y49/'DATOS PARA CALCULO'!$D$27</f>
        <v>1</v>
      </c>
      <c r="W49" s="79">
        <f>(Tabla1[[#This Row],[Valor Pagado]]-Tabla1[[#This Row],[PRODUCIDO BOLSAS]])/Tabla1[[#This Row],[Cajas Elaboradas]]</f>
        <v>4707.2072072072069</v>
      </c>
      <c r="X49" s="90">
        <f t="shared" si="3"/>
        <v>20026.315789473683</v>
      </c>
      <c r="Y49" s="91">
        <f>IF('CAJAS ELABORADAS'!$X49&lt;'DATOS PARA CALCULO'!$D$27,'DATOS PARA CALCULO'!$D$27,'CAJAS ELABORADAS'!$X49)</f>
        <v>30000</v>
      </c>
      <c r="Z49" s="92">
        <f>Tabla1[[#This Row],[VALOR  A PAGAR]]-Tabla1[[#This Row],[VALOR GANADO]]</f>
        <v>9973.6842105263167</v>
      </c>
    </row>
    <row r="50" spans="3:26" ht="18.75" x14ac:dyDescent="0.25">
      <c r="C50" s="71">
        <v>44355</v>
      </c>
      <c r="D50" s="507">
        <f>YEAR(Tabla1[[#This Row],[FECHA]])</f>
        <v>2021</v>
      </c>
      <c r="E50" s="72">
        <f>_xlfn.ISOWEEKNUM(Tabla1[[#This Row],[FECHA]])</f>
        <v>23</v>
      </c>
      <c r="F50" s="57" t="s">
        <v>155</v>
      </c>
      <c r="G50" s="73" t="s">
        <v>28</v>
      </c>
      <c r="H50" s="74">
        <v>139</v>
      </c>
      <c r="I50" s="72">
        <v>50</v>
      </c>
      <c r="J50" s="72">
        <v>9</v>
      </c>
      <c r="K50" s="86"/>
      <c r="L50" s="87"/>
      <c r="M50" s="86">
        <f>+Tabla1[[#This Row],[Rasimos Cosechados]]-Tabla1[[#This Row],[Rasimos Prosesados]]</f>
        <v>0</v>
      </c>
      <c r="N50" s="88">
        <f>+Tabla1[[#This Row],[Rasimos Cosechados]]/Tabla1[[#This Row],[Cajas Elaboradas]]</f>
        <v>0</v>
      </c>
      <c r="O50" s="89">
        <f>+Tabla1[[#This Row],[Rasimos Prosesados]]/Tabla1[[#This Row],[Cajas Elaboradas]]</f>
        <v>0</v>
      </c>
      <c r="P50" s="81">
        <f>IF(H50,'DATOS PARA CALCULO'!D$18,0)</f>
        <v>1500</v>
      </c>
      <c r="Q50" s="80">
        <f>IF(I50,'DATOS PARA CALCULO'!D$22,0)</f>
        <v>500</v>
      </c>
      <c r="R50" s="81">
        <f t="shared" si="0"/>
        <v>208500</v>
      </c>
      <c r="S50" s="80">
        <f t="shared" si="1"/>
        <v>25000</v>
      </c>
      <c r="T50" s="81">
        <f t="shared" si="2"/>
        <v>233500</v>
      </c>
      <c r="U50" s="80">
        <f>IF('CAJAS ELABORADAS'!$J50&gt;0,'CAJAS ELABORADAS'!$Y50*'CAJAS ELABORADAS'!$J50,0)</f>
        <v>270000</v>
      </c>
      <c r="V50" s="82">
        <f>'CAJAS ELABORADAS'!$Y50/'DATOS PARA CALCULO'!$D$27</f>
        <v>1</v>
      </c>
      <c r="W50" s="79">
        <f>(Tabla1[[#This Row],[Valor Pagado]]-Tabla1[[#This Row],[PRODUCIDO BOLSAS]])/Tabla1[[#This Row],[Cajas Elaboradas]]</f>
        <v>1762.5899280575541</v>
      </c>
      <c r="X50" s="90">
        <f t="shared" si="3"/>
        <v>25944.444444444445</v>
      </c>
      <c r="Y50" s="91">
        <f>IF('CAJAS ELABORADAS'!$X50&lt;'DATOS PARA CALCULO'!$D$27,'DATOS PARA CALCULO'!$D$27,'CAJAS ELABORADAS'!$X50)</f>
        <v>30000</v>
      </c>
      <c r="Z50" s="92">
        <f>Tabla1[[#This Row],[VALOR  A PAGAR]]-Tabla1[[#This Row],[VALOR GANADO]]</f>
        <v>4055.5555555555547</v>
      </c>
    </row>
    <row r="51" spans="3:26" ht="18.75" x14ac:dyDescent="0.25">
      <c r="C51" s="71">
        <v>44356</v>
      </c>
      <c r="D51" s="507">
        <f>YEAR(Tabla1[[#This Row],[FECHA]])</f>
        <v>2021</v>
      </c>
      <c r="E51" s="72">
        <f>_xlfn.ISOWEEKNUM(Tabla1[[#This Row],[FECHA]])</f>
        <v>23</v>
      </c>
      <c r="F51" s="72" t="s">
        <v>152</v>
      </c>
      <c r="G51" s="73" t="s">
        <v>29</v>
      </c>
      <c r="H51" s="74">
        <f>182-38</f>
        <v>144</v>
      </c>
      <c r="I51" s="72">
        <v>30</v>
      </c>
      <c r="J51" s="72">
        <v>6</v>
      </c>
      <c r="K51" s="86">
        <v>496</v>
      </c>
      <c r="L51" s="87">
        <v>458</v>
      </c>
      <c r="M51" s="86">
        <f>+Tabla1[[#This Row],[Rasimos Cosechados]]-Tabla1[[#This Row],[Rasimos Prosesados]]</f>
        <v>38</v>
      </c>
      <c r="N51" s="88">
        <f>+Tabla1[[#This Row],[Rasimos Cosechados]]/Tabla1[[#This Row],[Cajas Elaboradas]]</f>
        <v>3.4444444444444446</v>
      </c>
      <c r="O51" s="89">
        <f>+Tabla1[[#This Row],[Rasimos Prosesados]]/Tabla1[[#This Row],[Cajas Elaboradas]]</f>
        <v>3.1805555555555554</v>
      </c>
      <c r="P51" s="81">
        <f>IF(H51,'DATOS PARA CALCULO'!D$18,0)</f>
        <v>1500</v>
      </c>
      <c r="Q51" s="80">
        <f>IF(I51,'DATOS PARA CALCULO'!D$22,0)</f>
        <v>500</v>
      </c>
      <c r="R51" s="81">
        <f t="shared" si="0"/>
        <v>216000</v>
      </c>
      <c r="S51" s="80">
        <f t="shared" si="1"/>
        <v>15000</v>
      </c>
      <c r="T51" s="81">
        <f t="shared" si="2"/>
        <v>231000</v>
      </c>
      <c r="U51" s="80">
        <f>IF('CAJAS ELABORADAS'!$J51&gt;0,'CAJAS ELABORADAS'!$Y51*'CAJAS ELABORADAS'!$J51,0)</f>
        <v>231000</v>
      </c>
      <c r="V51" s="82">
        <f>'CAJAS ELABORADAS'!$Y51/'DATOS PARA CALCULO'!$D$27</f>
        <v>1.2833333333333334</v>
      </c>
      <c r="W51" s="79">
        <f>(Tabla1[[#This Row],[Valor Pagado]]-Tabla1[[#This Row],[PRODUCIDO BOLSAS]])/Tabla1[[#This Row],[Cajas Elaboradas]]</f>
        <v>1500</v>
      </c>
      <c r="X51" s="90">
        <f t="shared" si="3"/>
        <v>38500</v>
      </c>
      <c r="Y51" s="91">
        <f>IF('CAJAS ELABORADAS'!$X51&lt;'DATOS PARA CALCULO'!$D$27,'DATOS PARA CALCULO'!$D$27,'CAJAS ELABORADAS'!$X51)</f>
        <v>38500</v>
      </c>
      <c r="Z51" s="92">
        <f>Tabla1[[#This Row],[VALOR  A PAGAR]]-Tabla1[[#This Row],[VALOR GANADO]]</f>
        <v>0</v>
      </c>
    </row>
    <row r="52" spans="3:26" ht="18.75" x14ac:dyDescent="0.25">
      <c r="C52" s="71">
        <v>44356</v>
      </c>
      <c r="D52" s="507">
        <f>YEAR(Tabla1[[#This Row],[FECHA]])</f>
        <v>2021</v>
      </c>
      <c r="E52" s="72">
        <f>_xlfn.ISOWEEKNUM(Tabla1[[#This Row],[FECHA]])</f>
        <v>23</v>
      </c>
      <c r="F52" s="72" t="s">
        <v>157</v>
      </c>
      <c r="G52" s="73" t="s">
        <v>31</v>
      </c>
      <c r="H52" s="74">
        <v>38</v>
      </c>
      <c r="I52" s="72">
        <v>20</v>
      </c>
      <c r="J52" s="72">
        <v>5</v>
      </c>
      <c r="K52" s="86"/>
      <c r="L52" s="87"/>
      <c r="M52" s="86">
        <f>+Tabla1[[#This Row],[Rasimos Cosechados]]-Tabla1[[#This Row],[Rasimos Prosesados]]</f>
        <v>0</v>
      </c>
      <c r="N52" s="88">
        <f>+Tabla1[[#This Row],[Rasimos Cosechados]]/Tabla1[[#This Row],[Cajas Elaboradas]]</f>
        <v>0</v>
      </c>
      <c r="O52" s="89">
        <f>+Tabla1[[#This Row],[Rasimos Prosesados]]/Tabla1[[#This Row],[Cajas Elaboradas]]</f>
        <v>0</v>
      </c>
      <c r="P52" s="79">
        <v>3000</v>
      </c>
      <c r="Q52" s="80">
        <f>IF(I52,'DATOS PARA CALCULO'!D$22,0)</f>
        <v>500</v>
      </c>
      <c r="R52" s="81">
        <f t="shared" si="0"/>
        <v>114000</v>
      </c>
      <c r="S52" s="80">
        <f t="shared" si="1"/>
        <v>10000</v>
      </c>
      <c r="T52" s="81">
        <f t="shared" si="2"/>
        <v>124000</v>
      </c>
      <c r="U52" s="80">
        <f>IF('CAJAS ELABORADAS'!$J52&gt;0,'CAJAS ELABORADAS'!$Y52*'CAJAS ELABORADAS'!$J52,0)</f>
        <v>150000</v>
      </c>
      <c r="V52" s="82">
        <f>'CAJAS ELABORADAS'!$Y52/'DATOS PARA CALCULO'!$D$27</f>
        <v>1</v>
      </c>
      <c r="W52" s="79">
        <f>(Tabla1[[#This Row],[Valor Pagado]]-Tabla1[[#This Row],[PRODUCIDO BOLSAS]])/Tabla1[[#This Row],[Cajas Elaboradas]]</f>
        <v>3684.2105263157896</v>
      </c>
      <c r="X52" s="90">
        <f t="shared" si="3"/>
        <v>24800</v>
      </c>
      <c r="Y52" s="91">
        <f>IF('CAJAS ELABORADAS'!$X52&lt;'DATOS PARA CALCULO'!$D$27,'DATOS PARA CALCULO'!$D$27,'CAJAS ELABORADAS'!$X52)</f>
        <v>30000</v>
      </c>
      <c r="Z52" s="92">
        <f>Tabla1[[#This Row],[VALOR  A PAGAR]]-Tabla1[[#This Row],[VALOR GANADO]]</f>
        <v>5200</v>
      </c>
    </row>
    <row r="53" spans="3:26" ht="18.75" x14ac:dyDescent="0.25">
      <c r="C53" s="71">
        <v>44356</v>
      </c>
      <c r="D53" s="507">
        <f>YEAR(Tabla1[[#This Row],[FECHA]])</f>
        <v>2021</v>
      </c>
      <c r="E53" s="72">
        <f>_xlfn.ISOWEEKNUM(Tabla1[[#This Row],[FECHA]])</f>
        <v>23</v>
      </c>
      <c r="F53" s="72"/>
      <c r="G53" s="73" t="s">
        <v>30</v>
      </c>
      <c r="H53" s="74">
        <v>71</v>
      </c>
      <c r="I53" s="72">
        <v>14</v>
      </c>
      <c r="J53" s="72">
        <v>7</v>
      </c>
      <c r="K53" s="86"/>
      <c r="L53" s="87"/>
      <c r="M53" s="86">
        <f>+Tabla1[[#This Row],[Rasimos Cosechados]]-Tabla1[[#This Row],[Rasimos Prosesados]]</f>
        <v>0</v>
      </c>
      <c r="N53" s="88">
        <f>+Tabla1[[#This Row],[Rasimos Cosechados]]/Tabla1[[#This Row],[Cajas Elaboradas]]</f>
        <v>0</v>
      </c>
      <c r="O53" s="89">
        <f>+Tabla1[[#This Row],[Rasimos Prosesados]]/Tabla1[[#This Row],[Cajas Elaboradas]]</f>
        <v>0</v>
      </c>
      <c r="P53" s="81">
        <f>IF(H53,'DATOS PARA CALCULO'!D$18,0)</f>
        <v>1500</v>
      </c>
      <c r="Q53" s="80">
        <f>IF(I53,'DATOS PARA CALCULO'!D$22,0)</f>
        <v>500</v>
      </c>
      <c r="R53" s="81">
        <f t="shared" si="0"/>
        <v>106500</v>
      </c>
      <c r="S53" s="80">
        <f t="shared" si="1"/>
        <v>7000</v>
      </c>
      <c r="T53" s="81">
        <f t="shared" si="2"/>
        <v>113500</v>
      </c>
      <c r="U53" s="80">
        <f>IF('CAJAS ELABORADAS'!$J53&gt;0,'CAJAS ELABORADAS'!$Y53*'CAJAS ELABORADAS'!$J53,0)</f>
        <v>210000</v>
      </c>
      <c r="V53" s="82">
        <f>'CAJAS ELABORADAS'!$Y53/'DATOS PARA CALCULO'!$D$27</f>
        <v>1</v>
      </c>
      <c r="W53" s="79">
        <f>(Tabla1[[#This Row],[Valor Pagado]]-Tabla1[[#This Row],[PRODUCIDO BOLSAS]])/Tabla1[[#This Row],[Cajas Elaboradas]]</f>
        <v>2859.1549295774648</v>
      </c>
      <c r="X53" s="90">
        <f t="shared" si="3"/>
        <v>16214.285714285714</v>
      </c>
      <c r="Y53" s="91">
        <f>IF('CAJAS ELABORADAS'!$X53&lt;'DATOS PARA CALCULO'!$D$27,'DATOS PARA CALCULO'!$D$27,'CAJAS ELABORADAS'!$X53)</f>
        <v>30000</v>
      </c>
      <c r="Z53" s="92">
        <f>Tabla1[[#This Row],[VALOR  A PAGAR]]-Tabla1[[#This Row],[VALOR GANADO]]</f>
        <v>13785.714285714286</v>
      </c>
    </row>
    <row r="54" spans="3:26" ht="18.75" x14ac:dyDescent="0.25">
      <c r="C54" s="71">
        <v>44362</v>
      </c>
      <c r="D54" s="507">
        <f>YEAR(Tabla1[[#This Row],[FECHA]])</f>
        <v>2021</v>
      </c>
      <c r="E54" s="72">
        <f>_xlfn.ISOWEEKNUM(Tabla1[[#This Row],[FECHA]])</f>
        <v>24</v>
      </c>
      <c r="F54" s="72" t="s">
        <v>152</v>
      </c>
      <c r="G54" s="73" t="s">
        <v>29</v>
      </c>
      <c r="H54" s="74">
        <v>300</v>
      </c>
      <c r="I54" s="72">
        <v>120</v>
      </c>
      <c r="J54" s="72">
        <v>14</v>
      </c>
      <c r="K54" s="86">
        <v>1080</v>
      </c>
      <c r="L54" s="87">
        <v>896</v>
      </c>
      <c r="M54" s="86">
        <f>+Tabla1[[#This Row],[Rasimos Cosechados]]-Tabla1[[#This Row],[Rasimos Prosesados]]</f>
        <v>184</v>
      </c>
      <c r="N54" s="88">
        <f>+Tabla1[[#This Row],[Rasimos Cosechados]]/Tabla1[[#This Row],[Cajas Elaboradas]]</f>
        <v>3.6</v>
      </c>
      <c r="O54" s="89">
        <f>+Tabla1[[#This Row],[Rasimos Prosesados]]/Tabla1[[#This Row],[Cajas Elaboradas]]</f>
        <v>2.9866666666666668</v>
      </c>
      <c r="P54" s="81">
        <f>IF(H54,'DATOS PARA CALCULO'!D$18,0)</f>
        <v>1500</v>
      </c>
      <c r="Q54" s="80">
        <f>IF(I54,'DATOS PARA CALCULO'!D$22,0)</f>
        <v>500</v>
      </c>
      <c r="R54" s="81">
        <f t="shared" si="0"/>
        <v>450000</v>
      </c>
      <c r="S54" s="80">
        <f t="shared" si="1"/>
        <v>60000</v>
      </c>
      <c r="T54" s="81">
        <f t="shared" si="2"/>
        <v>510000</v>
      </c>
      <c r="U54" s="80">
        <f>IF('CAJAS ELABORADAS'!$J54&gt;0,'CAJAS ELABORADAS'!$Y54*'CAJAS ELABORADAS'!$J54,0)</f>
        <v>510000</v>
      </c>
      <c r="V54" s="82">
        <f>'CAJAS ELABORADAS'!$Y54/'DATOS PARA CALCULO'!$D$27</f>
        <v>1.2142857142857142</v>
      </c>
      <c r="W54" s="79">
        <f>(Tabla1[[#This Row],[Valor Pagado]]-Tabla1[[#This Row],[PRODUCIDO BOLSAS]])/Tabla1[[#This Row],[Cajas Elaboradas]]</f>
        <v>1500</v>
      </c>
      <c r="X54" s="90">
        <f t="shared" si="3"/>
        <v>36428.571428571428</v>
      </c>
      <c r="Y54" s="91">
        <f>IF('CAJAS ELABORADAS'!$X54&lt;'DATOS PARA CALCULO'!$D$27,'DATOS PARA CALCULO'!$D$27,'CAJAS ELABORADAS'!$X54)</f>
        <v>36428.571428571428</v>
      </c>
      <c r="Z54" s="92">
        <f>Tabla1[[#This Row],[VALOR  A PAGAR]]-Tabla1[[#This Row],[VALOR GANADO]]</f>
        <v>0</v>
      </c>
    </row>
    <row r="55" spans="3:26" ht="18.75" x14ac:dyDescent="0.25">
      <c r="C55" s="71">
        <v>44362</v>
      </c>
      <c r="D55" s="507">
        <f>YEAR(Tabla1[[#This Row],[FECHA]])</f>
        <v>2021</v>
      </c>
      <c r="E55" s="72">
        <f>_xlfn.ISOWEEKNUM(Tabla1[[#This Row],[FECHA]])</f>
        <v>24</v>
      </c>
      <c r="F55" s="72"/>
      <c r="G55" s="73" t="s">
        <v>30</v>
      </c>
      <c r="H55" s="74">
        <v>100</v>
      </c>
      <c r="I55" s="72">
        <v>32</v>
      </c>
      <c r="J55" s="72">
        <v>7</v>
      </c>
      <c r="K55" s="86"/>
      <c r="L55" s="87"/>
      <c r="M55" s="86">
        <f>+Tabla1[[#This Row],[Rasimos Cosechados]]-Tabla1[[#This Row],[Rasimos Prosesados]]</f>
        <v>0</v>
      </c>
      <c r="N55" s="88">
        <f>+Tabla1[[#This Row],[Rasimos Cosechados]]/Tabla1[[#This Row],[Cajas Elaboradas]]</f>
        <v>0</v>
      </c>
      <c r="O55" s="89">
        <f>+Tabla1[[#This Row],[Rasimos Prosesados]]/Tabla1[[#This Row],[Cajas Elaboradas]]</f>
        <v>0</v>
      </c>
      <c r="P55" s="81">
        <f>IF(H55,'DATOS PARA CALCULO'!D$18,0)</f>
        <v>1500</v>
      </c>
      <c r="Q55" s="80">
        <f>IF(I55,'DATOS PARA CALCULO'!D$22,0)</f>
        <v>500</v>
      </c>
      <c r="R55" s="81">
        <f t="shared" si="0"/>
        <v>150000</v>
      </c>
      <c r="S55" s="80">
        <f t="shared" si="1"/>
        <v>16000</v>
      </c>
      <c r="T55" s="81">
        <f t="shared" si="2"/>
        <v>166000</v>
      </c>
      <c r="U55" s="80">
        <f>IF('CAJAS ELABORADAS'!$J55&gt;0,'CAJAS ELABORADAS'!$Y55*'CAJAS ELABORADAS'!$J55,0)</f>
        <v>210000</v>
      </c>
      <c r="V55" s="82">
        <f>'CAJAS ELABORADAS'!$Y55/'DATOS PARA CALCULO'!$D$27</f>
        <v>1</v>
      </c>
      <c r="W55" s="79">
        <f>(Tabla1[[#This Row],[Valor Pagado]]-Tabla1[[#This Row],[PRODUCIDO BOLSAS]])/Tabla1[[#This Row],[Cajas Elaboradas]]</f>
        <v>1940</v>
      </c>
      <c r="X55" s="90">
        <f t="shared" si="3"/>
        <v>23714.285714285714</v>
      </c>
      <c r="Y55" s="91">
        <f>IF('CAJAS ELABORADAS'!$X55&lt;'DATOS PARA CALCULO'!$D$27,'DATOS PARA CALCULO'!$D$27,'CAJAS ELABORADAS'!$X55)</f>
        <v>30000</v>
      </c>
      <c r="Z55" s="92">
        <f>Tabla1[[#This Row],[VALOR  A PAGAR]]-Tabla1[[#This Row],[VALOR GANADO]]</f>
        <v>6285.7142857142862</v>
      </c>
    </row>
    <row r="56" spans="3:26" ht="18.75" x14ac:dyDescent="0.25">
      <c r="C56" s="71">
        <v>44363</v>
      </c>
      <c r="D56" s="507">
        <f>YEAR(Tabla1[[#This Row],[FECHA]])</f>
        <v>2021</v>
      </c>
      <c r="E56" s="72">
        <f>_xlfn.ISOWEEKNUM(Tabla1[[#This Row],[FECHA]])</f>
        <v>24</v>
      </c>
      <c r="F56" s="72" t="s">
        <v>152</v>
      </c>
      <c r="G56" s="73" t="s">
        <v>29</v>
      </c>
      <c r="H56" s="74">
        <f>130+100</f>
        <v>230</v>
      </c>
      <c r="I56" s="72">
        <v>97</v>
      </c>
      <c r="J56" s="72">
        <v>13</v>
      </c>
      <c r="K56" s="86">
        <v>832</v>
      </c>
      <c r="L56" s="87">
        <v>738</v>
      </c>
      <c r="M56" s="86">
        <f>+Tabla1[[#This Row],[Rasimos Cosechados]]-Tabla1[[#This Row],[Rasimos Prosesados]]</f>
        <v>94</v>
      </c>
      <c r="N56" s="88">
        <f>+Tabla1[[#This Row],[Rasimos Cosechados]]/Tabla1[[#This Row],[Cajas Elaboradas]]</f>
        <v>3.6173913043478261</v>
      </c>
      <c r="O56" s="89">
        <f>+Tabla1[[#This Row],[Rasimos Prosesados]]/Tabla1[[#This Row],[Cajas Elaboradas]]</f>
        <v>3.2086956521739132</v>
      </c>
      <c r="P56" s="81">
        <f>IF(H56,'DATOS PARA CALCULO'!D$18,0)</f>
        <v>1500</v>
      </c>
      <c r="Q56" s="80">
        <f>IF(I56,'DATOS PARA CALCULO'!D$22,0)</f>
        <v>500</v>
      </c>
      <c r="R56" s="81">
        <f t="shared" si="0"/>
        <v>345000</v>
      </c>
      <c r="S56" s="80">
        <f t="shared" si="1"/>
        <v>48500</v>
      </c>
      <c r="T56" s="81">
        <f t="shared" si="2"/>
        <v>393500</v>
      </c>
      <c r="U56" s="80">
        <f>IF('CAJAS ELABORADAS'!$J56&gt;0,'CAJAS ELABORADAS'!$Y56*'CAJAS ELABORADAS'!$J56,0)</f>
        <v>393500</v>
      </c>
      <c r="V56" s="82">
        <f>'CAJAS ELABORADAS'!$Y56/'DATOS PARA CALCULO'!$D$27</f>
        <v>1.0089743589743589</v>
      </c>
      <c r="W56" s="79">
        <f>(Tabla1[[#This Row],[Valor Pagado]]-Tabla1[[#This Row],[PRODUCIDO BOLSAS]])/Tabla1[[#This Row],[Cajas Elaboradas]]</f>
        <v>1500</v>
      </c>
      <c r="X56" s="90">
        <f t="shared" si="3"/>
        <v>30269.23076923077</v>
      </c>
      <c r="Y56" s="91">
        <f>IF('CAJAS ELABORADAS'!$X56&lt;'DATOS PARA CALCULO'!$D$27,'DATOS PARA CALCULO'!$D$27,'CAJAS ELABORADAS'!$X56)</f>
        <v>30269.23076923077</v>
      </c>
      <c r="Z56" s="92">
        <f>Tabla1[[#This Row],[VALOR  A PAGAR]]-Tabla1[[#This Row],[VALOR GANADO]]</f>
        <v>0</v>
      </c>
    </row>
    <row r="57" spans="3:26" ht="18.75" x14ac:dyDescent="0.25">
      <c r="C57" s="71">
        <v>44363</v>
      </c>
      <c r="D57" s="507">
        <f>YEAR(Tabla1[[#This Row],[FECHA]])</f>
        <v>2021</v>
      </c>
      <c r="E57" s="72">
        <f>_xlfn.ISOWEEKNUM(Tabla1[[#This Row],[FECHA]])</f>
        <v>24</v>
      </c>
      <c r="F57" s="57" t="s">
        <v>155</v>
      </c>
      <c r="G57" s="73" t="s">
        <v>28</v>
      </c>
      <c r="H57" s="74">
        <v>163</v>
      </c>
      <c r="I57" s="72">
        <v>66</v>
      </c>
      <c r="J57" s="72">
        <v>9</v>
      </c>
      <c r="K57" s="86"/>
      <c r="L57" s="87"/>
      <c r="M57" s="86">
        <f>+Tabla1[[#This Row],[Rasimos Cosechados]]-Tabla1[[#This Row],[Rasimos Prosesados]]</f>
        <v>0</v>
      </c>
      <c r="N57" s="88">
        <f>+Tabla1[[#This Row],[Rasimos Cosechados]]/Tabla1[[#This Row],[Cajas Elaboradas]]</f>
        <v>0</v>
      </c>
      <c r="O57" s="89">
        <f>+Tabla1[[#This Row],[Rasimos Prosesados]]/Tabla1[[#This Row],[Cajas Elaboradas]]</f>
        <v>0</v>
      </c>
      <c r="P57" s="81">
        <f>IF(H57,'DATOS PARA CALCULO'!D$18,0)</f>
        <v>1500</v>
      </c>
      <c r="Q57" s="80">
        <f>IF(I57,'DATOS PARA CALCULO'!D$22,0)</f>
        <v>500</v>
      </c>
      <c r="R57" s="81">
        <f t="shared" si="0"/>
        <v>244500</v>
      </c>
      <c r="S57" s="80">
        <f t="shared" si="1"/>
        <v>33000</v>
      </c>
      <c r="T57" s="81">
        <f t="shared" si="2"/>
        <v>277500</v>
      </c>
      <c r="U57" s="80">
        <f>IF('CAJAS ELABORADAS'!$J57&gt;0,'CAJAS ELABORADAS'!$Y57*'CAJAS ELABORADAS'!$J57,0)</f>
        <v>277500</v>
      </c>
      <c r="V57" s="82">
        <f>'CAJAS ELABORADAS'!$Y57/'DATOS PARA CALCULO'!$D$27</f>
        <v>1.0277777777777777</v>
      </c>
      <c r="W57" s="79">
        <f>(Tabla1[[#This Row],[Valor Pagado]]-Tabla1[[#This Row],[PRODUCIDO BOLSAS]])/Tabla1[[#This Row],[Cajas Elaboradas]]</f>
        <v>1500</v>
      </c>
      <c r="X57" s="90">
        <f t="shared" si="3"/>
        <v>30833.333333333332</v>
      </c>
      <c r="Y57" s="91">
        <f>IF('CAJAS ELABORADAS'!$X57&lt;'DATOS PARA CALCULO'!$D$27,'DATOS PARA CALCULO'!$D$27,'CAJAS ELABORADAS'!$X57)</f>
        <v>30833.333333333332</v>
      </c>
      <c r="Z57" s="92">
        <f>Tabla1[[#This Row],[VALOR  A PAGAR]]-Tabla1[[#This Row],[VALOR GANADO]]</f>
        <v>0</v>
      </c>
    </row>
    <row r="58" spans="3:26" ht="18.75" x14ac:dyDescent="0.25">
      <c r="C58" s="71">
        <v>44363</v>
      </c>
      <c r="D58" s="507">
        <f>YEAR(Tabla1[[#This Row],[FECHA]])</f>
        <v>2021</v>
      </c>
      <c r="E58" s="72">
        <f>_xlfn.ISOWEEKNUM(Tabla1[[#This Row],[FECHA]])</f>
        <v>24</v>
      </c>
      <c r="F58" s="72" t="s">
        <v>157</v>
      </c>
      <c r="G58" s="73" t="s">
        <v>31</v>
      </c>
      <c r="H58" s="74">
        <v>84</v>
      </c>
      <c r="I58" s="72">
        <v>32</v>
      </c>
      <c r="J58" s="72">
        <v>17</v>
      </c>
      <c r="K58" s="86">
        <f>14+8+13+33+23+8+24+29+29+17+33+25+21+36+26</f>
        <v>339</v>
      </c>
      <c r="L58" s="87"/>
      <c r="M58" s="86">
        <f>+Tabla1[[#This Row],[Rasimos Cosechados]]-Tabla1[[#This Row],[Rasimos Prosesados]]</f>
        <v>339</v>
      </c>
      <c r="N58" s="88">
        <f>+Tabla1[[#This Row],[Rasimos Cosechados]]/Tabla1[[#This Row],[Cajas Elaboradas]]</f>
        <v>4.0357142857142856</v>
      </c>
      <c r="O58" s="89">
        <f>+Tabla1[[#This Row],[Rasimos Prosesados]]/Tabla1[[#This Row],[Cajas Elaboradas]]</f>
        <v>0</v>
      </c>
      <c r="P58" s="79">
        <v>3000</v>
      </c>
      <c r="Q58" s="80">
        <f>IF(I58,'DATOS PARA CALCULO'!D$22,0)</f>
        <v>500</v>
      </c>
      <c r="R58" s="81">
        <f t="shared" si="0"/>
        <v>252000</v>
      </c>
      <c r="S58" s="80">
        <f t="shared" si="1"/>
        <v>16000</v>
      </c>
      <c r="T58" s="81">
        <f t="shared" si="2"/>
        <v>268000</v>
      </c>
      <c r="U58" s="80">
        <f>IF('CAJAS ELABORADAS'!$J58&gt;0,'CAJAS ELABORADAS'!$Y58*'CAJAS ELABORADAS'!$J58,0)</f>
        <v>510000</v>
      </c>
      <c r="V58" s="82">
        <f>'CAJAS ELABORADAS'!$Y58/'DATOS PARA CALCULO'!$D$27</f>
        <v>1</v>
      </c>
      <c r="W58" s="79">
        <f>(Tabla1[[#This Row],[Valor Pagado]]-Tabla1[[#This Row],[PRODUCIDO BOLSAS]])/Tabla1[[#This Row],[Cajas Elaboradas]]</f>
        <v>5880.9523809523807</v>
      </c>
      <c r="X58" s="90">
        <f t="shared" si="3"/>
        <v>15764.705882352941</v>
      </c>
      <c r="Y58" s="91">
        <f>IF('CAJAS ELABORADAS'!$X58&lt;'DATOS PARA CALCULO'!$D$27,'DATOS PARA CALCULO'!$D$27,'CAJAS ELABORADAS'!$X58)</f>
        <v>30000</v>
      </c>
      <c r="Z58" s="92">
        <f>Tabla1[[#This Row],[VALOR  A PAGAR]]-Tabla1[[#This Row],[VALOR GANADO]]</f>
        <v>14235.294117647059</v>
      </c>
    </row>
    <row r="59" spans="3:26" ht="18.75" x14ac:dyDescent="0.25">
      <c r="C59" s="71">
        <v>44369</v>
      </c>
      <c r="D59" s="507">
        <f>YEAR(Tabla1[[#This Row],[FECHA]])</f>
        <v>2021</v>
      </c>
      <c r="E59" s="72">
        <f>_xlfn.ISOWEEKNUM(Tabla1[[#This Row],[FECHA]])</f>
        <v>25</v>
      </c>
      <c r="F59" s="72" t="s">
        <v>152</v>
      </c>
      <c r="G59" s="73" t="s">
        <v>29</v>
      </c>
      <c r="H59" s="74">
        <v>220</v>
      </c>
      <c r="I59" s="72">
        <v>53</v>
      </c>
      <c r="J59" s="72">
        <v>10</v>
      </c>
      <c r="K59" s="86"/>
      <c r="L59" s="87"/>
      <c r="M59" s="86">
        <f>+Tabla1[[#This Row],[Rasimos Cosechados]]-Tabla1[[#This Row],[Rasimos Prosesados]]</f>
        <v>0</v>
      </c>
      <c r="N59" s="88">
        <f>+Tabla1[[#This Row],[Rasimos Cosechados]]/Tabla1[[#This Row],[Cajas Elaboradas]]</f>
        <v>0</v>
      </c>
      <c r="O59" s="89">
        <f>+Tabla1[[#This Row],[Rasimos Prosesados]]/Tabla1[[#This Row],[Cajas Elaboradas]]</f>
        <v>0</v>
      </c>
      <c r="P59" s="81">
        <f>IF(H59,'DATOS PARA CALCULO'!D$18,0)</f>
        <v>1500</v>
      </c>
      <c r="Q59" s="80">
        <f>IF(I59,'DATOS PARA CALCULO'!D$22,0)</f>
        <v>500</v>
      </c>
      <c r="R59" s="81">
        <f t="shared" si="0"/>
        <v>330000</v>
      </c>
      <c r="S59" s="80">
        <f t="shared" si="1"/>
        <v>26500</v>
      </c>
      <c r="T59" s="81">
        <f t="shared" si="2"/>
        <v>356500</v>
      </c>
      <c r="U59" s="80">
        <f>IF('CAJAS ELABORADAS'!$J59&gt;0,'CAJAS ELABORADAS'!$Y59*'CAJAS ELABORADAS'!$J59,0)</f>
        <v>356500</v>
      </c>
      <c r="V59" s="82">
        <f>'CAJAS ELABORADAS'!$Y59/'DATOS PARA CALCULO'!$D$27</f>
        <v>1.1883333333333332</v>
      </c>
      <c r="W59" s="79">
        <f>(Tabla1[[#This Row],[Valor Pagado]]-Tabla1[[#This Row],[PRODUCIDO BOLSAS]])/Tabla1[[#This Row],[Cajas Elaboradas]]</f>
        <v>1500</v>
      </c>
      <c r="X59" s="90">
        <f t="shared" si="3"/>
        <v>35650</v>
      </c>
      <c r="Y59" s="91">
        <f>IF('CAJAS ELABORADAS'!$X59&lt;'DATOS PARA CALCULO'!$D$27,'DATOS PARA CALCULO'!$D$27,'CAJAS ELABORADAS'!$X59)</f>
        <v>35650</v>
      </c>
      <c r="Z59" s="92">
        <f>Tabla1[[#This Row],[VALOR  A PAGAR]]-Tabla1[[#This Row],[VALOR GANADO]]</f>
        <v>0</v>
      </c>
    </row>
    <row r="60" spans="3:26" ht="18.75" x14ac:dyDescent="0.25">
      <c r="C60" s="71">
        <v>44370</v>
      </c>
      <c r="D60" s="507">
        <f>YEAR(Tabla1[[#This Row],[FECHA]])</f>
        <v>2021</v>
      </c>
      <c r="E60" s="72">
        <f>_xlfn.ISOWEEKNUM(Tabla1[[#This Row],[FECHA]])</f>
        <v>25</v>
      </c>
      <c r="F60" s="72" t="s">
        <v>152</v>
      </c>
      <c r="G60" s="73" t="s">
        <v>29</v>
      </c>
      <c r="H60" s="74">
        <v>285</v>
      </c>
      <c r="I60" s="72">
        <v>62</v>
      </c>
      <c r="J60" s="72">
        <v>15</v>
      </c>
      <c r="K60" s="86"/>
      <c r="L60" s="87"/>
      <c r="M60" s="86">
        <f>+Tabla1[[#This Row],[Rasimos Cosechados]]-Tabla1[[#This Row],[Rasimos Prosesados]]</f>
        <v>0</v>
      </c>
      <c r="N60" s="88">
        <f>+Tabla1[[#This Row],[Rasimos Cosechados]]/Tabla1[[#This Row],[Cajas Elaboradas]]</f>
        <v>0</v>
      </c>
      <c r="O60" s="89">
        <f>+Tabla1[[#This Row],[Rasimos Prosesados]]/Tabla1[[#This Row],[Cajas Elaboradas]]</f>
        <v>0</v>
      </c>
      <c r="P60" s="81">
        <f>IF(H60,'DATOS PARA CALCULO'!D$18,0)</f>
        <v>1500</v>
      </c>
      <c r="Q60" s="80">
        <f>IF(I60,'DATOS PARA CALCULO'!D$22,0)</f>
        <v>500</v>
      </c>
      <c r="R60" s="81">
        <f t="shared" si="0"/>
        <v>427500</v>
      </c>
      <c r="S60" s="80">
        <f t="shared" si="1"/>
        <v>31000</v>
      </c>
      <c r="T60" s="81">
        <f t="shared" si="2"/>
        <v>458500</v>
      </c>
      <c r="U60" s="80">
        <f>IF('CAJAS ELABORADAS'!$J60&gt;0,'CAJAS ELABORADAS'!$Y60*'CAJAS ELABORADAS'!$J60,0)</f>
        <v>458500</v>
      </c>
      <c r="V60" s="82">
        <f>'CAJAS ELABORADAS'!$Y60/'DATOS PARA CALCULO'!$D$27</f>
        <v>1.018888888888889</v>
      </c>
      <c r="W60" s="79">
        <f>(Tabla1[[#This Row],[Valor Pagado]]-Tabla1[[#This Row],[PRODUCIDO BOLSAS]])/Tabla1[[#This Row],[Cajas Elaboradas]]</f>
        <v>1500</v>
      </c>
      <c r="X60" s="90">
        <f t="shared" si="3"/>
        <v>30566.666666666668</v>
      </c>
      <c r="Y60" s="91">
        <f>IF('CAJAS ELABORADAS'!$X60&lt;'DATOS PARA CALCULO'!$D$27,'DATOS PARA CALCULO'!$D$27,'CAJAS ELABORADAS'!$X60)</f>
        <v>30566.666666666668</v>
      </c>
      <c r="Z60" s="92">
        <f>Tabla1[[#This Row],[VALOR  A PAGAR]]-Tabla1[[#This Row],[VALOR GANADO]]</f>
        <v>0</v>
      </c>
    </row>
    <row r="61" spans="3:26" ht="18.75" x14ac:dyDescent="0.25">
      <c r="C61" s="71">
        <v>44369</v>
      </c>
      <c r="D61" s="507">
        <f>YEAR(Tabla1[[#This Row],[FECHA]])</f>
        <v>2021</v>
      </c>
      <c r="E61" s="72">
        <f>_xlfn.ISOWEEKNUM(Tabla1[[#This Row],[FECHA]])</f>
        <v>25</v>
      </c>
      <c r="F61" s="57" t="s">
        <v>155</v>
      </c>
      <c r="G61" s="73" t="s">
        <v>28</v>
      </c>
      <c r="H61" s="74">
        <v>160</v>
      </c>
      <c r="I61" s="72">
        <v>87</v>
      </c>
      <c r="J61" s="72">
        <f>9+3</f>
        <v>12</v>
      </c>
      <c r="K61" s="86"/>
      <c r="L61" s="87"/>
      <c r="M61" s="86">
        <f>+Tabla1[[#This Row],[Rasimos Cosechados]]-Tabla1[[#This Row],[Rasimos Prosesados]]</f>
        <v>0</v>
      </c>
      <c r="N61" s="88">
        <f>+Tabla1[[#This Row],[Rasimos Cosechados]]/Tabla1[[#This Row],[Cajas Elaboradas]]</f>
        <v>0</v>
      </c>
      <c r="O61" s="89">
        <f>+Tabla1[[#This Row],[Rasimos Prosesados]]/Tabla1[[#This Row],[Cajas Elaboradas]]</f>
        <v>0</v>
      </c>
      <c r="P61" s="81">
        <f>IF(H61,'DATOS PARA CALCULO'!D$18,0)</f>
        <v>1500</v>
      </c>
      <c r="Q61" s="80">
        <f>IF(I61,'DATOS PARA CALCULO'!D$22,0)</f>
        <v>500</v>
      </c>
      <c r="R61" s="81">
        <f t="shared" ref="R61:R67" si="4">IF(P61&gt;0 &amp; H61&gt;0,H61*P61,)</f>
        <v>240000</v>
      </c>
      <c r="S61" s="80">
        <f t="shared" ref="S61:S67" si="5">IF(Q61&gt;0 &amp; I61&gt;0,I61*Q61,0)</f>
        <v>43500</v>
      </c>
      <c r="T61" s="81">
        <f t="shared" ref="T61:T67" si="6">S61+R61</f>
        <v>283500</v>
      </c>
      <c r="U61" s="80">
        <f>IF('CAJAS ELABORADAS'!$J61&gt;0,'CAJAS ELABORADAS'!$Y61*'CAJAS ELABORADAS'!$J61,0)</f>
        <v>360000</v>
      </c>
      <c r="V61" s="82">
        <f>'CAJAS ELABORADAS'!$Y61/'DATOS PARA CALCULO'!$D$27</f>
        <v>1</v>
      </c>
      <c r="W61" s="79">
        <f>(Tabla1[[#This Row],[Valor Pagado]]-Tabla1[[#This Row],[PRODUCIDO BOLSAS]])/Tabla1[[#This Row],[Cajas Elaboradas]]</f>
        <v>1978.125</v>
      </c>
      <c r="X61" s="90">
        <f t="shared" ref="X61:X67" si="7">IF(J61&gt;0,T61/J61,0)</f>
        <v>23625</v>
      </c>
      <c r="Y61" s="91">
        <f>IF('CAJAS ELABORADAS'!$X61&lt;'DATOS PARA CALCULO'!$D$27,'DATOS PARA CALCULO'!$D$27,'CAJAS ELABORADAS'!$X61)</f>
        <v>30000</v>
      </c>
      <c r="Z61" s="92">
        <f>Tabla1[[#This Row],[VALOR  A PAGAR]]-Tabla1[[#This Row],[VALOR GANADO]]</f>
        <v>6375</v>
      </c>
    </row>
    <row r="62" spans="3:26" ht="18.75" x14ac:dyDescent="0.25">
      <c r="C62" s="71">
        <v>44370</v>
      </c>
      <c r="D62" s="507">
        <f>YEAR(Tabla1[[#This Row],[FECHA]])</f>
        <v>2021</v>
      </c>
      <c r="E62" s="72">
        <f>_xlfn.ISOWEEKNUM(Tabla1[[#This Row],[FECHA]])</f>
        <v>25</v>
      </c>
      <c r="F62" s="72"/>
      <c r="G62" s="73" t="s">
        <v>30</v>
      </c>
      <c r="H62" s="74">
        <v>45</v>
      </c>
      <c r="I62" s="72">
        <v>31</v>
      </c>
      <c r="J62" s="72">
        <v>3</v>
      </c>
      <c r="K62" s="86"/>
      <c r="L62" s="87"/>
      <c r="M62" s="86">
        <f>+Tabla1[[#This Row],[Rasimos Cosechados]]-Tabla1[[#This Row],[Rasimos Prosesados]]</f>
        <v>0</v>
      </c>
      <c r="N62" s="88">
        <f>+Tabla1[[#This Row],[Rasimos Cosechados]]/Tabla1[[#This Row],[Cajas Elaboradas]]</f>
        <v>0</v>
      </c>
      <c r="O62" s="89">
        <f>+Tabla1[[#This Row],[Rasimos Prosesados]]/Tabla1[[#This Row],[Cajas Elaboradas]]</f>
        <v>0</v>
      </c>
      <c r="P62" s="81">
        <f>IF(H62,'DATOS PARA CALCULO'!D$18,0)</f>
        <v>1500</v>
      </c>
      <c r="Q62" s="80">
        <f>IF(I62,'DATOS PARA CALCULO'!D$22,0)</f>
        <v>500</v>
      </c>
      <c r="R62" s="81">
        <f t="shared" si="4"/>
        <v>67500</v>
      </c>
      <c r="S62" s="80">
        <f t="shared" si="5"/>
        <v>15500</v>
      </c>
      <c r="T62" s="81">
        <f t="shared" si="6"/>
        <v>83000</v>
      </c>
      <c r="U62" s="80">
        <f>IF('CAJAS ELABORADAS'!$J62&gt;0,'CAJAS ELABORADAS'!$Y62*'CAJAS ELABORADAS'!$J62,0)</f>
        <v>90000</v>
      </c>
      <c r="V62" s="82">
        <f>'CAJAS ELABORADAS'!$Y62/'DATOS PARA CALCULO'!$D$27</f>
        <v>1</v>
      </c>
      <c r="W62" s="79">
        <f>(Tabla1[[#This Row],[Valor Pagado]]-Tabla1[[#This Row],[PRODUCIDO BOLSAS]])/Tabla1[[#This Row],[Cajas Elaboradas]]</f>
        <v>1655.5555555555557</v>
      </c>
      <c r="X62" s="90">
        <f t="shared" si="7"/>
        <v>27666.666666666668</v>
      </c>
      <c r="Y62" s="91">
        <f>IF('CAJAS ELABORADAS'!$X62&lt;'DATOS PARA CALCULO'!$D$27,'DATOS PARA CALCULO'!$D$27,'CAJAS ELABORADAS'!$X62)</f>
        <v>30000</v>
      </c>
      <c r="Z62" s="92">
        <f>Tabla1[[#This Row],[VALOR  A PAGAR]]-Tabla1[[#This Row],[VALOR GANADO]]</f>
        <v>2333.3333333333321</v>
      </c>
    </row>
    <row r="63" spans="3:26" ht="18.75" x14ac:dyDescent="0.25">
      <c r="C63" s="71">
        <v>44369</v>
      </c>
      <c r="D63" s="507">
        <f>YEAR(Tabla1[[#This Row],[FECHA]])</f>
        <v>2021</v>
      </c>
      <c r="E63" s="72">
        <f>_xlfn.ISOWEEKNUM(Tabla1[[#This Row],[FECHA]])</f>
        <v>25</v>
      </c>
      <c r="F63" s="72" t="s">
        <v>157</v>
      </c>
      <c r="G63" s="73" t="s">
        <v>31</v>
      </c>
      <c r="H63" s="74">
        <v>158</v>
      </c>
      <c r="I63" s="72">
        <v>71</v>
      </c>
      <c r="J63" s="72">
        <v>17</v>
      </c>
      <c r="K63" s="86"/>
      <c r="L63" s="87"/>
      <c r="M63" s="86">
        <f>+Tabla1[[#This Row],[Rasimos Cosechados]]-Tabla1[[#This Row],[Rasimos Prosesados]]</f>
        <v>0</v>
      </c>
      <c r="N63" s="88">
        <f>+Tabla1[[#This Row],[Rasimos Cosechados]]/Tabla1[[#This Row],[Cajas Elaboradas]]</f>
        <v>0</v>
      </c>
      <c r="O63" s="89">
        <f>+Tabla1[[#This Row],[Rasimos Prosesados]]/Tabla1[[#This Row],[Cajas Elaboradas]]</f>
        <v>0</v>
      </c>
      <c r="P63" s="79">
        <v>3000</v>
      </c>
      <c r="Q63" s="80">
        <f>IF(I63,'DATOS PARA CALCULO'!D$22,0)</f>
        <v>500</v>
      </c>
      <c r="R63" s="81">
        <f t="shared" si="4"/>
        <v>474000</v>
      </c>
      <c r="S63" s="80">
        <f t="shared" si="5"/>
        <v>35500</v>
      </c>
      <c r="T63" s="81">
        <f t="shared" si="6"/>
        <v>509500</v>
      </c>
      <c r="U63" s="80">
        <f>IF('CAJAS ELABORADAS'!$J63&gt;0,'CAJAS ELABORADAS'!$Y63*'CAJAS ELABORADAS'!$J63,0)</f>
        <v>510000</v>
      </c>
      <c r="V63" s="82">
        <f>'CAJAS ELABORADAS'!$Y63/'DATOS PARA CALCULO'!$D$27</f>
        <v>1</v>
      </c>
      <c r="W63" s="79">
        <f>(Tabla1[[#This Row],[Valor Pagado]]-Tabla1[[#This Row],[PRODUCIDO BOLSAS]])/Tabla1[[#This Row],[Cajas Elaboradas]]</f>
        <v>3003.1645569620255</v>
      </c>
      <c r="X63" s="90">
        <f t="shared" si="7"/>
        <v>29970.588235294119</v>
      </c>
      <c r="Y63" s="91">
        <f>IF('CAJAS ELABORADAS'!$X63&lt;'DATOS PARA CALCULO'!$D$27,'DATOS PARA CALCULO'!$D$27,'CAJAS ELABORADAS'!$X63)</f>
        <v>30000</v>
      </c>
      <c r="Z63" s="92">
        <f>Tabla1[[#This Row],[VALOR  A PAGAR]]-Tabla1[[#This Row],[VALOR GANADO]]</f>
        <v>29.411764705881069</v>
      </c>
    </row>
    <row r="64" spans="3:26" ht="18.75" x14ac:dyDescent="0.25">
      <c r="C64" s="71">
        <v>44376</v>
      </c>
      <c r="D64" s="507">
        <f>YEAR(Tabla1[[#This Row],[FECHA]])</f>
        <v>2021</v>
      </c>
      <c r="E64" s="72">
        <f>_xlfn.ISOWEEKNUM(Tabla1[[#This Row],[FECHA]])</f>
        <v>26</v>
      </c>
      <c r="F64" s="72" t="s">
        <v>152</v>
      </c>
      <c r="G64" s="73" t="s">
        <v>29</v>
      </c>
      <c r="H64" s="74">
        <v>255</v>
      </c>
      <c r="I64" s="72">
        <v>61</v>
      </c>
      <c r="J64" s="72">
        <v>18</v>
      </c>
      <c r="K64" s="86">
        <v>1552</v>
      </c>
      <c r="L64" s="87">
        <f>307+256+595</f>
        <v>1158</v>
      </c>
      <c r="M64" s="86">
        <f>+Tabla1[[#This Row],[Rasimos Cosechados]]-Tabla1[[#This Row],[Rasimos Prosesados]]</f>
        <v>394</v>
      </c>
      <c r="N64" s="88">
        <f>+Tabla1[[#This Row],[Rasimos Cosechados]]/Tabla1[[#This Row],[Cajas Elaboradas]]</f>
        <v>6.0862745098039213</v>
      </c>
      <c r="O64" s="89">
        <f>+Tabla1[[#This Row],[Rasimos Prosesados]]/Tabla1[[#This Row],[Cajas Elaboradas]]</f>
        <v>4.5411764705882351</v>
      </c>
      <c r="P64" s="81">
        <f>IF(H64,'DATOS PARA CALCULO'!D$18,0)</f>
        <v>1500</v>
      </c>
      <c r="Q64" s="80">
        <f>IF(I64,'DATOS PARA CALCULO'!D$22,0)</f>
        <v>500</v>
      </c>
      <c r="R64" s="81">
        <f t="shared" si="4"/>
        <v>382500</v>
      </c>
      <c r="S64" s="80">
        <f t="shared" si="5"/>
        <v>30500</v>
      </c>
      <c r="T64" s="81">
        <f t="shared" si="6"/>
        <v>413000</v>
      </c>
      <c r="U64" s="80">
        <f>IF('CAJAS ELABORADAS'!$J64&gt;0,'CAJAS ELABORADAS'!$Y64*'CAJAS ELABORADAS'!$J64,0)</f>
        <v>540000</v>
      </c>
      <c r="V64" s="82">
        <f>'CAJAS ELABORADAS'!$Y64/'DATOS PARA CALCULO'!$D$27</f>
        <v>1</v>
      </c>
      <c r="W64" s="79">
        <f>(Tabla1[[#This Row],[Valor Pagado]]-Tabla1[[#This Row],[PRODUCIDO BOLSAS]])/Tabla1[[#This Row],[Cajas Elaboradas]]</f>
        <v>1998.0392156862745</v>
      </c>
      <c r="X64" s="90">
        <f t="shared" si="7"/>
        <v>22944.444444444445</v>
      </c>
      <c r="Y64" s="91">
        <f>IF('CAJAS ELABORADAS'!$X64&lt;'DATOS PARA CALCULO'!$D$27,'DATOS PARA CALCULO'!$D$27,'CAJAS ELABORADAS'!$X64)</f>
        <v>30000</v>
      </c>
      <c r="Z64" s="92">
        <f>Tabla1[[#This Row],[VALOR  A PAGAR]]-Tabla1[[#This Row],[VALOR GANADO]]</f>
        <v>7055.5555555555547</v>
      </c>
    </row>
    <row r="65" spans="3:26" ht="18.75" x14ac:dyDescent="0.25">
      <c r="C65" s="71">
        <v>44377</v>
      </c>
      <c r="D65" s="507">
        <f>YEAR(Tabla1[[#This Row],[FECHA]])</f>
        <v>2021</v>
      </c>
      <c r="E65" s="72">
        <f>_xlfn.ISOWEEKNUM(Tabla1[[#This Row],[FECHA]])</f>
        <v>26</v>
      </c>
      <c r="F65" s="72" t="s">
        <v>152</v>
      </c>
      <c r="G65" s="73" t="s">
        <v>29</v>
      </c>
      <c r="H65" s="74">
        <v>181</v>
      </c>
      <c r="I65" s="72">
        <v>39</v>
      </c>
      <c r="J65" s="72">
        <v>12</v>
      </c>
      <c r="K65" s="86"/>
      <c r="L65" s="87"/>
      <c r="M65" s="86">
        <f>+Tabla1[[#This Row],[Rasimos Cosechados]]-Tabla1[[#This Row],[Rasimos Prosesados]]</f>
        <v>0</v>
      </c>
      <c r="N65" s="88">
        <f>+Tabla1[[#This Row],[Rasimos Cosechados]]/Tabla1[[#This Row],[Cajas Elaboradas]]</f>
        <v>0</v>
      </c>
      <c r="O65" s="89">
        <f>+Tabla1[[#This Row],[Rasimos Prosesados]]/Tabla1[[#This Row],[Cajas Elaboradas]]</f>
        <v>0</v>
      </c>
      <c r="P65" s="81">
        <f>IF(H65,'DATOS PARA CALCULO'!D$18,0)</f>
        <v>1500</v>
      </c>
      <c r="Q65" s="80">
        <f>IF(I65,'DATOS PARA CALCULO'!D$22,0)</f>
        <v>500</v>
      </c>
      <c r="R65" s="81">
        <f t="shared" si="4"/>
        <v>271500</v>
      </c>
      <c r="S65" s="80">
        <f t="shared" si="5"/>
        <v>19500</v>
      </c>
      <c r="T65" s="81">
        <f t="shared" si="6"/>
        <v>291000</v>
      </c>
      <c r="U65" s="80">
        <f>IF('CAJAS ELABORADAS'!$J65&gt;0,'CAJAS ELABORADAS'!$Y65*'CAJAS ELABORADAS'!$J65,0)</f>
        <v>360000</v>
      </c>
      <c r="V65" s="82">
        <f>'CAJAS ELABORADAS'!$Y65/'DATOS PARA CALCULO'!$D$27</f>
        <v>1</v>
      </c>
      <c r="W65" s="79">
        <f>(Tabla1[[#This Row],[Valor Pagado]]-Tabla1[[#This Row],[PRODUCIDO BOLSAS]])/Tabla1[[#This Row],[Cajas Elaboradas]]</f>
        <v>1881.2154696132598</v>
      </c>
      <c r="X65" s="90">
        <f t="shared" si="7"/>
        <v>24250</v>
      </c>
      <c r="Y65" s="91">
        <f>IF('CAJAS ELABORADAS'!$X65&lt;'DATOS PARA CALCULO'!$D$27,'DATOS PARA CALCULO'!$D$27,'CAJAS ELABORADAS'!$X65)</f>
        <v>30000</v>
      </c>
      <c r="Z65" s="92">
        <f>Tabla1[[#This Row],[VALOR  A PAGAR]]-Tabla1[[#This Row],[VALOR GANADO]]</f>
        <v>5750</v>
      </c>
    </row>
    <row r="66" spans="3:26" ht="18.75" x14ac:dyDescent="0.25">
      <c r="C66" s="71">
        <v>44376</v>
      </c>
      <c r="D66" s="507">
        <f>YEAR(Tabla1[[#This Row],[FECHA]])</f>
        <v>2021</v>
      </c>
      <c r="E66" s="72">
        <f>_xlfn.ISOWEEKNUM(Tabla1[[#This Row],[FECHA]])</f>
        <v>26</v>
      </c>
      <c r="F66" s="57" t="s">
        <v>155</v>
      </c>
      <c r="G66" s="73" t="s">
        <v>28</v>
      </c>
      <c r="H66" s="74">
        <v>121</v>
      </c>
      <c r="I66" s="72">
        <v>68</v>
      </c>
      <c r="J66" s="72">
        <v>10</v>
      </c>
      <c r="K66" s="75"/>
      <c r="L66" s="93"/>
      <c r="M66" s="75">
        <f>+Tabla1[[#This Row],[Rasimos Cosechados]]-Tabla1[[#This Row],[Rasimos Prosesados]]</f>
        <v>0</v>
      </c>
      <c r="N66" s="77">
        <f>+Tabla1[[#This Row],[Rasimos Cosechados]]/Tabla1[[#This Row],[Cajas Elaboradas]]</f>
        <v>0</v>
      </c>
      <c r="O66" s="78">
        <f>+Tabla1[[#This Row],[Rasimos Prosesados]]/Tabla1[[#This Row],[Cajas Elaboradas]]</f>
        <v>0</v>
      </c>
      <c r="P66" s="81">
        <f>IF(H66,'DATOS PARA CALCULO'!D$18,0)</f>
        <v>1500</v>
      </c>
      <c r="Q66" s="80">
        <f>IF(I66,'DATOS PARA CALCULO'!D$22,0)</f>
        <v>500</v>
      </c>
      <c r="R66" s="81">
        <f t="shared" si="4"/>
        <v>181500</v>
      </c>
      <c r="S66" s="80">
        <f t="shared" si="5"/>
        <v>34000</v>
      </c>
      <c r="T66" s="81">
        <f t="shared" si="6"/>
        <v>215500</v>
      </c>
      <c r="U66" s="80">
        <f>IF('CAJAS ELABORADAS'!$J66&gt;0,'CAJAS ELABORADAS'!$Y66*'CAJAS ELABORADAS'!$J66,0)</f>
        <v>300000</v>
      </c>
      <c r="V66" s="82">
        <f>'CAJAS ELABORADAS'!$Y66/'DATOS PARA CALCULO'!$D$27</f>
        <v>1</v>
      </c>
      <c r="W66" s="79">
        <f>(Tabla1[[#This Row],[Valor Pagado]]-Tabla1[[#This Row],[PRODUCIDO BOLSAS]])/Tabla1[[#This Row],[Cajas Elaboradas]]</f>
        <v>2198.3471074380163</v>
      </c>
      <c r="X66" s="83">
        <f t="shared" si="7"/>
        <v>21550</v>
      </c>
      <c r="Y66" s="84">
        <f>IF('CAJAS ELABORADAS'!$X66&lt;'DATOS PARA CALCULO'!$D$27,'DATOS PARA CALCULO'!$D$27,'CAJAS ELABORADAS'!$X66)</f>
        <v>30000</v>
      </c>
      <c r="Z66" s="94">
        <f>Tabla1[[#This Row],[VALOR  A PAGAR]]-Tabla1[[#This Row],[VALOR GANADO]]</f>
        <v>8450</v>
      </c>
    </row>
    <row r="67" spans="3:26" ht="18.75" x14ac:dyDescent="0.25">
      <c r="C67" s="71">
        <v>44377</v>
      </c>
      <c r="D67" s="507">
        <f>YEAR(Tabla1[[#This Row],[FECHA]])</f>
        <v>2021</v>
      </c>
      <c r="E67" s="72">
        <f>_xlfn.ISOWEEKNUM(Tabla1[[#This Row],[FECHA]])</f>
        <v>26</v>
      </c>
      <c r="F67" s="72" t="s">
        <v>157</v>
      </c>
      <c r="G67" s="73" t="s">
        <v>31</v>
      </c>
      <c r="H67" s="74">
        <f>226-70</f>
        <v>156</v>
      </c>
      <c r="I67" s="72">
        <v>26</v>
      </c>
      <c r="J67" s="72"/>
      <c r="K67" s="75">
        <f>22+18+13+85+21+25+36+20+80+10+16+27+20+36+19+23+18+11+28+22</f>
        <v>550</v>
      </c>
      <c r="L67" s="93">
        <v>550</v>
      </c>
      <c r="M67" s="75">
        <f>+Tabla1[[#This Row],[Rasimos Cosechados]]-Tabla1[[#This Row],[Rasimos Prosesados]]</f>
        <v>0</v>
      </c>
      <c r="N67" s="77">
        <f>+Tabla1[[#This Row],[Rasimos Cosechados]]/Tabla1[[#This Row],[Cajas Elaboradas]]</f>
        <v>3.5256410256410255</v>
      </c>
      <c r="O67" s="78">
        <f>+Tabla1[[#This Row],[Rasimos Prosesados]]/Tabla1[[#This Row],[Cajas Elaboradas]]</f>
        <v>3.5256410256410255</v>
      </c>
      <c r="P67" s="79">
        <v>3000</v>
      </c>
      <c r="Q67" s="80">
        <f>IF(I67,'DATOS PARA CALCULO'!D$22,0)</f>
        <v>500</v>
      </c>
      <c r="R67" s="81">
        <f t="shared" si="4"/>
        <v>468000</v>
      </c>
      <c r="S67" s="80">
        <f t="shared" si="5"/>
        <v>13000</v>
      </c>
      <c r="T67" s="81">
        <f t="shared" si="6"/>
        <v>481000</v>
      </c>
      <c r="U67" s="80">
        <f>IF('CAJAS ELABORADAS'!$J67&gt;0,'CAJAS ELABORADAS'!$Y67*'CAJAS ELABORADAS'!$J67,0)</f>
        <v>0</v>
      </c>
      <c r="V67" s="82">
        <f>'CAJAS ELABORADAS'!$Y67/'DATOS PARA CALCULO'!$D$27</f>
        <v>1</v>
      </c>
      <c r="W67" s="79">
        <f>(Tabla1[[#This Row],[Valor Pagado]]-Tabla1[[#This Row],[PRODUCIDO BOLSAS]])/Tabla1[[#This Row],[Cajas Elaboradas]]</f>
        <v>-83.333333333333329</v>
      </c>
      <c r="X67" s="83">
        <f t="shared" si="7"/>
        <v>0</v>
      </c>
      <c r="Y67" s="84">
        <f>IF('CAJAS ELABORADAS'!$X67&lt;'DATOS PARA CALCULO'!$D$27,'DATOS PARA CALCULO'!$D$27,'CAJAS ELABORADAS'!$X67)</f>
        <v>30000</v>
      </c>
      <c r="Z67" s="94">
        <f>Tabla1[[#This Row],[VALOR  A PAGAR]]-Tabla1[[#This Row],[VALOR GANADO]]</f>
        <v>30000</v>
      </c>
    </row>
    <row r="68" spans="3:26" ht="18.75" x14ac:dyDescent="0.25">
      <c r="C68" s="71">
        <v>44377</v>
      </c>
      <c r="D68" s="507">
        <f>YEAR(Tabla1[[#This Row],[FECHA]])</f>
        <v>2021</v>
      </c>
      <c r="E68" s="72">
        <f>_xlfn.ISOWEEKNUM(Tabla1[[#This Row],[FECHA]])</f>
        <v>26</v>
      </c>
      <c r="F68" s="72"/>
      <c r="G68" s="73" t="s">
        <v>30</v>
      </c>
      <c r="H68" s="74">
        <v>113</v>
      </c>
      <c r="I68" s="72">
        <v>22</v>
      </c>
      <c r="J68" s="72">
        <v>6</v>
      </c>
      <c r="K68" s="75"/>
      <c r="L68" s="93"/>
      <c r="M68" s="75">
        <f>+Tabla1[[#This Row],[Rasimos Cosechados]]-Tabla1[[#This Row],[Rasimos Prosesados]]</f>
        <v>0</v>
      </c>
      <c r="N68" s="77">
        <f>+Tabla1[[#This Row],[Rasimos Cosechados]]/Tabla1[[#This Row],[Cajas Elaboradas]]</f>
        <v>0</v>
      </c>
      <c r="O68" s="78">
        <f>+Tabla1[[#This Row],[Rasimos Prosesados]]/Tabla1[[#This Row],[Cajas Elaboradas]]</f>
        <v>0</v>
      </c>
      <c r="P68" s="81">
        <f>IF(H68,'DATOS PARA CALCULO'!D$18,0)</f>
        <v>1500</v>
      </c>
      <c r="Q68" s="80">
        <f>IF(I68,'DATOS PARA CALCULO'!D$22,0)</f>
        <v>500</v>
      </c>
      <c r="R68" s="81">
        <f>IF(P68&gt;0 &amp; H68&gt;0,H68*P68,)</f>
        <v>169500</v>
      </c>
      <c r="S68" s="80">
        <f>IF(Q68&gt;0 &amp; I68&gt;0,I68*Q68,0)</f>
        <v>11000</v>
      </c>
      <c r="T68" s="81">
        <f>S68+R68</f>
        <v>180500</v>
      </c>
      <c r="U68" s="80">
        <f>IF('CAJAS ELABORADAS'!$J68&gt;0,'CAJAS ELABORADAS'!$Y68*'CAJAS ELABORADAS'!$J68,0)</f>
        <v>180500</v>
      </c>
      <c r="V68" s="82">
        <f>'CAJAS ELABORADAS'!$Y68/'DATOS PARA CALCULO'!$D$27</f>
        <v>1.0027777777777778</v>
      </c>
      <c r="W68" s="79">
        <f>(Tabla1[[#This Row],[Valor Pagado]]-Tabla1[[#This Row],[PRODUCIDO BOLSAS]])/Tabla1[[#This Row],[Cajas Elaboradas]]</f>
        <v>1500</v>
      </c>
      <c r="X68" s="83">
        <f>IF(J68&gt;0,T68/J68,0)</f>
        <v>30083.333333333332</v>
      </c>
      <c r="Y68" s="84">
        <f>IF('CAJAS ELABORADAS'!$X68&lt;'DATOS PARA CALCULO'!$D$27,'DATOS PARA CALCULO'!$D$27,'CAJAS ELABORADAS'!$X68)</f>
        <v>30083.333333333332</v>
      </c>
      <c r="Z68" s="94">
        <f>Tabla1[[#This Row],[VALOR  A PAGAR]]-Tabla1[[#This Row],[VALOR GANADO]]</f>
        <v>0</v>
      </c>
    </row>
    <row r="69" spans="3:26" ht="18.75" x14ac:dyDescent="0.25">
      <c r="C69" s="71">
        <v>44384</v>
      </c>
      <c r="D69" s="507">
        <f>YEAR(Tabla1[[#This Row],[FECHA]])</f>
        <v>2021</v>
      </c>
      <c r="E69" s="72">
        <f>_xlfn.ISOWEEKNUM(Tabla1[[#This Row],[FECHA]])</f>
        <v>27</v>
      </c>
      <c r="F69" s="57" t="s">
        <v>155</v>
      </c>
      <c r="G69" s="73" t="s">
        <v>28</v>
      </c>
      <c r="H69" s="74">
        <v>100</v>
      </c>
      <c r="I69" s="72">
        <v>39</v>
      </c>
      <c r="J69" s="72">
        <v>9</v>
      </c>
      <c r="K69" s="75"/>
      <c r="L69" s="93"/>
      <c r="M69" s="75">
        <f>+Tabla1[[#This Row],[Rasimos Cosechados]]-Tabla1[[#This Row],[Rasimos Prosesados]]</f>
        <v>0</v>
      </c>
      <c r="N69" s="77">
        <f>+Tabla1[[#This Row],[Rasimos Cosechados]]/Tabla1[[#This Row],[Cajas Elaboradas]]</f>
        <v>0</v>
      </c>
      <c r="O69" s="78">
        <f>+Tabla1[[#This Row],[Rasimos Prosesados]]/Tabla1[[#This Row],[Cajas Elaboradas]]</f>
        <v>0</v>
      </c>
      <c r="P69" s="81">
        <f>IF(H69,'DATOS PARA CALCULO'!D$18,0)</f>
        <v>1500</v>
      </c>
      <c r="Q69" s="80">
        <f>IF(I69,'DATOS PARA CALCULO'!D$22,0)</f>
        <v>500</v>
      </c>
      <c r="R69" s="81">
        <f>IF(P69&gt;0 &amp; H69&gt;0,H69*P69,)</f>
        <v>150000</v>
      </c>
      <c r="S69" s="80">
        <f>IF(Q69&gt;0 &amp; I69&gt;0,I69*Q69,0)</f>
        <v>19500</v>
      </c>
      <c r="T69" s="81">
        <f>S69+R69</f>
        <v>169500</v>
      </c>
      <c r="U69" s="80">
        <f>IF('CAJAS ELABORADAS'!$J69&gt;0,'CAJAS ELABORADAS'!$Y69*'CAJAS ELABORADAS'!$J69,0)</f>
        <v>270000</v>
      </c>
      <c r="V69" s="82">
        <f>'CAJAS ELABORADAS'!$Y69/'DATOS PARA CALCULO'!$D$27</f>
        <v>1</v>
      </c>
      <c r="W69" s="79">
        <f>(Tabla1[[#This Row],[Valor Pagado]]-Tabla1[[#This Row],[PRODUCIDO BOLSAS]])/Tabla1[[#This Row],[Cajas Elaboradas]]</f>
        <v>2505</v>
      </c>
      <c r="X69" s="83">
        <f>IF(J69&gt;0,T69/J69,0)</f>
        <v>18833.333333333332</v>
      </c>
      <c r="Y69" s="84">
        <f>IF('CAJAS ELABORADAS'!$X69&lt;'DATOS PARA CALCULO'!$D$27,'DATOS PARA CALCULO'!$D$27,'CAJAS ELABORADAS'!$X69)</f>
        <v>30000</v>
      </c>
      <c r="Z69" s="94">
        <f>Tabla1[[#This Row],[VALOR  A PAGAR]]-Tabla1[[#This Row],[VALOR GANADO]]</f>
        <v>11166.666666666668</v>
      </c>
    </row>
    <row r="70" spans="3:26" ht="18.75" x14ac:dyDescent="0.25">
      <c r="C70" s="71">
        <v>44383</v>
      </c>
      <c r="D70" s="507">
        <f>YEAR(Tabla1[[#This Row],[FECHA]])</f>
        <v>2021</v>
      </c>
      <c r="E70" s="72">
        <f>_xlfn.ISOWEEKNUM(Tabla1[[#This Row],[FECHA]])</f>
        <v>27</v>
      </c>
      <c r="F70" s="72" t="s">
        <v>157</v>
      </c>
      <c r="G70" s="73" t="s">
        <v>31</v>
      </c>
      <c r="H70" s="74">
        <f>359-31</f>
        <v>328</v>
      </c>
      <c r="I70" s="72">
        <v>117</v>
      </c>
      <c r="J70" s="72">
        <f>18+8</f>
        <v>26</v>
      </c>
      <c r="K70" s="75"/>
      <c r="L70" s="93"/>
      <c r="M70" s="75">
        <f>+Tabla1[[#This Row],[Rasimos Cosechados]]-Tabla1[[#This Row],[Rasimos Prosesados]]</f>
        <v>0</v>
      </c>
      <c r="N70" s="77">
        <f>+Tabla1[[#This Row],[Rasimos Cosechados]]/Tabla1[[#This Row],[Cajas Elaboradas]]</f>
        <v>0</v>
      </c>
      <c r="O70" s="78">
        <f>+Tabla1[[#This Row],[Rasimos Prosesados]]/Tabla1[[#This Row],[Cajas Elaboradas]]</f>
        <v>0</v>
      </c>
      <c r="P70" s="79">
        <v>3000</v>
      </c>
      <c r="Q70" s="65">
        <f>IF(I70,'DATOS PARA CALCULO'!D$22,0)</f>
        <v>500</v>
      </c>
      <c r="R70" s="66">
        <f>IF(P70&gt;0 &amp; H70&gt;0,H70*P70,)</f>
        <v>984000</v>
      </c>
      <c r="S70" s="65">
        <f>IF(Q70&gt;0 &amp; I70&gt;0,I70*Q70,0)</f>
        <v>58500</v>
      </c>
      <c r="T70" s="66">
        <f>S70+R70</f>
        <v>1042500</v>
      </c>
      <c r="U70" s="65">
        <f>IF('CAJAS ELABORADAS'!$J70&gt;0,'CAJAS ELABORADAS'!$Y70*'CAJAS ELABORADAS'!$J70,0)</f>
        <v>1042500</v>
      </c>
      <c r="V70" s="67">
        <f>'CAJAS ELABORADAS'!$Y70/'DATOS PARA CALCULO'!$D$27</f>
        <v>1.3365384615384615</v>
      </c>
      <c r="W70" s="64">
        <f>(Tabla1[[#This Row],[Valor Pagado]]-Tabla1[[#This Row],[PRODUCIDO BOLSAS]])/Tabla1[[#This Row],[Cajas Elaboradas]]</f>
        <v>3000</v>
      </c>
      <c r="X70" s="83">
        <f>IF(J70&gt;0,T70/J70,0)</f>
        <v>40096.153846153844</v>
      </c>
      <c r="Y70" s="84">
        <f>IF('CAJAS ELABORADAS'!$X70&lt;'DATOS PARA CALCULO'!$D$27,'DATOS PARA CALCULO'!$D$27,'CAJAS ELABORADAS'!$X70)</f>
        <v>40096.153846153844</v>
      </c>
      <c r="Z70" s="94">
        <f>Tabla1[[#This Row],[VALOR  A PAGAR]]-Tabla1[[#This Row],[VALOR GANADO]]</f>
        <v>0</v>
      </c>
    </row>
    <row r="71" spans="3:26" ht="18.75" x14ac:dyDescent="0.25">
      <c r="C71" s="71">
        <v>44383</v>
      </c>
      <c r="D71" s="507">
        <f>YEAR(Tabla1[[#This Row],[FECHA]])</f>
        <v>2021</v>
      </c>
      <c r="E71" s="72">
        <f>_xlfn.ISOWEEKNUM(Tabla1[[#This Row],[FECHA]])</f>
        <v>27</v>
      </c>
      <c r="F71" s="72" t="s">
        <v>152</v>
      </c>
      <c r="G71" s="73" t="s">
        <v>29</v>
      </c>
      <c r="H71" s="74">
        <v>31</v>
      </c>
      <c r="I71" s="72">
        <v>13</v>
      </c>
      <c r="J71" s="72">
        <v>8</v>
      </c>
      <c r="K71" s="75"/>
      <c r="L71" s="93"/>
      <c r="M71" s="75">
        <f>+Tabla1[[#This Row],[Rasimos Cosechados]]-Tabla1[[#This Row],[Rasimos Prosesados]]</f>
        <v>0</v>
      </c>
      <c r="N71" s="77">
        <f>+Tabla1[[#This Row],[Rasimos Cosechados]]/Tabla1[[#This Row],[Cajas Elaboradas]]</f>
        <v>0</v>
      </c>
      <c r="O71" s="78">
        <f>+Tabla1[[#This Row],[Rasimos Prosesados]]/Tabla1[[#This Row],[Cajas Elaboradas]]</f>
        <v>0</v>
      </c>
      <c r="P71" s="66">
        <f>IF(H71,'DATOS PARA CALCULO'!D$18,0)</f>
        <v>1500</v>
      </c>
      <c r="Q71" s="65">
        <f>IF(I71,'DATOS PARA CALCULO'!D$22,0)</f>
        <v>500</v>
      </c>
      <c r="R71" s="66">
        <f>IF(P71&gt;0 &amp; H71&gt;0,H71*P71,)</f>
        <v>46500</v>
      </c>
      <c r="S71" s="65">
        <f>IF(Q71&gt;0 &amp; I71&gt;0,I71*Q71,0)</f>
        <v>6500</v>
      </c>
      <c r="T71" s="66">
        <f>S71+R71</f>
        <v>53000</v>
      </c>
      <c r="U71" s="65">
        <f>IF('CAJAS ELABORADAS'!$J71&gt;0,'CAJAS ELABORADAS'!$Y71*'CAJAS ELABORADAS'!$J71,0)</f>
        <v>240000</v>
      </c>
      <c r="V71" s="67">
        <f>'CAJAS ELABORADAS'!$Y71/'DATOS PARA CALCULO'!$D$27</f>
        <v>1</v>
      </c>
      <c r="W71" s="64">
        <f>(Tabla1[[#This Row],[Valor Pagado]]-Tabla1[[#This Row],[PRODUCIDO BOLSAS]])/Tabla1[[#This Row],[Cajas Elaboradas]]</f>
        <v>7532.2580645161288</v>
      </c>
      <c r="X71" s="83">
        <f>IF(J71&gt;0,T71/J71,0)</f>
        <v>6625</v>
      </c>
      <c r="Y71" s="84">
        <f>IF('CAJAS ELABORADAS'!$X71&lt;'DATOS PARA CALCULO'!$D$27,'DATOS PARA CALCULO'!$D$27,'CAJAS ELABORADAS'!$X71)</f>
        <v>30000</v>
      </c>
      <c r="Z71" s="94">
        <f>Tabla1[[#This Row],[VALOR  A PAGAR]]-Tabla1[[#This Row],[VALOR GANADO]]</f>
        <v>23375</v>
      </c>
    </row>
    <row r="72" spans="3:26" ht="18.75" x14ac:dyDescent="0.25">
      <c r="C72" s="71">
        <v>44390</v>
      </c>
      <c r="D72" s="507">
        <f>YEAR(Tabla1[[#This Row],[FECHA]])</f>
        <v>2021</v>
      </c>
      <c r="E72" s="72">
        <f>_xlfn.ISOWEEKNUM(Tabla1[[#This Row],[FECHA]])</f>
        <v>28</v>
      </c>
      <c r="F72" s="72" t="s">
        <v>152</v>
      </c>
      <c r="G72" s="73" t="s">
        <v>29</v>
      </c>
      <c r="H72" s="74">
        <v>136</v>
      </c>
      <c r="I72" s="72">
        <v>29</v>
      </c>
      <c r="J72" s="72">
        <v>7</v>
      </c>
      <c r="K72" s="75"/>
      <c r="L72" s="93"/>
      <c r="M72" s="75">
        <f>+Tabla1[[#This Row],[Rasimos Cosechados]]-Tabla1[[#This Row],[Rasimos Prosesados]]</f>
        <v>0</v>
      </c>
      <c r="N72" s="77">
        <f>+Tabla1[[#This Row],[Rasimos Cosechados]]/Tabla1[[#This Row],[Cajas Elaboradas]]</f>
        <v>0</v>
      </c>
      <c r="O72" s="78">
        <f>+Tabla1[[#This Row],[Rasimos Prosesados]]/Tabla1[[#This Row],[Cajas Elaboradas]]</f>
        <v>0</v>
      </c>
      <c r="P72" s="66">
        <f>IF(H72,'DATOS PARA CALCULO'!D$18,0)</f>
        <v>1500</v>
      </c>
      <c r="Q72" s="65">
        <f>IF(I72,'DATOS PARA CALCULO'!D$22,0)</f>
        <v>500</v>
      </c>
      <c r="R72" s="66">
        <f>IF(P72&gt;0 &amp; H72&gt;0,H72*P72,)</f>
        <v>204000</v>
      </c>
      <c r="S72" s="65">
        <f>IF(Q72&gt;0 &amp; I72&gt;0,I72*Q72,0)</f>
        <v>14500</v>
      </c>
      <c r="T72" s="66">
        <f>S72+R72</f>
        <v>218500</v>
      </c>
      <c r="U72" s="65">
        <f>IF('CAJAS ELABORADAS'!$J72&gt;0,'CAJAS ELABORADAS'!$Y72*'CAJAS ELABORADAS'!$J72,0)</f>
        <v>218500</v>
      </c>
      <c r="V72" s="67">
        <f>'CAJAS ELABORADAS'!$Y72/'DATOS PARA CALCULO'!$D$27</f>
        <v>1.0404761904761906</v>
      </c>
      <c r="W72" s="64">
        <f>(Tabla1[[#This Row],[Valor Pagado]]-Tabla1[[#This Row],[PRODUCIDO BOLSAS]])/Tabla1[[#This Row],[Cajas Elaboradas]]</f>
        <v>1500</v>
      </c>
      <c r="X72" s="83">
        <f>IF(J72&gt;0,T72/J72,0)</f>
        <v>31214.285714285714</v>
      </c>
      <c r="Y72" s="84">
        <f>IF('CAJAS ELABORADAS'!$X72&lt;'DATOS PARA CALCULO'!$D$27,'DATOS PARA CALCULO'!$D$27,'CAJAS ELABORADAS'!$X72)</f>
        <v>31214.285714285714</v>
      </c>
      <c r="Z72" s="94">
        <f>Tabla1[[#This Row],[VALOR  A PAGAR]]-Tabla1[[#This Row],[VALOR GANADO]]</f>
        <v>0</v>
      </c>
    </row>
    <row r="73" spans="3:26" ht="18.75" x14ac:dyDescent="0.25">
      <c r="C73" s="71">
        <v>44391</v>
      </c>
      <c r="D73" s="507">
        <f>YEAR(Tabla1[[#This Row],[FECHA]])</f>
        <v>2021</v>
      </c>
      <c r="E73" s="72">
        <f>_xlfn.ISOWEEKNUM(Tabla1[[#This Row],[FECHA]])</f>
        <v>28</v>
      </c>
      <c r="F73" s="72" t="s">
        <v>152</v>
      </c>
      <c r="G73" s="73" t="s">
        <v>29</v>
      </c>
      <c r="H73" s="74">
        <v>258</v>
      </c>
      <c r="I73" s="72">
        <v>45</v>
      </c>
      <c r="J73" s="72">
        <v>14</v>
      </c>
      <c r="K73" s="86">
        <v>1365</v>
      </c>
      <c r="L73" s="87">
        <v>1287</v>
      </c>
      <c r="M73" s="86">
        <f>+Tabla1[[#This Row],[Rasimos Cosechados]]-Tabla1[[#This Row],[Rasimos Prosesados]]</f>
        <v>78</v>
      </c>
      <c r="N73" s="88">
        <f>+Tabla1[[#This Row],[Rasimos Cosechados]]/Tabla1[[#This Row],[Cajas Elaboradas]]</f>
        <v>5.2906976744186043</v>
      </c>
      <c r="O73" s="89">
        <f>+Tabla1[[#This Row],[Rasimos Prosesados]]/Tabla1[[#This Row],[Cajas Elaboradas]]</f>
        <v>4.9883720930232558</v>
      </c>
      <c r="P73" s="81">
        <f>IF(H73,'DATOS PARA CALCULO'!D$18,0)</f>
        <v>1500</v>
      </c>
      <c r="Q73" s="80">
        <f>IF(I73,'DATOS PARA CALCULO'!D$22,0)</f>
        <v>500</v>
      </c>
      <c r="R73" s="81">
        <f t="shared" ref="R73:R80" si="8">IF(P73&gt;0 &amp; H73&gt;0,H73*P73,)</f>
        <v>387000</v>
      </c>
      <c r="S73" s="80">
        <f t="shared" ref="S73:S80" si="9">IF(Q73&gt;0 &amp; I73&gt;0,I73*Q73,0)</f>
        <v>22500</v>
      </c>
      <c r="T73" s="81">
        <f t="shared" ref="T73:T80" si="10">S73+R73</f>
        <v>409500</v>
      </c>
      <c r="U73" s="80">
        <f>IF('CAJAS ELABORADAS'!$J73&gt;0,'CAJAS ELABORADAS'!$Y73*'CAJAS ELABORADAS'!$J73,0)</f>
        <v>420000</v>
      </c>
      <c r="V73" s="82">
        <f>'CAJAS ELABORADAS'!$Y73/'DATOS PARA CALCULO'!$D$27</f>
        <v>1</v>
      </c>
      <c r="W73" s="79">
        <f>(Tabla1[[#This Row],[Valor Pagado]]-Tabla1[[#This Row],[PRODUCIDO BOLSAS]])/Tabla1[[#This Row],[Cajas Elaboradas]]</f>
        <v>1540.6976744186047</v>
      </c>
      <c r="X73" s="90">
        <f t="shared" ref="X73:X80" si="11">IF(J73&gt;0,T73/J73,0)</f>
        <v>29250</v>
      </c>
      <c r="Y73" s="91">
        <f>IF('CAJAS ELABORADAS'!$X73&lt;'DATOS PARA CALCULO'!$D$27,'DATOS PARA CALCULO'!$D$27,'CAJAS ELABORADAS'!$X73)</f>
        <v>30000</v>
      </c>
      <c r="Z73" s="92">
        <f>Tabla1[[#This Row],[VALOR  A PAGAR]]-Tabla1[[#This Row],[VALOR GANADO]]</f>
        <v>750</v>
      </c>
    </row>
    <row r="74" spans="3:26" ht="18.75" x14ac:dyDescent="0.25">
      <c r="C74" s="71">
        <v>44390</v>
      </c>
      <c r="D74" s="507">
        <f>YEAR(Tabla1[[#This Row],[FECHA]])</f>
        <v>2021</v>
      </c>
      <c r="E74" s="72">
        <f>_xlfn.ISOWEEKNUM(Tabla1[[#This Row],[FECHA]])</f>
        <v>28</v>
      </c>
      <c r="F74" s="72" t="s">
        <v>157</v>
      </c>
      <c r="G74" s="73" t="s">
        <v>31</v>
      </c>
      <c r="H74" s="74">
        <v>71</v>
      </c>
      <c r="I74" s="72">
        <v>61</v>
      </c>
      <c r="J74" s="72">
        <v>12</v>
      </c>
      <c r="K74" s="86"/>
      <c r="L74" s="87"/>
      <c r="M74" s="86">
        <f>+Tabla1[[#This Row],[Rasimos Cosechados]]-Tabla1[[#This Row],[Rasimos Prosesados]]</f>
        <v>0</v>
      </c>
      <c r="N74" s="88">
        <f>+Tabla1[[#This Row],[Rasimos Cosechados]]/Tabla1[[#This Row],[Cajas Elaboradas]]</f>
        <v>0</v>
      </c>
      <c r="O74" s="89">
        <f>+Tabla1[[#This Row],[Rasimos Prosesados]]/Tabla1[[#This Row],[Cajas Elaboradas]]</f>
        <v>0</v>
      </c>
      <c r="P74" s="79">
        <v>3000</v>
      </c>
      <c r="Q74" s="80">
        <f>IF(I74,'DATOS PARA CALCULO'!D$22,0)</f>
        <v>500</v>
      </c>
      <c r="R74" s="81">
        <f t="shared" si="8"/>
        <v>213000</v>
      </c>
      <c r="S74" s="80">
        <f t="shared" si="9"/>
        <v>30500</v>
      </c>
      <c r="T74" s="81">
        <f t="shared" si="10"/>
        <v>243500</v>
      </c>
      <c r="U74" s="80">
        <f>IF('CAJAS ELABORADAS'!$J74&gt;0,'CAJAS ELABORADAS'!$Y74*'CAJAS ELABORADAS'!$J74,0)</f>
        <v>360000</v>
      </c>
      <c r="V74" s="82">
        <f>'CAJAS ELABORADAS'!$Y74/'DATOS PARA CALCULO'!$D$27</f>
        <v>1</v>
      </c>
      <c r="W74" s="79">
        <f>(Tabla1[[#This Row],[Valor Pagado]]-Tabla1[[#This Row],[PRODUCIDO BOLSAS]])/Tabla1[[#This Row],[Cajas Elaboradas]]</f>
        <v>4640.8450704225352</v>
      </c>
      <c r="X74" s="90">
        <f t="shared" si="11"/>
        <v>20291.666666666668</v>
      </c>
      <c r="Y74" s="91">
        <f>IF('CAJAS ELABORADAS'!$X74&lt;'DATOS PARA CALCULO'!$D$27,'DATOS PARA CALCULO'!$D$27,'CAJAS ELABORADAS'!$X74)</f>
        <v>30000</v>
      </c>
      <c r="Z74" s="92">
        <f>Tabla1[[#This Row],[VALOR  A PAGAR]]-Tabla1[[#This Row],[VALOR GANADO]]</f>
        <v>9708.3333333333321</v>
      </c>
    </row>
    <row r="75" spans="3:26" ht="18.75" x14ac:dyDescent="0.25">
      <c r="C75" s="71">
        <v>44391</v>
      </c>
      <c r="D75" s="507">
        <f>YEAR(Tabla1[[#This Row],[FECHA]])</f>
        <v>2021</v>
      </c>
      <c r="E75" s="72">
        <f>_xlfn.ISOWEEKNUM(Tabla1[[#This Row],[FECHA]])</f>
        <v>28</v>
      </c>
      <c r="F75" s="72"/>
      <c r="G75" s="73" t="s">
        <v>30</v>
      </c>
      <c r="H75" s="74">
        <v>100</v>
      </c>
      <c r="I75" s="72">
        <v>13</v>
      </c>
      <c r="J75" s="72">
        <v>7</v>
      </c>
      <c r="K75" s="86"/>
      <c r="L75" s="87"/>
      <c r="M75" s="86">
        <f>+Tabla1[[#This Row],[Rasimos Cosechados]]-Tabla1[[#This Row],[Rasimos Prosesados]]</f>
        <v>0</v>
      </c>
      <c r="N75" s="88">
        <f>+Tabla1[[#This Row],[Rasimos Cosechados]]/Tabla1[[#This Row],[Cajas Elaboradas]]</f>
        <v>0</v>
      </c>
      <c r="O75" s="89">
        <f>+Tabla1[[#This Row],[Rasimos Prosesados]]/Tabla1[[#This Row],[Cajas Elaboradas]]</f>
        <v>0</v>
      </c>
      <c r="P75" s="81">
        <f>IF(H75,'DATOS PARA CALCULO'!D$18,0)</f>
        <v>1500</v>
      </c>
      <c r="Q75" s="80">
        <f>IF(I75,'DATOS PARA CALCULO'!D$22,0)</f>
        <v>500</v>
      </c>
      <c r="R75" s="81">
        <f t="shared" si="8"/>
        <v>150000</v>
      </c>
      <c r="S75" s="80">
        <f t="shared" si="9"/>
        <v>6500</v>
      </c>
      <c r="T75" s="81">
        <f t="shared" si="10"/>
        <v>156500</v>
      </c>
      <c r="U75" s="80">
        <f>IF('CAJAS ELABORADAS'!$J75&gt;0,'CAJAS ELABORADAS'!$Y75*'CAJAS ELABORADAS'!$J75,0)</f>
        <v>210000</v>
      </c>
      <c r="V75" s="82">
        <f>'CAJAS ELABORADAS'!$Y75/'DATOS PARA CALCULO'!$D$27</f>
        <v>1</v>
      </c>
      <c r="W75" s="79">
        <f>(Tabla1[[#This Row],[Valor Pagado]]-Tabla1[[#This Row],[PRODUCIDO BOLSAS]])/Tabla1[[#This Row],[Cajas Elaboradas]]</f>
        <v>2035</v>
      </c>
      <c r="X75" s="90">
        <f t="shared" si="11"/>
        <v>22357.142857142859</v>
      </c>
      <c r="Y75" s="91">
        <f>IF('CAJAS ELABORADAS'!$X75&lt;'DATOS PARA CALCULO'!$D$27,'DATOS PARA CALCULO'!$D$27,'CAJAS ELABORADAS'!$X75)</f>
        <v>30000</v>
      </c>
      <c r="Z75" s="92">
        <f>Tabla1[[#This Row],[VALOR  A PAGAR]]-Tabla1[[#This Row],[VALOR GANADO]]</f>
        <v>7642.8571428571413</v>
      </c>
    </row>
    <row r="76" spans="3:26" ht="18.75" x14ac:dyDescent="0.25">
      <c r="C76" s="71">
        <v>44390</v>
      </c>
      <c r="D76" s="507">
        <f>YEAR(Tabla1[[#This Row],[FECHA]])</f>
        <v>2021</v>
      </c>
      <c r="E76" s="72">
        <f>_xlfn.ISOWEEKNUM(Tabla1[[#This Row],[FECHA]])</f>
        <v>28</v>
      </c>
      <c r="F76" s="57" t="s">
        <v>155</v>
      </c>
      <c r="G76" s="73" t="s">
        <v>28</v>
      </c>
      <c r="H76" s="74">
        <v>115</v>
      </c>
      <c r="I76" s="72">
        <v>45</v>
      </c>
      <c r="J76" s="72">
        <v>8</v>
      </c>
      <c r="K76" s="86"/>
      <c r="L76" s="87"/>
      <c r="M76" s="86">
        <f>+Tabla1[[#This Row],[Rasimos Cosechados]]-Tabla1[[#This Row],[Rasimos Prosesados]]</f>
        <v>0</v>
      </c>
      <c r="N76" s="88">
        <f>+Tabla1[[#This Row],[Rasimos Cosechados]]/Tabla1[[#This Row],[Cajas Elaboradas]]</f>
        <v>0</v>
      </c>
      <c r="O76" s="89">
        <f>+Tabla1[[#This Row],[Rasimos Prosesados]]/Tabla1[[#This Row],[Cajas Elaboradas]]</f>
        <v>0</v>
      </c>
      <c r="P76" s="81">
        <f>IF(H76,'DATOS PARA CALCULO'!D$18,0)</f>
        <v>1500</v>
      </c>
      <c r="Q76" s="80">
        <f>IF(I76,'DATOS PARA CALCULO'!D$22,0)</f>
        <v>500</v>
      </c>
      <c r="R76" s="81">
        <f t="shared" si="8"/>
        <v>172500</v>
      </c>
      <c r="S76" s="80">
        <f t="shared" si="9"/>
        <v>22500</v>
      </c>
      <c r="T76" s="81">
        <f t="shared" si="10"/>
        <v>195000</v>
      </c>
      <c r="U76" s="80">
        <f>IF('CAJAS ELABORADAS'!$J76&gt;0,'CAJAS ELABORADAS'!$Y76*'CAJAS ELABORADAS'!$J76,0)</f>
        <v>240000</v>
      </c>
      <c r="V76" s="82">
        <f>'CAJAS ELABORADAS'!$Y76/'DATOS PARA CALCULO'!$D$27</f>
        <v>1</v>
      </c>
      <c r="W76" s="79">
        <f>(Tabla1[[#This Row],[Valor Pagado]]-Tabla1[[#This Row],[PRODUCIDO BOLSAS]])/Tabla1[[#This Row],[Cajas Elaboradas]]</f>
        <v>1891.304347826087</v>
      </c>
      <c r="X76" s="90">
        <f t="shared" si="11"/>
        <v>24375</v>
      </c>
      <c r="Y76" s="91">
        <f>IF('CAJAS ELABORADAS'!$X76&lt;'DATOS PARA CALCULO'!$D$27,'DATOS PARA CALCULO'!$D$27,'CAJAS ELABORADAS'!$X76)</f>
        <v>30000</v>
      </c>
      <c r="Z76" s="92">
        <f>Tabla1[[#This Row],[VALOR  A PAGAR]]-Tabla1[[#This Row],[VALOR GANADO]]</f>
        <v>5625</v>
      </c>
    </row>
    <row r="77" spans="3:26" ht="18.75" x14ac:dyDescent="0.25">
      <c r="C77" s="71">
        <v>44396</v>
      </c>
      <c r="D77" s="507">
        <f>YEAR(Tabla1[[#This Row],[FECHA]])</f>
        <v>2021</v>
      </c>
      <c r="E77" s="72">
        <f>_xlfn.ISOWEEKNUM(Tabla1[[#This Row],[FECHA]])</f>
        <v>29</v>
      </c>
      <c r="F77" s="72" t="s">
        <v>152</v>
      </c>
      <c r="G77" s="73" t="s">
        <v>29</v>
      </c>
      <c r="H77" s="74">
        <f>325+6</f>
        <v>331</v>
      </c>
      <c r="I77" s="72">
        <f>1351.05/25</f>
        <v>54.042000000000002</v>
      </c>
      <c r="J77" s="72">
        <v>17</v>
      </c>
      <c r="K77" s="86"/>
      <c r="L77" s="87"/>
      <c r="M77" s="86">
        <f>+Tabla1[[#This Row],[Rasimos Cosechados]]-Tabla1[[#This Row],[Rasimos Prosesados]]</f>
        <v>0</v>
      </c>
      <c r="N77" s="88">
        <f>+Tabla1[[#This Row],[Rasimos Cosechados]]/Tabla1[[#This Row],[Cajas Elaboradas]]</f>
        <v>0</v>
      </c>
      <c r="O77" s="89">
        <f>+Tabla1[[#This Row],[Rasimos Prosesados]]/Tabla1[[#This Row],[Cajas Elaboradas]]</f>
        <v>0</v>
      </c>
      <c r="P77" s="81">
        <f>IF(H77,'DATOS PARA CALCULO'!D$18,0)</f>
        <v>1500</v>
      </c>
      <c r="Q77" s="80">
        <f>IF(I77,'DATOS PARA CALCULO'!D$22,0)</f>
        <v>500</v>
      </c>
      <c r="R77" s="81">
        <f t="shared" si="8"/>
        <v>496500</v>
      </c>
      <c r="S77" s="80">
        <f t="shared" si="9"/>
        <v>27021</v>
      </c>
      <c r="T77" s="81">
        <f t="shared" si="10"/>
        <v>523521</v>
      </c>
      <c r="U77" s="80">
        <f>IF('CAJAS ELABORADAS'!$J77&gt;0,'CAJAS ELABORADAS'!$Y77*'CAJAS ELABORADAS'!$J77,0)</f>
        <v>523521</v>
      </c>
      <c r="V77" s="82">
        <f>'CAJAS ELABORADAS'!$Y77/'DATOS PARA CALCULO'!$D$27</f>
        <v>1.0265117647058823</v>
      </c>
      <c r="W77" s="79">
        <f>(Tabla1[[#This Row],[Valor Pagado]]-Tabla1[[#This Row],[PRODUCIDO BOLSAS]])/Tabla1[[#This Row],[Cajas Elaboradas]]</f>
        <v>1500</v>
      </c>
      <c r="X77" s="90">
        <f t="shared" si="11"/>
        <v>30795.352941176472</v>
      </c>
      <c r="Y77" s="91">
        <f>IF('CAJAS ELABORADAS'!$X77&lt;'DATOS PARA CALCULO'!$D$27,'DATOS PARA CALCULO'!$D$27,'CAJAS ELABORADAS'!$X77)</f>
        <v>30795.352941176472</v>
      </c>
      <c r="Z77" s="92">
        <f>Tabla1[[#This Row],[VALOR  A PAGAR]]-Tabla1[[#This Row],[VALOR GANADO]]</f>
        <v>0</v>
      </c>
    </row>
    <row r="78" spans="3:26" ht="18.75" x14ac:dyDescent="0.25">
      <c r="C78" s="71">
        <v>44397</v>
      </c>
      <c r="D78" s="507">
        <f>YEAR(Tabla1[[#This Row],[FECHA]])</f>
        <v>2021</v>
      </c>
      <c r="E78" s="72">
        <f>_xlfn.ISOWEEKNUM(Tabla1[[#This Row],[FECHA]])</f>
        <v>29</v>
      </c>
      <c r="F78" s="72" t="s">
        <v>157</v>
      </c>
      <c r="G78" s="73" t="s">
        <v>31</v>
      </c>
      <c r="H78" s="74">
        <v>161</v>
      </c>
      <c r="I78" s="72"/>
      <c r="J78" s="72">
        <v>21</v>
      </c>
      <c r="K78" s="86"/>
      <c r="L78" s="87"/>
      <c r="M78" s="86">
        <f>+Tabla1[[#This Row],[Rasimos Cosechados]]-Tabla1[[#This Row],[Rasimos Prosesados]]</f>
        <v>0</v>
      </c>
      <c r="N78" s="88">
        <f>+Tabla1[[#This Row],[Rasimos Cosechados]]/Tabla1[[#This Row],[Cajas Elaboradas]]</f>
        <v>0</v>
      </c>
      <c r="O78" s="89">
        <f>+Tabla1[[#This Row],[Rasimos Prosesados]]/Tabla1[[#This Row],[Cajas Elaboradas]]</f>
        <v>0</v>
      </c>
      <c r="P78" s="79">
        <v>3000</v>
      </c>
      <c r="Q78" s="80">
        <f>IF(I78,'DATOS PARA CALCULO'!D$22,0)</f>
        <v>0</v>
      </c>
      <c r="R78" s="81">
        <f t="shared" si="8"/>
        <v>483000</v>
      </c>
      <c r="S78" s="80">
        <f t="shared" si="9"/>
        <v>0</v>
      </c>
      <c r="T78" s="81">
        <f t="shared" si="10"/>
        <v>483000</v>
      </c>
      <c r="U78" s="80">
        <f>IF('CAJAS ELABORADAS'!$J78&gt;0,'CAJAS ELABORADAS'!$Y78*'CAJAS ELABORADAS'!$J78,0)</f>
        <v>630000</v>
      </c>
      <c r="V78" s="82">
        <f>'CAJAS ELABORADAS'!$Y78/'DATOS PARA CALCULO'!$D$27</f>
        <v>1</v>
      </c>
      <c r="W78" s="79">
        <f>(Tabla1[[#This Row],[Valor Pagado]]-Tabla1[[#This Row],[PRODUCIDO BOLSAS]])/Tabla1[[#This Row],[Cajas Elaboradas]]</f>
        <v>3913.0434782608695</v>
      </c>
      <c r="X78" s="90">
        <f t="shared" si="11"/>
        <v>23000</v>
      </c>
      <c r="Y78" s="91">
        <f>IF('CAJAS ELABORADAS'!$X78&lt;'DATOS PARA CALCULO'!$D$27,'DATOS PARA CALCULO'!$D$27,'CAJAS ELABORADAS'!$X78)</f>
        <v>30000</v>
      </c>
      <c r="Z78" s="92">
        <f>Tabla1[[#This Row],[VALOR  A PAGAR]]-Tabla1[[#This Row],[VALOR GANADO]]</f>
        <v>7000</v>
      </c>
    </row>
    <row r="79" spans="3:26" ht="18.75" x14ac:dyDescent="0.25">
      <c r="C79" s="71">
        <v>44398</v>
      </c>
      <c r="D79" s="507">
        <f>YEAR(Tabla1[[#This Row],[FECHA]])</f>
        <v>2021</v>
      </c>
      <c r="E79" s="72">
        <f>_xlfn.ISOWEEKNUM(Tabla1[[#This Row],[FECHA]])</f>
        <v>29</v>
      </c>
      <c r="F79" s="72" t="s">
        <v>152</v>
      </c>
      <c r="G79" s="73" t="s">
        <v>29</v>
      </c>
      <c r="H79" s="74">
        <v>125</v>
      </c>
      <c r="I79" s="72">
        <v>19</v>
      </c>
      <c r="J79" s="72">
        <v>8</v>
      </c>
      <c r="K79" s="86"/>
      <c r="L79" s="87"/>
      <c r="M79" s="86">
        <f>+Tabla1[[#This Row],[Rasimos Cosechados]]-Tabla1[[#This Row],[Rasimos Prosesados]]</f>
        <v>0</v>
      </c>
      <c r="N79" s="88">
        <f>+Tabla1[[#This Row],[Rasimos Cosechados]]/Tabla1[[#This Row],[Cajas Elaboradas]]</f>
        <v>0</v>
      </c>
      <c r="O79" s="89">
        <f>+Tabla1[[#This Row],[Rasimos Prosesados]]/Tabla1[[#This Row],[Cajas Elaboradas]]</f>
        <v>0</v>
      </c>
      <c r="P79" s="81">
        <f>IF(H79,'DATOS PARA CALCULO'!D$18,0)</f>
        <v>1500</v>
      </c>
      <c r="Q79" s="80">
        <f>IF(I79,'DATOS PARA CALCULO'!D$22,0)</f>
        <v>500</v>
      </c>
      <c r="R79" s="81">
        <f t="shared" si="8"/>
        <v>187500</v>
      </c>
      <c r="S79" s="80">
        <f t="shared" si="9"/>
        <v>9500</v>
      </c>
      <c r="T79" s="81">
        <f t="shared" si="10"/>
        <v>197000</v>
      </c>
      <c r="U79" s="80">
        <f>IF('CAJAS ELABORADAS'!$J79&gt;0,'CAJAS ELABORADAS'!$Y79*'CAJAS ELABORADAS'!$J79,0)</f>
        <v>240000</v>
      </c>
      <c r="V79" s="82">
        <f>'CAJAS ELABORADAS'!$Y79/'DATOS PARA CALCULO'!$D$27</f>
        <v>1</v>
      </c>
      <c r="W79" s="79">
        <f>(Tabla1[[#This Row],[Valor Pagado]]-Tabla1[[#This Row],[PRODUCIDO BOLSAS]])/Tabla1[[#This Row],[Cajas Elaboradas]]</f>
        <v>1844</v>
      </c>
      <c r="X79" s="90">
        <f t="shared" si="11"/>
        <v>24625</v>
      </c>
      <c r="Y79" s="91">
        <f>IF('CAJAS ELABORADAS'!$X79&lt;'DATOS PARA CALCULO'!$D$27,'DATOS PARA CALCULO'!$D$27,'CAJAS ELABORADAS'!$X79)</f>
        <v>30000</v>
      </c>
      <c r="Z79" s="92">
        <f>Tabla1[[#This Row],[VALOR  A PAGAR]]-Tabla1[[#This Row],[VALOR GANADO]]</f>
        <v>5375</v>
      </c>
    </row>
    <row r="80" spans="3:26" ht="18.75" x14ac:dyDescent="0.25">
      <c r="C80" s="71">
        <v>44398</v>
      </c>
      <c r="D80" s="507">
        <f>YEAR(Tabla1[[#This Row],[FECHA]])</f>
        <v>2021</v>
      </c>
      <c r="E80" s="72">
        <f>_xlfn.ISOWEEKNUM(Tabla1[[#This Row],[FECHA]])</f>
        <v>29</v>
      </c>
      <c r="F80" s="72"/>
      <c r="G80" s="73" t="s">
        <v>30</v>
      </c>
      <c r="H80" s="74">
        <v>100</v>
      </c>
      <c r="I80" s="72">
        <v>33.28</v>
      </c>
      <c r="J80" s="72">
        <v>6</v>
      </c>
      <c r="K80" s="86"/>
      <c r="L80" s="87"/>
      <c r="M80" s="86">
        <f>+Tabla1[[#This Row],[Rasimos Cosechados]]-Tabla1[[#This Row],[Rasimos Prosesados]]</f>
        <v>0</v>
      </c>
      <c r="N80" s="88">
        <f>+Tabla1[[#This Row],[Rasimos Cosechados]]/Tabla1[[#This Row],[Cajas Elaboradas]]</f>
        <v>0</v>
      </c>
      <c r="O80" s="89">
        <f>+Tabla1[[#This Row],[Rasimos Prosesados]]/Tabla1[[#This Row],[Cajas Elaboradas]]</f>
        <v>0</v>
      </c>
      <c r="P80" s="81">
        <f>IF(H80,'DATOS PARA CALCULO'!D$18,0)</f>
        <v>1500</v>
      </c>
      <c r="Q80" s="80">
        <f>IF(I80,'DATOS PARA CALCULO'!D$22,0)</f>
        <v>500</v>
      </c>
      <c r="R80" s="81">
        <f t="shared" si="8"/>
        <v>150000</v>
      </c>
      <c r="S80" s="80">
        <f t="shared" si="9"/>
        <v>16640</v>
      </c>
      <c r="T80" s="81">
        <f t="shared" si="10"/>
        <v>166640</v>
      </c>
      <c r="U80" s="80">
        <f>IF('CAJAS ELABORADAS'!$J80&gt;0,'CAJAS ELABORADAS'!$Y80*'CAJAS ELABORADAS'!$J80,0)</f>
        <v>180000</v>
      </c>
      <c r="V80" s="82">
        <f>'CAJAS ELABORADAS'!$Y80/'DATOS PARA CALCULO'!$D$27</f>
        <v>1</v>
      </c>
      <c r="W80" s="79">
        <f>(Tabla1[[#This Row],[Valor Pagado]]-Tabla1[[#This Row],[PRODUCIDO BOLSAS]])/Tabla1[[#This Row],[Cajas Elaboradas]]</f>
        <v>1633.6</v>
      </c>
      <c r="X80" s="90">
        <f t="shared" si="11"/>
        <v>27773.333333333332</v>
      </c>
      <c r="Y80" s="91">
        <f>IF('CAJAS ELABORADAS'!$X80&lt;'DATOS PARA CALCULO'!$D$27,'DATOS PARA CALCULO'!$D$27,'CAJAS ELABORADAS'!$X80)</f>
        <v>30000</v>
      </c>
      <c r="Z80" s="92">
        <f>Tabla1[[#This Row],[VALOR  A PAGAR]]-Tabla1[[#This Row],[VALOR GANADO]]</f>
        <v>2226.6666666666679</v>
      </c>
    </row>
    <row r="81" spans="3:26" ht="18.75" x14ac:dyDescent="0.25">
      <c r="C81" s="71">
        <v>44404</v>
      </c>
      <c r="D81" s="507">
        <f>YEAR(Tabla1[[#This Row],[FECHA]])</f>
        <v>2021</v>
      </c>
      <c r="E81" s="72">
        <f>_xlfn.ISOWEEKNUM(Tabla1[[#This Row],[FECHA]])</f>
        <v>30</v>
      </c>
      <c r="F81" s="72" t="s">
        <v>152</v>
      </c>
      <c r="G81" s="73" t="s">
        <v>29</v>
      </c>
      <c r="H81" s="74">
        <v>252</v>
      </c>
      <c r="I81" s="72">
        <v>34</v>
      </c>
      <c r="J81" s="72">
        <v>14</v>
      </c>
      <c r="K81" s="86"/>
      <c r="L81" s="87"/>
      <c r="M81" s="86">
        <f>+Tabla1[[#This Row],[Rasimos Cosechados]]-Tabla1[[#This Row],[Rasimos Prosesados]]</f>
        <v>0</v>
      </c>
      <c r="N81" s="88">
        <f>+Tabla1[[#This Row],[Rasimos Cosechados]]/Tabla1[[#This Row],[Cajas Elaboradas]]</f>
        <v>0</v>
      </c>
      <c r="O81" s="89">
        <f>+Tabla1[[#This Row],[Rasimos Prosesados]]/Tabla1[[#This Row],[Cajas Elaboradas]]</f>
        <v>0</v>
      </c>
      <c r="P81" s="81">
        <f>IF(H81,'DATOS PARA CALCULO'!D$18,0)</f>
        <v>1500</v>
      </c>
      <c r="Q81" s="80">
        <f>IF(I81,'DATOS PARA CALCULO'!D$22,0)</f>
        <v>500</v>
      </c>
      <c r="R81" s="81">
        <f t="shared" ref="R81:R87" si="12">IF(P81&gt;0 &amp; H81&gt;0,H81*P81,)</f>
        <v>378000</v>
      </c>
      <c r="S81" s="80">
        <f t="shared" ref="S81:S87" si="13">IF(Q81&gt;0 &amp; I81&gt;0,I81*Q81,0)</f>
        <v>17000</v>
      </c>
      <c r="T81" s="81">
        <f t="shared" ref="T81:T87" si="14">S81+R81</f>
        <v>395000</v>
      </c>
      <c r="U81" s="80">
        <f>IF('CAJAS ELABORADAS'!$J81&gt;0,'CAJAS ELABORADAS'!$Y81*'CAJAS ELABORADAS'!$J81,0)</f>
        <v>420000</v>
      </c>
      <c r="V81" s="82">
        <f>'CAJAS ELABORADAS'!$Y81/'DATOS PARA CALCULO'!$D$27</f>
        <v>1</v>
      </c>
      <c r="W81" s="79">
        <f>(Tabla1[[#This Row],[Valor Pagado]]-Tabla1[[#This Row],[PRODUCIDO BOLSAS]])/Tabla1[[#This Row],[Cajas Elaboradas]]</f>
        <v>1599.2063492063492</v>
      </c>
      <c r="X81" s="90">
        <f t="shared" ref="X81:X87" si="15">IF(J81&gt;0,T81/J81,0)</f>
        <v>28214.285714285714</v>
      </c>
      <c r="Y81" s="91">
        <f>IF('CAJAS ELABORADAS'!$X81&lt;'DATOS PARA CALCULO'!$D$27,'DATOS PARA CALCULO'!$D$27,'CAJAS ELABORADAS'!$X81)</f>
        <v>30000</v>
      </c>
      <c r="Z81" s="92">
        <f>Tabla1[[#This Row],[VALOR  A PAGAR]]-Tabla1[[#This Row],[VALOR GANADO]]</f>
        <v>1785.7142857142862</v>
      </c>
    </row>
    <row r="82" spans="3:26" ht="18.75" x14ac:dyDescent="0.25">
      <c r="C82" s="71">
        <v>44404</v>
      </c>
      <c r="D82" s="507">
        <f>YEAR(Tabla1[[#This Row],[FECHA]])</f>
        <v>2021</v>
      </c>
      <c r="E82" s="72">
        <f>_xlfn.ISOWEEKNUM(Tabla1[[#This Row],[FECHA]])</f>
        <v>30</v>
      </c>
      <c r="F82" s="57" t="s">
        <v>155</v>
      </c>
      <c r="G82" s="73" t="s">
        <v>28</v>
      </c>
      <c r="H82" s="74">
        <v>173</v>
      </c>
      <c r="I82" s="72">
        <v>79</v>
      </c>
      <c r="J82" s="72">
        <v>9</v>
      </c>
      <c r="K82" s="86"/>
      <c r="L82" s="87"/>
      <c r="M82" s="86">
        <f>+Tabla1[[#This Row],[Rasimos Cosechados]]-Tabla1[[#This Row],[Rasimos Prosesados]]</f>
        <v>0</v>
      </c>
      <c r="N82" s="88">
        <f>+Tabla1[[#This Row],[Rasimos Cosechados]]/Tabla1[[#This Row],[Cajas Elaboradas]]</f>
        <v>0</v>
      </c>
      <c r="O82" s="89">
        <f>+Tabla1[[#This Row],[Rasimos Prosesados]]/Tabla1[[#This Row],[Cajas Elaboradas]]</f>
        <v>0</v>
      </c>
      <c r="P82" s="81">
        <f>IF(H82,'DATOS PARA CALCULO'!D$18,0)</f>
        <v>1500</v>
      </c>
      <c r="Q82" s="80">
        <f>IF(I82,'DATOS PARA CALCULO'!D$22,0)</f>
        <v>500</v>
      </c>
      <c r="R82" s="81">
        <f t="shared" si="12"/>
        <v>259500</v>
      </c>
      <c r="S82" s="80">
        <f t="shared" si="13"/>
        <v>39500</v>
      </c>
      <c r="T82" s="81">
        <f t="shared" si="14"/>
        <v>299000</v>
      </c>
      <c r="U82" s="80">
        <f>IF('CAJAS ELABORADAS'!$J82&gt;0,'CAJAS ELABORADAS'!$Y82*'CAJAS ELABORADAS'!$J82,0)</f>
        <v>299000</v>
      </c>
      <c r="V82" s="82">
        <f>'CAJAS ELABORADAS'!$Y82/'DATOS PARA CALCULO'!$D$27</f>
        <v>1.1074074074074074</v>
      </c>
      <c r="W82" s="79">
        <f>(Tabla1[[#This Row],[Valor Pagado]]-Tabla1[[#This Row],[PRODUCIDO BOLSAS]])/Tabla1[[#This Row],[Cajas Elaboradas]]</f>
        <v>1500</v>
      </c>
      <c r="X82" s="90">
        <f t="shared" si="15"/>
        <v>33222.222222222219</v>
      </c>
      <c r="Y82" s="91">
        <f>IF('CAJAS ELABORADAS'!$X82&lt;'DATOS PARA CALCULO'!$D$27,'DATOS PARA CALCULO'!$D$27,'CAJAS ELABORADAS'!$X82)</f>
        <v>33222.222222222219</v>
      </c>
      <c r="Z82" s="92">
        <f>Tabla1[[#This Row],[VALOR  A PAGAR]]-Tabla1[[#This Row],[VALOR GANADO]]</f>
        <v>0</v>
      </c>
    </row>
    <row r="83" spans="3:26" ht="18.75" x14ac:dyDescent="0.25">
      <c r="C83" s="71">
        <v>44403</v>
      </c>
      <c r="D83" s="507">
        <f>YEAR(Tabla1[[#This Row],[FECHA]])</f>
        <v>2021</v>
      </c>
      <c r="E83" s="72">
        <f>_xlfn.ISOWEEKNUM(Tabla1[[#This Row],[FECHA]])</f>
        <v>30</v>
      </c>
      <c r="F83" s="72" t="s">
        <v>157</v>
      </c>
      <c r="G83" s="73" t="s">
        <v>31</v>
      </c>
      <c r="H83" s="96">
        <v>157</v>
      </c>
      <c r="I83" s="72"/>
      <c r="J83" s="72">
        <v>20</v>
      </c>
      <c r="K83" s="86"/>
      <c r="L83" s="87"/>
      <c r="M83" s="86">
        <f>+Tabla1[[#This Row],[Rasimos Cosechados]]-Tabla1[[#This Row],[Rasimos Prosesados]]</f>
        <v>0</v>
      </c>
      <c r="N83" s="88">
        <f>+Tabla1[[#This Row],[Rasimos Cosechados]]/Tabla1[[#This Row],[Cajas Elaboradas]]</f>
        <v>0</v>
      </c>
      <c r="O83" s="89">
        <f>+Tabla1[[#This Row],[Rasimos Prosesados]]/Tabla1[[#This Row],[Cajas Elaboradas]]</f>
        <v>0</v>
      </c>
      <c r="P83" s="79">
        <v>3000</v>
      </c>
      <c r="Q83" s="80">
        <f>IF(I83,'DATOS PARA CALCULO'!D$22,0)</f>
        <v>0</v>
      </c>
      <c r="R83" s="81">
        <f t="shared" si="12"/>
        <v>471000</v>
      </c>
      <c r="S83" s="80">
        <f t="shared" si="13"/>
        <v>0</v>
      </c>
      <c r="T83" s="81">
        <f t="shared" si="14"/>
        <v>471000</v>
      </c>
      <c r="U83" s="80">
        <f>IF('CAJAS ELABORADAS'!$J83&gt;0,'CAJAS ELABORADAS'!$Y83*'CAJAS ELABORADAS'!$J83,0)</f>
        <v>600000</v>
      </c>
      <c r="V83" s="82">
        <f>'CAJAS ELABORADAS'!$Y83/'DATOS PARA CALCULO'!$D$27</f>
        <v>1</v>
      </c>
      <c r="W83" s="79">
        <f>(Tabla1[[#This Row],[Valor Pagado]]-Tabla1[[#This Row],[PRODUCIDO BOLSAS]])/Tabla1[[#This Row],[Cajas Elaboradas]]</f>
        <v>3821.6560509554142</v>
      </c>
      <c r="X83" s="90">
        <f t="shared" si="15"/>
        <v>23550</v>
      </c>
      <c r="Y83" s="91">
        <f>IF('CAJAS ELABORADAS'!$X83&lt;'DATOS PARA CALCULO'!$D$27,'DATOS PARA CALCULO'!$D$27,'CAJAS ELABORADAS'!$X83)</f>
        <v>30000</v>
      </c>
      <c r="Z83" s="92">
        <f>Tabla1[[#This Row],[VALOR  A PAGAR]]-Tabla1[[#This Row],[VALOR GANADO]]</f>
        <v>6450</v>
      </c>
    </row>
    <row r="84" spans="3:26" ht="18.75" x14ac:dyDescent="0.25">
      <c r="C84" s="71">
        <v>44411</v>
      </c>
      <c r="D84" s="507">
        <f>YEAR(Tabla1[[#This Row],[FECHA]])</f>
        <v>2021</v>
      </c>
      <c r="E84" s="72">
        <f>_xlfn.ISOWEEKNUM(Tabla1[[#This Row],[FECHA]])</f>
        <v>31</v>
      </c>
      <c r="F84" s="72" t="s">
        <v>152</v>
      </c>
      <c r="G84" s="73" t="s">
        <v>29</v>
      </c>
      <c r="H84" s="74">
        <v>422</v>
      </c>
      <c r="I84" s="72">
        <v>42</v>
      </c>
      <c r="J84" s="72">
        <v>21</v>
      </c>
      <c r="K84" s="86">
        <v>1518</v>
      </c>
      <c r="L84" s="87"/>
      <c r="M84" s="86">
        <f>+Tabla1[[#This Row],[Rasimos Cosechados]]-Tabla1[[#This Row],[Rasimos Prosesados]]</f>
        <v>1518</v>
      </c>
      <c r="N84" s="88">
        <f>+Tabla1[[#This Row],[Rasimos Cosechados]]/Tabla1[[#This Row],[Cajas Elaboradas]]</f>
        <v>3.5971563981042656</v>
      </c>
      <c r="O84" s="89">
        <f>+Tabla1[[#This Row],[Rasimos Prosesados]]/Tabla1[[#This Row],[Cajas Elaboradas]]</f>
        <v>0</v>
      </c>
      <c r="P84" s="81">
        <f>IF(H84,'DATOS PARA CALCULO'!D$18,0)</f>
        <v>1500</v>
      </c>
      <c r="Q84" s="80">
        <f>IF(I84,'DATOS PARA CALCULO'!D$22,0)</f>
        <v>500</v>
      </c>
      <c r="R84" s="81">
        <f t="shared" si="12"/>
        <v>633000</v>
      </c>
      <c r="S84" s="80">
        <f t="shared" si="13"/>
        <v>21000</v>
      </c>
      <c r="T84" s="81">
        <f t="shared" si="14"/>
        <v>654000</v>
      </c>
      <c r="U84" s="80">
        <f>IF('CAJAS ELABORADAS'!$J84&gt;0,'CAJAS ELABORADAS'!$Y84*'CAJAS ELABORADAS'!$J84,0)</f>
        <v>654000</v>
      </c>
      <c r="V84" s="82">
        <f>'CAJAS ELABORADAS'!$Y84/'DATOS PARA CALCULO'!$D$27</f>
        <v>1.038095238095238</v>
      </c>
      <c r="W84" s="79">
        <f>(Tabla1[[#This Row],[Valor Pagado]]-Tabla1[[#This Row],[PRODUCIDO BOLSAS]])/Tabla1[[#This Row],[Cajas Elaboradas]]</f>
        <v>1500</v>
      </c>
      <c r="X84" s="90">
        <f t="shared" si="15"/>
        <v>31142.857142857141</v>
      </c>
      <c r="Y84" s="91">
        <f>IF('CAJAS ELABORADAS'!$X84&lt;'DATOS PARA CALCULO'!$D$27,'DATOS PARA CALCULO'!$D$27,'CAJAS ELABORADAS'!$X84)</f>
        <v>31142.857142857141</v>
      </c>
      <c r="Z84" s="92">
        <f>Tabla1[[#This Row],[VALOR  A PAGAR]]-Tabla1[[#This Row],[VALOR GANADO]]</f>
        <v>0</v>
      </c>
    </row>
    <row r="85" spans="3:26" ht="18.75" x14ac:dyDescent="0.25">
      <c r="C85" s="71">
        <v>44412</v>
      </c>
      <c r="D85" s="507">
        <f>YEAR(Tabla1[[#This Row],[FECHA]])</f>
        <v>2021</v>
      </c>
      <c r="E85" s="72">
        <f>_xlfn.ISOWEEKNUM(Tabla1[[#This Row],[FECHA]])</f>
        <v>31</v>
      </c>
      <c r="F85" s="72" t="s">
        <v>152</v>
      </c>
      <c r="G85" s="73" t="s">
        <v>29</v>
      </c>
      <c r="H85" s="74">
        <f>152+50</f>
        <v>202</v>
      </c>
      <c r="I85" s="72">
        <v>21</v>
      </c>
      <c r="J85" s="72">
        <v>10</v>
      </c>
      <c r="K85" s="86">
        <v>647</v>
      </c>
      <c r="L85" s="87"/>
      <c r="M85" s="86">
        <f>+Tabla1[[#This Row],[Rasimos Cosechados]]-Tabla1[[#This Row],[Rasimos Prosesados]]</f>
        <v>647</v>
      </c>
      <c r="N85" s="88">
        <f>+Tabla1[[#This Row],[Rasimos Cosechados]]/Tabla1[[#This Row],[Cajas Elaboradas]]</f>
        <v>3.2029702970297032</v>
      </c>
      <c r="O85" s="89">
        <f>+Tabla1[[#This Row],[Rasimos Prosesados]]/Tabla1[[#This Row],[Cajas Elaboradas]]</f>
        <v>0</v>
      </c>
      <c r="P85" s="81">
        <f>IF(H85,'DATOS PARA CALCULO'!D$18,0)</f>
        <v>1500</v>
      </c>
      <c r="Q85" s="80">
        <f>IF(I85,'DATOS PARA CALCULO'!D$22,0)</f>
        <v>500</v>
      </c>
      <c r="R85" s="81">
        <f t="shared" si="12"/>
        <v>303000</v>
      </c>
      <c r="S85" s="80">
        <f t="shared" si="13"/>
        <v>10500</v>
      </c>
      <c r="T85" s="81">
        <f t="shared" si="14"/>
        <v>313500</v>
      </c>
      <c r="U85" s="80">
        <f>IF('CAJAS ELABORADAS'!$J85&gt;0,'CAJAS ELABORADAS'!$Y85*'CAJAS ELABORADAS'!$J85,0)</f>
        <v>313500</v>
      </c>
      <c r="V85" s="82">
        <f>'CAJAS ELABORADAS'!$Y85/'DATOS PARA CALCULO'!$D$27</f>
        <v>1.0449999999999999</v>
      </c>
      <c r="W85" s="79">
        <f>(Tabla1[[#This Row],[Valor Pagado]]-Tabla1[[#This Row],[PRODUCIDO BOLSAS]])/Tabla1[[#This Row],[Cajas Elaboradas]]</f>
        <v>1500</v>
      </c>
      <c r="X85" s="90">
        <f t="shared" si="15"/>
        <v>31350</v>
      </c>
      <c r="Y85" s="91">
        <f>IF('CAJAS ELABORADAS'!$X85&lt;'DATOS PARA CALCULO'!$D$27,'DATOS PARA CALCULO'!$D$27,'CAJAS ELABORADAS'!$X85)</f>
        <v>31350</v>
      </c>
      <c r="Z85" s="92">
        <f>Tabla1[[#This Row],[VALOR  A PAGAR]]-Tabla1[[#This Row],[VALOR GANADO]]</f>
        <v>0</v>
      </c>
    </row>
    <row r="86" spans="3:26" ht="18.75" x14ac:dyDescent="0.25">
      <c r="C86" s="71">
        <v>44412</v>
      </c>
      <c r="D86" s="507">
        <f>YEAR(Tabla1[[#This Row],[FECHA]])</f>
        <v>2021</v>
      </c>
      <c r="E86" s="72">
        <f>_xlfn.ISOWEEKNUM(Tabla1[[#This Row],[FECHA]])</f>
        <v>31</v>
      </c>
      <c r="F86" s="72"/>
      <c r="G86" s="73" t="s">
        <v>30</v>
      </c>
      <c r="H86" s="74">
        <v>166</v>
      </c>
      <c r="I86" s="72">
        <v>45</v>
      </c>
      <c r="J86" s="72">
        <v>7</v>
      </c>
      <c r="K86" s="86"/>
      <c r="L86" s="87"/>
      <c r="M86" s="86">
        <f>+Tabla1[[#This Row],[Rasimos Cosechados]]-Tabla1[[#This Row],[Rasimos Prosesados]]</f>
        <v>0</v>
      </c>
      <c r="N86" s="88">
        <f>+Tabla1[[#This Row],[Rasimos Cosechados]]/Tabla1[[#This Row],[Cajas Elaboradas]]</f>
        <v>0</v>
      </c>
      <c r="O86" s="89">
        <f>+Tabla1[[#This Row],[Rasimos Prosesados]]/Tabla1[[#This Row],[Cajas Elaboradas]]</f>
        <v>0</v>
      </c>
      <c r="P86" s="81">
        <f>IF(H86,'DATOS PARA CALCULO'!D$18,0)</f>
        <v>1500</v>
      </c>
      <c r="Q86" s="80">
        <f>IF(I86,'DATOS PARA CALCULO'!D$22,0)</f>
        <v>500</v>
      </c>
      <c r="R86" s="81">
        <f t="shared" si="12"/>
        <v>249000</v>
      </c>
      <c r="S86" s="80">
        <f t="shared" si="13"/>
        <v>22500</v>
      </c>
      <c r="T86" s="81">
        <f t="shared" si="14"/>
        <v>271500</v>
      </c>
      <c r="U86" s="80">
        <f>IF('CAJAS ELABORADAS'!$J86&gt;0,'CAJAS ELABORADAS'!$Y86*'CAJAS ELABORADAS'!$J86,0)</f>
        <v>271500</v>
      </c>
      <c r="V86" s="82">
        <f>'CAJAS ELABORADAS'!$Y86/'DATOS PARA CALCULO'!$D$27</f>
        <v>1.2928571428571427</v>
      </c>
      <c r="W86" s="79">
        <f>(Tabla1[[#This Row],[Valor Pagado]]-Tabla1[[#This Row],[PRODUCIDO BOLSAS]])/Tabla1[[#This Row],[Cajas Elaboradas]]</f>
        <v>1500</v>
      </c>
      <c r="X86" s="90">
        <f t="shared" si="15"/>
        <v>38785.714285714283</v>
      </c>
      <c r="Y86" s="91">
        <f>IF('CAJAS ELABORADAS'!$X86&lt;'DATOS PARA CALCULO'!$D$27,'DATOS PARA CALCULO'!$D$27,'CAJAS ELABORADAS'!$X86)</f>
        <v>38785.714285714283</v>
      </c>
      <c r="Z86" s="92">
        <f>Tabla1[[#This Row],[VALOR  A PAGAR]]-Tabla1[[#This Row],[VALOR GANADO]]</f>
        <v>0</v>
      </c>
    </row>
    <row r="87" spans="3:26" ht="18.75" x14ac:dyDescent="0.25">
      <c r="C87" s="71">
        <v>44412</v>
      </c>
      <c r="D87" s="507">
        <f>YEAR(Tabla1[[#This Row],[FECHA]])</f>
        <v>2021</v>
      </c>
      <c r="E87" s="72">
        <f>_xlfn.ISOWEEKNUM(Tabla1[[#This Row],[FECHA]])</f>
        <v>31</v>
      </c>
      <c r="F87" s="72" t="s">
        <v>157</v>
      </c>
      <c r="G87" s="73" t="s">
        <v>31</v>
      </c>
      <c r="H87" s="95">
        <v>122</v>
      </c>
      <c r="I87" s="72">
        <v>43</v>
      </c>
      <c r="J87" s="72">
        <v>18</v>
      </c>
      <c r="K87" s="86"/>
      <c r="L87" s="87"/>
      <c r="M87" s="86">
        <f>+Tabla1[[#This Row],[Rasimos Cosechados]]-Tabla1[[#This Row],[Rasimos Prosesados]]</f>
        <v>0</v>
      </c>
      <c r="N87" s="88">
        <f>+Tabla1[[#This Row],[Rasimos Cosechados]]/Tabla1[[#This Row],[Cajas Elaboradas]]</f>
        <v>0</v>
      </c>
      <c r="O87" s="89">
        <f>+Tabla1[[#This Row],[Rasimos Prosesados]]/Tabla1[[#This Row],[Cajas Elaboradas]]</f>
        <v>0</v>
      </c>
      <c r="P87" s="79">
        <v>3000</v>
      </c>
      <c r="Q87" s="80">
        <f>IF(I87,'DATOS PARA CALCULO'!D$22,0)</f>
        <v>500</v>
      </c>
      <c r="R87" s="81">
        <f t="shared" si="12"/>
        <v>366000</v>
      </c>
      <c r="S87" s="80">
        <f t="shared" si="13"/>
        <v>21500</v>
      </c>
      <c r="T87" s="81">
        <f t="shared" si="14"/>
        <v>387500</v>
      </c>
      <c r="U87" s="80">
        <f>IF('CAJAS ELABORADAS'!$J87&gt;0,'CAJAS ELABORADAS'!$Y87*'CAJAS ELABORADAS'!$J87,0)</f>
        <v>540000</v>
      </c>
      <c r="V87" s="82">
        <f>'CAJAS ELABORADAS'!$Y87/'DATOS PARA CALCULO'!$D$27</f>
        <v>1</v>
      </c>
      <c r="W87" s="79">
        <f>(Tabla1[[#This Row],[Valor Pagado]]-Tabla1[[#This Row],[PRODUCIDO BOLSAS]])/Tabla1[[#This Row],[Cajas Elaboradas]]</f>
        <v>4250</v>
      </c>
      <c r="X87" s="90">
        <f t="shared" si="15"/>
        <v>21527.777777777777</v>
      </c>
      <c r="Y87" s="91">
        <f>IF('CAJAS ELABORADAS'!$X87&lt;'DATOS PARA CALCULO'!$D$27,'DATOS PARA CALCULO'!$D$27,'CAJAS ELABORADAS'!$X87)</f>
        <v>30000</v>
      </c>
      <c r="Z87" s="92">
        <f>Tabla1[[#This Row],[VALOR  A PAGAR]]-Tabla1[[#This Row],[VALOR GANADO]]</f>
        <v>8472.2222222222226</v>
      </c>
    </row>
    <row r="88" spans="3:26" ht="18.75" x14ac:dyDescent="0.25">
      <c r="C88" s="71">
        <v>44418</v>
      </c>
      <c r="D88" s="507">
        <f>YEAR(Tabla1[[#This Row],[FECHA]])</f>
        <v>2021</v>
      </c>
      <c r="E88" s="72">
        <f>_xlfn.ISOWEEKNUM(Tabla1[[#This Row],[FECHA]])</f>
        <v>32</v>
      </c>
      <c r="F88" s="72" t="s">
        <v>152</v>
      </c>
      <c r="G88" s="73" t="s">
        <v>29</v>
      </c>
      <c r="H88" s="74">
        <f>314+34</f>
        <v>348</v>
      </c>
      <c r="I88" s="72">
        <v>54</v>
      </c>
      <c r="J88" s="72">
        <v>16</v>
      </c>
      <c r="K88" s="86">
        <v>2014</v>
      </c>
      <c r="L88" s="87">
        <f>742+189+802</f>
        <v>1733</v>
      </c>
      <c r="M88" s="86">
        <f>+Tabla1[[#This Row],[Rasimos Cosechados]]-Tabla1[[#This Row],[Rasimos Prosesados]]</f>
        <v>281</v>
      </c>
      <c r="N88" s="88">
        <f>+Tabla1[[#This Row],[Rasimos Cosechados]]/Tabla1[[#This Row],[Cajas Elaboradas]]</f>
        <v>5.7873563218390807</v>
      </c>
      <c r="O88" s="89">
        <f>+Tabla1[[#This Row],[Rasimos Prosesados]]/Tabla1[[#This Row],[Cajas Elaboradas]]</f>
        <v>4.9798850574712645</v>
      </c>
      <c r="P88" s="81">
        <f>IF(H88,'DATOS PARA CALCULO'!D$18,0)</f>
        <v>1500</v>
      </c>
      <c r="Q88" s="80">
        <f>IF(I88,'DATOS PARA CALCULO'!D$22,0)</f>
        <v>500</v>
      </c>
      <c r="R88" s="81">
        <f t="shared" ref="R88:R94" si="16">IF(P88&gt;0 &amp; H88&gt;0,H88*P88,)</f>
        <v>522000</v>
      </c>
      <c r="S88" s="80">
        <f t="shared" ref="S88:S94" si="17">IF(Q88&gt;0 &amp; I88&gt;0,I88*Q88,0)</f>
        <v>27000</v>
      </c>
      <c r="T88" s="81">
        <f t="shared" ref="T88:T94" si="18">S88+R88</f>
        <v>549000</v>
      </c>
      <c r="U88" s="80">
        <f>IF('CAJAS ELABORADAS'!$J88&gt;0,'CAJAS ELABORADAS'!$Y88*'CAJAS ELABORADAS'!$J88,0)</f>
        <v>549000</v>
      </c>
      <c r="V88" s="82">
        <f>'CAJAS ELABORADAS'!$Y88/'DATOS PARA CALCULO'!$D$27</f>
        <v>1.14375</v>
      </c>
      <c r="W88" s="79">
        <f>(Tabla1[[#This Row],[Valor Pagado]]-Tabla1[[#This Row],[PRODUCIDO BOLSAS]])/Tabla1[[#This Row],[Cajas Elaboradas]]</f>
        <v>1500</v>
      </c>
      <c r="X88" s="90">
        <f t="shared" ref="X88:X94" si="19">IF(J88&gt;0,T88/J88,0)</f>
        <v>34312.5</v>
      </c>
      <c r="Y88" s="91">
        <f>IF('CAJAS ELABORADAS'!$X88&lt;'DATOS PARA CALCULO'!$D$27,'DATOS PARA CALCULO'!$D$27,'CAJAS ELABORADAS'!$X88)</f>
        <v>34312.5</v>
      </c>
      <c r="Z88" s="92">
        <f>Tabla1[[#This Row],[VALOR  A PAGAR]]-Tabla1[[#This Row],[VALOR GANADO]]</f>
        <v>0</v>
      </c>
    </row>
    <row r="89" spans="3:26" ht="18.75" x14ac:dyDescent="0.25">
      <c r="C89" s="71">
        <v>44419</v>
      </c>
      <c r="D89" s="507">
        <f>YEAR(Tabla1[[#This Row],[FECHA]])</f>
        <v>2021</v>
      </c>
      <c r="E89" s="72">
        <f>_xlfn.ISOWEEKNUM(Tabla1[[#This Row],[FECHA]])</f>
        <v>32</v>
      </c>
      <c r="F89" s="72" t="s">
        <v>152</v>
      </c>
      <c r="G89" s="73" t="s">
        <v>29</v>
      </c>
      <c r="H89" s="74">
        <f>289-59-34</f>
        <v>196</v>
      </c>
      <c r="I89" s="72"/>
      <c r="J89" s="72">
        <v>15</v>
      </c>
      <c r="K89" s="86"/>
      <c r="L89" s="87"/>
      <c r="M89" s="86">
        <f>+Tabla1[[#This Row],[Rasimos Cosechados]]-Tabla1[[#This Row],[Rasimos Prosesados]]</f>
        <v>0</v>
      </c>
      <c r="N89" s="88">
        <f>+Tabla1[[#This Row],[Rasimos Cosechados]]/Tabla1[[#This Row],[Cajas Elaboradas]]</f>
        <v>0</v>
      </c>
      <c r="O89" s="89">
        <f>+Tabla1[[#This Row],[Rasimos Prosesados]]/Tabla1[[#This Row],[Cajas Elaboradas]]</f>
        <v>0</v>
      </c>
      <c r="P89" s="81">
        <f>IF(H89,'DATOS PARA CALCULO'!D$18,0)</f>
        <v>1500</v>
      </c>
      <c r="Q89" s="80">
        <f>IF(I89,'DATOS PARA CALCULO'!D$22,0)</f>
        <v>0</v>
      </c>
      <c r="R89" s="81">
        <f t="shared" si="16"/>
        <v>294000</v>
      </c>
      <c r="S89" s="80">
        <f t="shared" si="17"/>
        <v>0</v>
      </c>
      <c r="T89" s="81">
        <f t="shared" si="18"/>
        <v>294000</v>
      </c>
      <c r="U89" s="80">
        <f>IF('CAJAS ELABORADAS'!$J89&gt;0,'CAJAS ELABORADAS'!$Y89*'CAJAS ELABORADAS'!$J89,0)</f>
        <v>450000</v>
      </c>
      <c r="V89" s="82">
        <f>'CAJAS ELABORADAS'!$Y89/'DATOS PARA CALCULO'!$D$27</f>
        <v>1</v>
      </c>
      <c r="W89" s="79">
        <f>(Tabla1[[#This Row],[Valor Pagado]]-Tabla1[[#This Row],[PRODUCIDO BOLSAS]])/Tabla1[[#This Row],[Cajas Elaboradas]]</f>
        <v>2295.9183673469388</v>
      </c>
      <c r="X89" s="90">
        <f t="shared" si="19"/>
        <v>19600</v>
      </c>
      <c r="Y89" s="91">
        <f>IF('CAJAS ELABORADAS'!$X89&lt;'DATOS PARA CALCULO'!$D$27,'DATOS PARA CALCULO'!$D$27,'CAJAS ELABORADAS'!$X89)</f>
        <v>30000</v>
      </c>
      <c r="Z89" s="92">
        <f>Tabla1[[#This Row],[VALOR  A PAGAR]]-Tabla1[[#This Row],[VALOR GANADO]]</f>
        <v>10400</v>
      </c>
    </row>
    <row r="90" spans="3:26" ht="18.75" x14ac:dyDescent="0.25">
      <c r="C90" s="71">
        <v>44419</v>
      </c>
      <c r="D90" s="507">
        <f>YEAR(Tabla1[[#This Row],[FECHA]])</f>
        <v>2021</v>
      </c>
      <c r="E90" s="72">
        <f>_xlfn.ISOWEEKNUM(Tabla1[[#This Row],[FECHA]])</f>
        <v>32</v>
      </c>
      <c r="F90" s="72"/>
      <c r="G90" s="73" t="s">
        <v>33</v>
      </c>
      <c r="H90" s="74">
        <v>59</v>
      </c>
      <c r="I90" s="72">
        <v>24</v>
      </c>
      <c r="J90" s="72">
        <v>6</v>
      </c>
      <c r="K90" s="86"/>
      <c r="L90" s="87"/>
      <c r="M90" s="86">
        <f>+Tabla1[[#This Row],[Rasimos Cosechados]]-Tabla1[[#This Row],[Rasimos Prosesados]]</f>
        <v>0</v>
      </c>
      <c r="N90" s="88">
        <f>+Tabla1[[#This Row],[Rasimos Cosechados]]/Tabla1[[#This Row],[Cajas Elaboradas]]</f>
        <v>0</v>
      </c>
      <c r="O90" s="89">
        <f>+Tabla1[[#This Row],[Rasimos Prosesados]]/Tabla1[[#This Row],[Cajas Elaboradas]]</f>
        <v>0</v>
      </c>
      <c r="P90" s="81">
        <f>IF(H90,'DATOS PARA CALCULO'!D$18,0)</f>
        <v>1500</v>
      </c>
      <c r="Q90" s="80">
        <f>IF(I90,'DATOS PARA CALCULO'!D$22,0)</f>
        <v>500</v>
      </c>
      <c r="R90" s="81">
        <f t="shared" si="16"/>
        <v>88500</v>
      </c>
      <c r="S90" s="80">
        <f t="shared" si="17"/>
        <v>12000</v>
      </c>
      <c r="T90" s="81">
        <f t="shared" si="18"/>
        <v>100500</v>
      </c>
      <c r="U90" s="80">
        <f>IF('CAJAS ELABORADAS'!$J90&gt;0,'CAJAS ELABORADAS'!$Y90*'CAJAS ELABORADAS'!$J90,0)</f>
        <v>180000</v>
      </c>
      <c r="V90" s="82">
        <f>'CAJAS ELABORADAS'!$Y90/'DATOS PARA CALCULO'!$D$27</f>
        <v>1</v>
      </c>
      <c r="W90" s="79">
        <f>(Tabla1[[#This Row],[Valor Pagado]]-Tabla1[[#This Row],[PRODUCIDO BOLSAS]])/Tabla1[[#This Row],[Cajas Elaboradas]]</f>
        <v>2847.4576271186443</v>
      </c>
      <c r="X90" s="90">
        <f t="shared" si="19"/>
        <v>16750</v>
      </c>
      <c r="Y90" s="91">
        <f>IF('CAJAS ELABORADAS'!$X90&lt;'DATOS PARA CALCULO'!$D$27,'DATOS PARA CALCULO'!$D$27,'CAJAS ELABORADAS'!$X90)</f>
        <v>30000</v>
      </c>
      <c r="Z90" s="92">
        <f>Tabla1[[#This Row],[VALOR  A PAGAR]]-Tabla1[[#This Row],[VALOR GANADO]]</f>
        <v>13250</v>
      </c>
    </row>
    <row r="91" spans="3:26" ht="18.75" x14ac:dyDescent="0.25">
      <c r="C91" s="71">
        <v>44418</v>
      </c>
      <c r="D91" s="507">
        <f>YEAR(Tabla1[[#This Row],[FECHA]])</f>
        <v>2021</v>
      </c>
      <c r="E91" s="72">
        <f>_xlfn.ISOWEEKNUM(Tabla1[[#This Row],[FECHA]])</f>
        <v>32</v>
      </c>
      <c r="F91" s="57" t="s">
        <v>155</v>
      </c>
      <c r="G91" s="73" t="s">
        <v>28</v>
      </c>
      <c r="H91" s="74">
        <f>150+67</f>
        <v>217</v>
      </c>
      <c r="I91" s="72">
        <v>101</v>
      </c>
      <c r="J91" s="72">
        <v>9</v>
      </c>
      <c r="K91" s="86"/>
      <c r="L91" s="87"/>
      <c r="M91" s="86">
        <f>+Tabla1[[#This Row],[Rasimos Cosechados]]-Tabla1[[#This Row],[Rasimos Prosesados]]</f>
        <v>0</v>
      </c>
      <c r="N91" s="88">
        <f>+Tabla1[[#This Row],[Rasimos Cosechados]]/Tabla1[[#This Row],[Cajas Elaboradas]]</f>
        <v>0</v>
      </c>
      <c r="O91" s="89">
        <f>+Tabla1[[#This Row],[Rasimos Prosesados]]/Tabla1[[#This Row],[Cajas Elaboradas]]</f>
        <v>0</v>
      </c>
      <c r="P91" s="81">
        <f>IF(H91,'DATOS PARA CALCULO'!D$18,0)</f>
        <v>1500</v>
      </c>
      <c r="Q91" s="80">
        <f>IF(I91,'DATOS PARA CALCULO'!D$22,0)</f>
        <v>500</v>
      </c>
      <c r="R91" s="81">
        <f t="shared" si="16"/>
        <v>325500</v>
      </c>
      <c r="S91" s="80">
        <f t="shared" si="17"/>
        <v>50500</v>
      </c>
      <c r="T91" s="81">
        <f t="shared" si="18"/>
        <v>376000</v>
      </c>
      <c r="U91" s="80">
        <f>IF('CAJAS ELABORADAS'!$J91&gt;0,'CAJAS ELABORADAS'!$Y91*'CAJAS ELABORADAS'!$J91,0)</f>
        <v>376000</v>
      </c>
      <c r="V91" s="82">
        <f>'CAJAS ELABORADAS'!$Y91/'DATOS PARA CALCULO'!$D$27</f>
        <v>1.3925925925925926</v>
      </c>
      <c r="W91" s="79">
        <f>(Tabla1[[#This Row],[Valor Pagado]]-Tabla1[[#This Row],[PRODUCIDO BOLSAS]])/Tabla1[[#This Row],[Cajas Elaboradas]]</f>
        <v>1500</v>
      </c>
      <c r="X91" s="90">
        <f t="shared" si="19"/>
        <v>41777.777777777781</v>
      </c>
      <c r="Y91" s="91">
        <f>IF('CAJAS ELABORADAS'!$X91&lt;'DATOS PARA CALCULO'!$D$27,'DATOS PARA CALCULO'!$D$27,'CAJAS ELABORADAS'!$X91)</f>
        <v>41777.777777777781</v>
      </c>
      <c r="Z91" s="92">
        <f>Tabla1[[#This Row],[VALOR  A PAGAR]]-Tabla1[[#This Row],[VALOR GANADO]]</f>
        <v>0</v>
      </c>
    </row>
    <row r="92" spans="3:26" ht="18.75" x14ac:dyDescent="0.25">
      <c r="C92" s="71">
        <v>44425</v>
      </c>
      <c r="D92" s="507">
        <f>YEAR(Tabla1[[#This Row],[FECHA]])</f>
        <v>2021</v>
      </c>
      <c r="E92" s="72">
        <f>_xlfn.ISOWEEKNUM(Tabla1[[#This Row],[FECHA]])</f>
        <v>33</v>
      </c>
      <c r="F92" s="72" t="s">
        <v>152</v>
      </c>
      <c r="G92" s="73" t="s">
        <v>29</v>
      </c>
      <c r="H92" s="74">
        <v>247</v>
      </c>
      <c r="I92" s="72">
        <v>49</v>
      </c>
      <c r="J92" s="72">
        <v>15</v>
      </c>
      <c r="K92" s="86"/>
      <c r="L92" s="87"/>
      <c r="M92" s="86">
        <f>+Tabla1[[#This Row],[Rasimos Cosechados]]-Tabla1[[#This Row],[Rasimos Prosesados]]</f>
        <v>0</v>
      </c>
      <c r="N92" s="88">
        <f>+Tabla1[[#This Row],[Rasimos Cosechados]]/Tabla1[[#This Row],[Cajas Elaboradas]]</f>
        <v>0</v>
      </c>
      <c r="O92" s="89">
        <f>+Tabla1[[#This Row],[Rasimos Prosesados]]/Tabla1[[#This Row],[Cajas Elaboradas]]</f>
        <v>0</v>
      </c>
      <c r="P92" s="81">
        <f>IF(H92,'DATOS PARA CALCULO'!D$18,0)</f>
        <v>1500</v>
      </c>
      <c r="Q92" s="80">
        <f>IF(I92,'DATOS PARA CALCULO'!D$22,0)</f>
        <v>500</v>
      </c>
      <c r="R92" s="81">
        <f t="shared" si="16"/>
        <v>370500</v>
      </c>
      <c r="S92" s="80">
        <f t="shared" si="17"/>
        <v>24500</v>
      </c>
      <c r="T92" s="81">
        <f t="shared" si="18"/>
        <v>395000</v>
      </c>
      <c r="U92" s="80">
        <f>IF('CAJAS ELABORADAS'!$J92&gt;0,'CAJAS ELABORADAS'!$Y92*'CAJAS ELABORADAS'!$J92,0)</f>
        <v>450000</v>
      </c>
      <c r="V92" s="82">
        <f>'CAJAS ELABORADAS'!$Y92/'DATOS PARA CALCULO'!$D$27</f>
        <v>1</v>
      </c>
      <c r="W92" s="79">
        <f>(Tabla1[[#This Row],[Valor Pagado]]-Tabla1[[#This Row],[PRODUCIDO BOLSAS]])/Tabla1[[#This Row],[Cajas Elaboradas]]</f>
        <v>1722.6720647773279</v>
      </c>
      <c r="X92" s="90">
        <f t="shared" si="19"/>
        <v>26333.333333333332</v>
      </c>
      <c r="Y92" s="91">
        <f>IF('CAJAS ELABORADAS'!$X92&lt;'DATOS PARA CALCULO'!$D$27,'DATOS PARA CALCULO'!$D$27,'CAJAS ELABORADAS'!$X92)</f>
        <v>30000</v>
      </c>
      <c r="Z92" s="92">
        <f>Tabla1[[#This Row],[VALOR  A PAGAR]]-Tabla1[[#This Row],[VALOR GANADO]]</f>
        <v>3666.6666666666679</v>
      </c>
    </row>
    <row r="93" spans="3:26" ht="18.75" x14ac:dyDescent="0.25">
      <c r="C93" s="71">
        <v>44424</v>
      </c>
      <c r="D93" s="507">
        <f>YEAR(Tabla1[[#This Row],[FECHA]])</f>
        <v>2021</v>
      </c>
      <c r="E93" s="72">
        <f>_xlfn.ISOWEEKNUM(Tabla1[[#This Row],[FECHA]])</f>
        <v>33</v>
      </c>
      <c r="F93" s="72" t="s">
        <v>157</v>
      </c>
      <c r="G93" s="73" t="s">
        <v>31</v>
      </c>
      <c r="H93" s="96">
        <v>116</v>
      </c>
      <c r="I93" s="72"/>
      <c r="J93" s="72">
        <v>17</v>
      </c>
      <c r="K93" s="86"/>
      <c r="L93" s="87"/>
      <c r="M93" s="86">
        <f>+Tabla1[[#This Row],[Rasimos Cosechados]]-Tabla1[[#This Row],[Rasimos Prosesados]]</f>
        <v>0</v>
      </c>
      <c r="N93" s="88">
        <f>+Tabla1[[#This Row],[Rasimos Cosechados]]/Tabla1[[#This Row],[Cajas Elaboradas]]</f>
        <v>0</v>
      </c>
      <c r="O93" s="89">
        <f>+Tabla1[[#This Row],[Rasimos Prosesados]]/Tabla1[[#This Row],[Cajas Elaboradas]]</f>
        <v>0</v>
      </c>
      <c r="P93" s="79">
        <v>3000</v>
      </c>
      <c r="Q93" s="80">
        <f>IF(I93,'DATOS PARA CALCULO'!D$22,0)</f>
        <v>0</v>
      </c>
      <c r="R93" s="81">
        <f t="shared" si="16"/>
        <v>348000</v>
      </c>
      <c r="S93" s="80">
        <f t="shared" si="17"/>
        <v>0</v>
      </c>
      <c r="T93" s="81">
        <f t="shared" si="18"/>
        <v>348000</v>
      </c>
      <c r="U93" s="80">
        <f>IF('CAJAS ELABORADAS'!$J93&gt;0,'CAJAS ELABORADAS'!$Y93*'CAJAS ELABORADAS'!$J93,0)</f>
        <v>510000</v>
      </c>
      <c r="V93" s="82">
        <f>'CAJAS ELABORADAS'!$Y93/'DATOS PARA CALCULO'!$D$27</f>
        <v>1</v>
      </c>
      <c r="W93" s="79">
        <f>(Tabla1[[#This Row],[Valor Pagado]]-Tabla1[[#This Row],[PRODUCIDO BOLSAS]])/Tabla1[[#This Row],[Cajas Elaboradas]]</f>
        <v>4396.5517241379312</v>
      </c>
      <c r="X93" s="90">
        <f t="shared" si="19"/>
        <v>20470.588235294119</v>
      </c>
      <c r="Y93" s="91">
        <f>IF('CAJAS ELABORADAS'!$X93&lt;'DATOS PARA CALCULO'!$D$27,'DATOS PARA CALCULO'!$D$27,'CAJAS ELABORADAS'!$X93)</f>
        <v>30000</v>
      </c>
      <c r="Z93" s="92">
        <f>Tabla1[[#This Row],[VALOR  A PAGAR]]-Tabla1[[#This Row],[VALOR GANADO]]</f>
        <v>9529.4117647058811</v>
      </c>
    </row>
    <row r="94" spans="3:26" ht="18.75" x14ac:dyDescent="0.25">
      <c r="C94" s="71">
        <v>44425</v>
      </c>
      <c r="D94" s="507">
        <f>YEAR(Tabla1[[#This Row],[FECHA]])</f>
        <v>2021</v>
      </c>
      <c r="E94" s="72">
        <f>_xlfn.ISOWEEKNUM(Tabla1[[#This Row],[FECHA]])</f>
        <v>33</v>
      </c>
      <c r="F94" s="72"/>
      <c r="G94" s="73" t="s">
        <v>30</v>
      </c>
      <c r="H94" s="74">
        <v>140</v>
      </c>
      <c r="I94" s="72">
        <v>49</v>
      </c>
      <c r="J94" s="72">
        <v>9</v>
      </c>
      <c r="K94" s="86"/>
      <c r="L94" s="87"/>
      <c r="M94" s="86">
        <f>+Tabla1[[#This Row],[Rasimos Cosechados]]-Tabla1[[#This Row],[Rasimos Prosesados]]</f>
        <v>0</v>
      </c>
      <c r="N94" s="88">
        <f>+Tabla1[[#This Row],[Rasimos Cosechados]]/Tabla1[[#This Row],[Cajas Elaboradas]]</f>
        <v>0</v>
      </c>
      <c r="O94" s="89">
        <f>+Tabla1[[#This Row],[Rasimos Prosesados]]/Tabla1[[#This Row],[Cajas Elaboradas]]</f>
        <v>0</v>
      </c>
      <c r="P94" s="81">
        <f>IF(H94,'DATOS PARA CALCULO'!D$18,0)</f>
        <v>1500</v>
      </c>
      <c r="Q94" s="80">
        <f>IF(I94,'DATOS PARA CALCULO'!D$22,0)</f>
        <v>500</v>
      </c>
      <c r="R94" s="81">
        <f t="shared" si="16"/>
        <v>210000</v>
      </c>
      <c r="S94" s="80">
        <f t="shared" si="17"/>
        <v>24500</v>
      </c>
      <c r="T94" s="81">
        <f t="shared" si="18"/>
        <v>234500</v>
      </c>
      <c r="U94" s="80">
        <f>IF('CAJAS ELABORADAS'!$J94&gt;0,'CAJAS ELABORADAS'!$Y94*'CAJAS ELABORADAS'!$J94,0)</f>
        <v>270000</v>
      </c>
      <c r="V94" s="82">
        <f>'CAJAS ELABORADAS'!$Y94/'DATOS PARA CALCULO'!$D$27</f>
        <v>1</v>
      </c>
      <c r="W94" s="79">
        <f>(Tabla1[[#This Row],[Valor Pagado]]-Tabla1[[#This Row],[PRODUCIDO BOLSAS]])/Tabla1[[#This Row],[Cajas Elaboradas]]</f>
        <v>1753.5714285714287</v>
      </c>
      <c r="X94" s="90">
        <f t="shared" si="19"/>
        <v>26055.555555555555</v>
      </c>
      <c r="Y94" s="91">
        <f>IF('CAJAS ELABORADAS'!$X94&lt;'DATOS PARA CALCULO'!$D$27,'DATOS PARA CALCULO'!$D$27,'CAJAS ELABORADAS'!$X94)</f>
        <v>30000</v>
      </c>
      <c r="Z94" s="92">
        <f>Tabla1[[#This Row],[VALOR  A PAGAR]]-Tabla1[[#This Row],[VALOR GANADO]]</f>
        <v>3944.4444444444453</v>
      </c>
    </row>
    <row r="95" spans="3:26" ht="18.75" x14ac:dyDescent="0.25">
      <c r="C95" s="71">
        <v>44432</v>
      </c>
      <c r="D95" s="507">
        <f>YEAR(Tabla1[[#This Row],[FECHA]])</f>
        <v>2021</v>
      </c>
      <c r="E95" s="72">
        <f>_xlfn.ISOWEEKNUM(Tabla1[[#This Row],[FECHA]])</f>
        <v>34</v>
      </c>
      <c r="F95" s="72" t="s">
        <v>152</v>
      </c>
      <c r="G95" s="73" t="s">
        <v>29</v>
      </c>
      <c r="H95" s="74">
        <f>176+160</f>
        <v>336</v>
      </c>
      <c r="I95" s="72">
        <v>77</v>
      </c>
      <c r="J95" s="72">
        <v>17</v>
      </c>
      <c r="K95" s="75"/>
      <c r="L95" s="93"/>
      <c r="M95" s="75">
        <f>+Tabla1[[#This Row],[Rasimos Cosechados]]-Tabla1[[#This Row],[Rasimos Prosesados]]</f>
        <v>0</v>
      </c>
      <c r="N95" s="77">
        <f>+Tabla1[[#This Row],[Rasimos Cosechados]]/Tabla1[[#This Row],[Cajas Elaboradas]]</f>
        <v>0</v>
      </c>
      <c r="O95" s="78">
        <f>+Tabla1[[#This Row],[Rasimos Prosesados]]/Tabla1[[#This Row],[Cajas Elaboradas]]</f>
        <v>0</v>
      </c>
      <c r="P95" s="81">
        <f>IF(H95,'DATOS PARA CALCULO'!D$18,0)</f>
        <v>1500</v>
      </c>
      <c r="Q95" s="80">
        <f>IF(I95,'DATOS PARA CALCULO'!D$22,0)</f>
        <v>500</v>
      </c>
      <c r="R95" s="81">
        <f t="shared" ref="R95:R129" si="20">IF(P95&gt;0 &amp; H95&gt;0,H95*P95,)</f>
        <v>504000</v>
      </c>
      <c r="S95" s="80">
        <f t="shared" ref="S95:S129" si="21">IF(Q95&gt;0 &amp; I95&gt;0,I95*Q95,0)</f>
        <v>38500</v>
      </c>
      <c r="T95" s="81">
        <f t="shared" ref="T95:T129" si="22">S95+R95</f>
        <v>542500</v>
      </c>
      <c r="U95" s="80">
        <f>IF('CAJAS ELABORADAS'!$J95&gt;0,'CAJAS ELABORADAS'!$Y95*'CAJAS ELABORADAS'!$J95,0)</f>
        <v>542500</v>
      </c>
      <c r="V95" s="82">
        <f>'CAJAS ELABORADAS'!$Y95/'DATOS PARA CALCULO'!$D$27</f>
        <v>1.0637254901960784</v>
      </c>
      <c r="W95" s="79">
        <f>(Tabla1[[#This Row],[Valor Pagado]]-Tabla1[[#This Row],[PRODUCIDO BOLSAS]])/Tabla1[[#This Row],[Cajas Elaboradas]]</f>
        <v>1500</v>
      </c>
      <c r="X95" s="83">
        <f t="shared" ref="X95:X129" si="23">IF(J95&gt;0,T95/J95,0)</f>
        <v>31911.764705882353</v>
      </c>
      <c r="Y95" s="84">
        <f>IF('CAJAS ELABORADAS'!$X95&lt;'DATOS PARA CALCULO'!$D$27,'DATOS PARA CALCULO'!$D$27,'CAJAS ELABORADAS'!$X95)</f>
        <v>31911.764705882353</v>
      </c>
      <c r="Z95" s="94">
        <f>Tabla1[[#This Row],[VALOR  A PAGAR]]-Tabla1[[#This Row],[VALOR GANADO]]</f>
        <v>0</v>
      </c>
    </row>
    <row r="96" spans="3:26" ht="18.75" x14ac:dyDescent="0.25">
      <c r="C96" s="71">
        <v>44432</v>
      </c>
      <c r="D96" s="507">
        <f>YEAR(Tabla1[[#This Row],[FECHA]])</f>
        <v>2021</v>
      </c>
      <c r="E96" s="72">
        <f>_xlfn.ISOWEEKNUM(Tabla1[[#This Row],[FECHA]])</f>
        <v>34</v>
      </c>
      <c r="F96" s="72"/>
      <c r="G96" s="73" t="s">
        <v>30</v>
      </c>
      <c r="H96" s="74">
        <v>74</v>
      </c>
      <c r="I96" s="72">
        <v>21</v>
      </c>
      <c r="J96" s="72">
        <v>5</v>
      </c>
      <c r="K96" s="75"/>
      <c r="L96" s="93"/>
      <c r="M96" s="75">
        <f>+Tabla1[[#This Row],[Rasimos Cosechados]]-Tabla1[[#This Row],[Rasimos Prosesados]]</f>
        <v>0</v>
      </c>
      <c r="N96" s="77">
        <f>+Tabla1[[#This Row],[Rasimos Cosechados]]/Tabla1[[#This Row],[Cajas Elaboradas]]</f>
        <v>0</v>
      </c>
      <c r="O96" s="78">
        <f>+Tabla1[[#This Row],[Rasimos Prosesados]]/Tabla1[[#This Row],[Cajas Elaboradas]]</f>
        <v>0</v>
      </c>
      <c r="P96" s="81">
        <f>IF(H96,'DATOS PARA CALCULO'!D$18,0)</f>
        <v>1500</v>
      </c>
      <c r="Q96" s="80">
        <f>IF(I96,'DATOS PARA CALCULO'!D$22,0)</f>
        <v>500</v>
      </c>
      <c r="R96" s="81">
        <f t="shared" si="20"/>
        <v>111000</v>
      </c>
      <c r="S96" s="80">
        <f t="shared" si="21"/>
        <v>10500</v>
      </c>
      <c r="T96" s="81">
        <f t="shared" si="22"/>
        <v>121500</v>
      </c>
      <c r="U96" s="80">
        <f>IF('CAJAS ELABORADAS'!$J96&gt;0,'CAJAS ELABORADAS'!$Y96*'CAJAS ELABORADAS'!$J96,0)</f>
        <v>150000</v>
      </c>
      <c r="V96" s="82">
        <f>'CAJAS ELABORADAS'!$Y96/'DATOS PARA CALCULO'!$D$27</f>
        <v>1</v>
      </c>
      <c r="W96" s="79">
        <f>(Tabla1[[#This Row],[Valor Pagado]]-Tabla1[[#This Row],[PRODUCIDO BOLSAS]])/Tabla1[[#This Row],[Cajas Elaboradas]]</f>
        <v>1885.1351351351352</v>
      </c>
      <c r="X96" s="83">
        <f t="shared" si="23"/>
        <v>24300</v>
      </c>
      <c r="Y96" s="84">
        <f>IF('CAJAS ELABORADAS'!$X96&lt;'DATOS PARA CALCULO'!$D$27,'DATOS PARA CALCULO'!$D$27,'CAJAS ELABORADAS'!$X96)</f>
        <v>30000</v>
      </c>
      <c r="Z96" s="94">
        <f>Tabla1[[#This Row],[VALOR  A PAGAR]]-Tabla1[[#This Row],[VALOR GANADO]]</f>
        <v>5700</v>
      </c>
    </row>
    <row r="97" spans="1:27" ht="18.75" x14ac:dyDescent="0.25">
      <c r="C97" s="71">
        <v>44433</v>
      </c>
      <c r="D97" s="507">
        <f>YEAR(Tabla1[[#This Row],[FECHA]])</f>
        <v>2021</v>
      </c>
      <c r="E97" s="72">
        <f>_xlfn.ISOWEEKNUM(Tabla1[[#This Row],[FECHA]])</f>
        <v>34</v>
      </c>
      <c r="F97" s="72" t="s">
        <v>152</v>
      </c>
      <c r="G97" s="73" t="s">
        <v>29</v>
      </c>
      <c r="H97" s="74">
        <v>214</v>
      </c>
      <c r="I97" s="72">
        <v>28</v>
      </c>
      <c r="J97" s="72">
        <v>13</v>
      </c>
      <c r="K97" s="75"/>
      <c r="L97" s="93"/>
      <c r="M97" s="75">
        <f>+Tabla1[[#This Row],[Rasimos Cosechados]]-Tabla1[[#This Row],[Rasimos Prosesados]]</f>
        <v>0</v>
      </c>
      <c r="N97" s="77">
        <f>+Tabla1[[#This Row],[Rasimos Cosechados]]/Tabla1[[#This Row],[Cajas Elaboradas]]</f>
        <v>0</v>
      </c>
      <c r="O97" s="78">
        <f>+Tabla1[[#This Row],[Rasimos Prosesados]]/Tabla1[[#This Row],[Cajas Elaboradas]]</f>
        <v>0</v>
      </c>
      <c r="P97" s="81">
        <f>IF(H97,'DATOS PARA CALCULO'!D$18,0)</f>
        <v>1500</v>
      </c>
      <c r="Q97" s="80">
        <f>IF(I97,'DATOS PARA CALCULO'!D$22,0)</f>
        <v>500</v>
      </c>
      <c r="R97" s="81">
        <f t="shared" si="20"/>
        <v>321000</v>
      </c>
      <c r="S97" s="80">
        <f t="shared" si="21"/>
        <v>14000</v>
      </c>
      <c r="T97" s="81">
        <f t="shared" si="22"/>
        <v>335000</v>
      </c>
      <c r="U97" s="80">
        <f>IF('CAJAS ELABORADAS'!$J97&gt;0,'CAJAS ELABORADAS'!$Y97*'CAJAS ELABORADAS'!$J97,0)</f>
        <v>390000</v>
      </c>
      <c r="V97" s="82">
        <f>'CAJAS ELABORADAS'!$Y97/'DATOS PARA CALCULO'!$D$27</f>
        <v>1</v>
      </c>
      <c r="W97" s="79">
        <f>(Tabla1[[#This Row],[Valor Pagado]]-Tabla1[[#This Row],[PRODUCIDO BOLSAS]])/Tabla1[[#This Row],[Cajas Elaboradas]]</f>
        <v>1757.0093457943926</v>
      </c>
      <c r="X97" s="83">
        <f t="shared" si="23"/>
        <v>25769.23076923077</v>
      </c>
      <c r="Y97" s="84">
        <f>IF('CAJAS ELABORADAS'!$X97&lt;'DATOS PARA CALCULO'!$D$27,'DATOS PARA CALCULO'!$D$27,'CAJAS ELABORADAS'!$X97)</f>
        <v>30000</v>
      </c>
      <c r="Z97" s="94">
        <f>Tabla1[[#This Row],[VALOR  A PAGAR]]-Tabla1[[#This Row],[VALOR GANADO]]</f>
        <v>4230.7692307692305</v>
      </c>
    </row>
    <row r="98" spans="1:27" ht="18.75" x14ac:dyDescent="0.25">
      <c r="C98" s="71">
        <v>44433</v>
      </c>
      <c r="D98" s="507">
        <f>YEAR(Tabla1[[#This Row],[FECHA]])</f>
        <v>2021</v>
      </c>
      <c r="E98" s="72">
        <f>_xlfn.ISOWEEKNUM(Tabla1[[#This Row],[FECHA]])</f>
        <v>34</v>
      </c>
      <c r="F98" s="57" t="s">
        <v>155</v>
      </c>
      <c r="G98" s="73" t="s">
        <v>28</v>
      </c>
      <c r="H98" s="74">
        <v>150</v>
      </c>
      <c r="I98" s="72">
        <v>58.2</v>
      </c>
      <c r="J98" s="72">
        <v>9</v>
      </c>
      <c r="K98" s="75"/>
      <c r="L98" s="93"/>
      <c r="M98" s="75">
        <f>+Tabla1[[#This Row],[Rasimos Cosechados]]-Tabla1[[#This Row],[Rasimos Prosesados]]</f>
        <v>0</v>
      </c>
      <c r="N98" s="77">
        <f>+Tabla1[[#This Row],[Rasimos Cosechados]]/Tabla1[[#This Row],[Cajas Elaboradas]]</f>
        <v>0</v>
      </c>
      <c r="O98" s="78">
        <f>+Tabla1[[#This Row],[Rasimos Prosesados]]/Tabla1[[#This Row],[Cajas Elaboradas]]</f>
        <v>0</v>
      </c>
      <c r="P98" s="81">
        <f>IF(H98,'DATOS PARA CALCULO'!D$18,0)</f>
        <v>1500</v>
      </c>
      <c r="Q98" s="80">
        <f>IF(I98,'DATOS PARA CALCULO'!D$22,0)</f>
        <v>500</v>
      </c>
      <c r="R98" s="81">
        <f t="shared" si="20"/>
        <v>225000</v>
      </c>
      <c r="S98" s="80">
        <f t="shared" si="21"/>
        <v>29100</v>
      </c>
      <c r="T98" s="81">
        <f t="shared" si="22"/>
        <v>254100</v>
      </c>
      <c r="U98" s="80">
        <f>IF('CAJAS ELABORADAS'!$J98&gt;0,'CAJAS ELABORADAS'!$Y98*'CAJAS ELABORADAS'!$J98,0)</f>
        <v>270000</v>
      </c>
      <c r="V98" s="82">
        <f>'CAJAS ELABORADAS'!$Y98/'DATOS PARA CALCULO'!$D$27</f>
        <v>1</v>
      </c>
      <c r="W98" s="79">
        <f>(Tabla1[[#This Row],[Valor Pagado]]-Tabla1[[#This Row],[PRODUCIDO BOLSAS]])/Tabla1[[#This Row],[Cajas Elaboradas]]</f>
        <v>1606</v>
      </c>
      <c r="X98" s="83">
        <f t="shared" si="23"/>
        <v>28233.333333333332</v>
      </c>
      <c r="Y98" s="84">
        <f>IF('CAJAS ELABORADAS'!$X98&lt;'DATOS PARA CALCULO'!$D$27,'DATOS PARA CALCULO'!$D$27,'CAJAS ELABORADAS'!$X98)</f>
        <v>30000</v>
      </c>
      <c r="Z98" s="94">
        <f>Tabla1[[#This Row],[VALOR  A PAGAR]]-Tabla1[[#This Row],[VALOR GANADO]]</f>
        <v>1766.6666666666679</v>
      </c>
    </row>
    <row r="99" spans="1:27" ht="18.75" x14ac:dyDescent="0.25">
      <c r="C99" s="71">
        <v>44434</v>
      </c>
      <c r="D99" s="507">
        <f>YEAR(Tabla1[[#This Row],[FECHA]])</f>
        <v>2021</v>
      </c>
      <c r="E99" s="72">
        <f>_xlfn.ISOWEEKNUM(Tabla1[[#This Row],[FECHA]])</f>
        <v>34</v>
      </c>
      <c r="F99" s="72" t="s">
        <v>157</v>
      </c>
      <c r="G99" s="73" t="s">
        <v>31</v>
      </c>
      <c r="H99" s="74">
        <v>167</v>
      </c>
      <c r="I99" s="72">
        <f>90*20/25</f>
        <v>72</v>
      </c>
      <c r="J99" s="72">
        <v>15</v>
      </c>
      <c r="K99" s="75"/>
      <c r="L99" s="93"/>
      <c r="M99" s="75">
        <f>+Tabla1[[#This Row],[Rasimos Cosechados]]-Tabla1[[#This Row],[Rasimos Prosesados]]</f>
        <v>0</v>
      </c>
      <c r="N99" s="77">
        <f>+Tabla1[[#This Row],[Rasimos Cosechados]]/Tabla1[[#This Row],[Cajas Elaboradas]]</f>
        <v>0</v>
      </c>
      <c r="O99" s="78">
        <f>+Tabla1[[#This Row],[Rasimos Prosesados]]/Tabla1[[#This Row],[Cajas Elaboradas]]</f>
        <v>0</v>
      </c>
      <c r="P99" s="79">
        <v>3000</v>
      </c>
      <c r="Q99" s="80">
        <f>IF(I99,'DATOS PARA CALCULO'!D$22,0)</f>
        <v>500</v>
      </c>
      <c r="R99" s="81">
        <f t="shared" si="20"/>
        <v>501000</v>
      </c>
      <c r="S99" s="80">
        <f t="shared" si="21"/>
        <v>36000</v>
      </c>
      <c r="T99" s="81">
        <f t="shared" si="22"/>
        <v>537000</v>
      </c>
      <c r="U99" s="80">
        <f>IF('CAJAS ELABORADAS'!$J99&gt;0,'CAJAS ELABORADAS'!$Y99*'CAJAS ELABORADAS'!$J99,0)</f>
        <v>537000</v>
      </c>
      <c r="V99" s="82">
        <f>'CAJAS ELABORADAS'!$Y99/'DATOS PARA CALCULO'!$D$27</f>
        <v>1.1933333333333334</v>
      </c>
      <c r="W99" s="79">
        <f>(Tabla1[[#This Row],[Valor Pagado]]-Tabla1[[#This Row],[PRODUCIDO BOLSAS]])/Tabla1[[#This Row],[Cajas Elaboradas]]</f>
        <v>3000</v>
      </c>
      <c r="X99" s="83">
        <f t="shared" si="23"/>
        <v>35800</v>
      </c>
      <c r="Y99" s="84">
        <f>IF('CAJAS ELABORADAS'!$X99&lt;'DATOS PARA CALCULO'!$D$27,'DATOS PARA CALCULO'!$D$27,'CAJAS ELABORADAS'!$X99)</f>
        <v>35800</v>
      </c>
      <c r="Z99" s="94">
        <f>Tabla1[[#This Row],[VALOR  A PAGAR]]-Tabla1[[#This Row],[VALOR GANADO]]</f>
        <v>0</v>
      </c>
    </row>
    <row r="100" spans="1:27" ht="18.75" x14ac:dyDescent="0.25">
      <c r="C100" s="71">
        <v>44439</v>
      </c>
      <c r="D100" s="507">
        <f>YEAR(Tabla1[[#This Row],[FECHA]])</f>
        <v>2021</v>
      </c>
      <c r="E100" s="72">
        <f>_xlfn.ISOWEEKNUM(Tabla1[[#This Row],[FECHA]])</f>
        <v>35</v>
      </c>
      <c r="F100" s="72" t="s">
        <v>152</v>
      </c>
      <c r="G100" s="73" t="s">
        <v>29</v>
      </c>
      <c r="H100" s="74">
        <v>300</v>
      </c>
      <c r="I100" s="72"/>
      <c r="J100" s="72">
        <v>18</v>
      </c>
      <c r="K100" s="75"/>
      <c r="L100" s="93"/>
      <c r="M100" s="75">
        <f>+Tabla1[[#This Row],[Rasimos Cosechados]]-Tabla1[[#This Row],[Rasimos Prosesados]]</f>
        <v>0</v>
      </c>
      <c r="N100" s="77">
        <f>+Tabla1[[#This Row],[Rasimos Cosechados]]/Tabla1[[#This Row],[Cajas Elaboradas]]</f>
        <v>0</v>
      </c>
      <c r="O100" s="78">
        <f>+Tabla1[[#This Row],[Rasimos Prosesados]]/Tabla1[[#This Row],[Cajas Elaboradas]]</f>
        <v>0</v>
      </c>
      <c r="P100" s="81">
        <f>IF(H100,'DATOS PARA CALCULO'!D$18,0)</f>
        <v>1500</v>
      </c>
      <c r="Q100" s="80">
        <f>IF(I100,'DATOS PARA CALCULO'!D$22,0)</f>
        <v>0</v>
      </c>
      <c r="R100" s="81">
        <f t="shared" si="20"/>
        <v>450000</v>
      </c>
      <c r="S100" s="80">
        <f t="shared" si="21"/>
        <v>0</v>
      </c>
      <c r="T100" s="81">
        <f t="shared" si="22"/>
        <v>450000</v>
      </c>
      <c r="U100" s="80">
        <f>IF('CAJAS ELABORADAS'!$J100&gt;0,'CAJAS ELABORADAS'!$Y100*'CAJAS ELABORADAS'!$J100,0)</f>
        <v>540000</v>
      </c>
      <c r="V100" s="82">
        <f>'CAJAS ELABORADAS'!$Y100/'DATOS PARA CALCULO'!$D$27</f>
        <v>1</v>
      </c>
      <c r="W100" s="79">
        <f>(Tabla1[[#This Row],[Valor Pagado]]-Tabla1[[#This Row],[PRODUCIDO BOLSAS]])/Tabla1[[#This Row],[Cajas Elaboradas]]</f>
        <v>1800</v>
      </c>
      <c r="X100" s="83">
        <f t="shared" si="23"/>
        <v>25000</v>
      </c>
      <c r="Y100" s="84">
        <f>IF('CAJAS ELABORADAS'!$X100&lt;'DATOS PARA CALCULO'!$D$27,'DATOS PARA CALCULO'!$D$27,'CAJAS ELABORADAS'!$X100)</f>
        <v>30000</v>
      </c>
      <c r="Z100" s="94">
        <f>Tabla1[[#This Row],[VALOR  A PAGAR]]-Tabla1[[#This Row],[VALOR GANADO]]</f>
        <v>5000</v>
      </c>
    </row>
    <row r="101" spans="1:27" ht="18.75" x14ac:dyDescent="0.25">
      <c r="C101" s="71">
        <v>44439</v>
      </c>
      <c r="D101" s="507">
        <f>YEAR(Tabla1[[#This Row],[FECHA]])</f>
        <v>2021</v>
      </c>
      <c r="E101" s="72">
        <f>_xlfn.ISOWEEKNUM(Tabla1[[#This Row],[FECHA]])</f>
        <v>35</v>
      </c>
      <c r="F101" s="57" t="s">
        <v>155</v>
      </c>
      <c r="G101" s="73" t="s">
        <v>28</v>
      </c>
      <c r="H101" s="74">
        <v>100</v>
      </c>
      <c r="I101" s="72">
        <v>43</v>
      </c>
      <c r="J101" s="72">
        <v>7</v>
      </c>
      <c r="K101" s="75"/>
      <c r="L101" s="93"/>
      <c r="M101" s="75">
        <f>+Tabla1[[#This Row],[Rasimos Cosechados]]-Tabla1[[#This Row],[Rasimos Prosesados]]</f>
        <v>0</v>
      </c>
      <c r="N101" s="77">
        <f>+Tabla1[[#This Row],[Rasimos Cosechados]]/Tabla1[[#This Row],[Cajas Elaboradas]]</f>
        <v>0</v>
      </c>
      <c r="O101" s="78">
        <f>+Tabla1[[#This Row],[Rasimos Prosesados]]/Tabla1[[#This Row],[Cajas Elaboradas]]</f>
        <v>0</v>
      </c>
      <c r="P101" s="81">
        <f>IF(H101,'DATOS PARA CALCULO'!D$18,0)</f>
        <v>1500</v>
      </c>
      <c r="Q101" s="80">
        <f>IF(I101,'DATOS PARA CALCULO'!D$22,0)</f>
        <v>500</v>
      </c>
      <c r="R101" s="81">
        <f t="shared" si="20"/>
        <v>150000</v>
      </c>
      <c r="S101" s="80">
        <f t="shared" si="21"/>
        <v>21500</v>
      </c>
      <c r="T101" s="81">
        <f t="shared" si="22"/>
        <v>171500</v>
      </c>
      <c r="U101" s="80">
        <f>IF('CAJAS ELABORADAS'!$J101&gt;0,'CAJAS ELABORADAS'!$Y101*'CAJAS ELABORADAS'!$J101,0)</f>
        <v>210000</v>
      </c>
      <c r="V101" s="82">
        <f>'CAJAS ELABORADAS'!$Y101/'DATOS PARA CALCULO'!$D$27</f>
        <v>1</v>
      </c>
      <c r="W101" s="79">
        <f>(Tabla1[[#This Row],[Valor Pagado]]-Tabla1[[#This Row],[PRODUCIDO BOLSAS]])/Tabla1[[#This Row],[Cajas Elaboradas]]</f>
        <v>1885</v>
      </c>
      <c r="X101" s="83">
        <f t="shared" si="23"/>
        <v>24500</v>
      </c>
      <c r="Y101" s="84">
        <f>IF('CAJAS ELABORADAS'!$X101&lt;'DATOS PARA CALCULO'!$D$27,'DATOS PARA CALCULO'!$D$27,'CAJAS ELABORADAS'!$X101)</f>
        <v>30000</v>
      </c>
      <c r="Z101" s="94">
        <f>Tabla1[[#This Row],[VALOR  A PAGAR]]-Tabla1[[#This Row],[VALOR GANADO]]</f>
        <v>5500</v>
      </c>
    </row>
    <row r="102" spans="1:27" ht="18.75" x14ac:dyDescent="0.25">
      <c r="C102" s="97">
        <v>44440</v>
      </c>
      <c r="D102" s="512">
        <f>YEAR(Tabla1[[#This Row],[FECHA]])</f>
        <v>2021</v>
      </c>
      <c r="E102" s="72">
        <f>_xlfn.ISOWEEKNUM(Tabla1[[#This Row],[FECHA]])</f>
        <v>35</v>
      </c>
      <c r="F102" s="72" t="s">
        <v>152</v>
      </c>
      <c r="G102" s="73" t="s">
        <v>29</v>
      </c>
      <c r="H102" s="74">
        <f>30+180</f>
        <v>210</v>
      </c>
      <c r="I102" s="72">
        <v>30</v>
      </c>
      <c r="J102" s="72">
        <v>12</v>
      </c>
      <c r="K102" s="75">
        <v>1574</v>
      </c>
      <c r="L102" s="93">
        <f>670+595</f>
        <v>1265</v>
      </c>
      <c r="M102" s="75">
        <f>+Tabla1[[#This Row],[Rasimos Cosechados]]-Tabla1[[#This Row],[Rasimos Prosesados]]</f>
        <v>309</v>
      </c>
      <c r="N102" s="77">
        <f>+Tabla1[[#This Row],[Rasimos Cosechados]]/Tabla1[[#This Row],[Cajas Elaboradas]]</f>
        <v>7.4952380952380953</v>
      </c>
      <c r="O102" s="78">
        <f>+Tabla1[[#This Row],[Rasimos Prosesados]]/Tabla1[[#This Row],[Cajas Elaboradas]]</f>
        <v>6.0238095238095237</v>
      </c>
      <c r="P102" s="81">
        <f>IF(H102,'DATOS PARA CALCULO'!D$18,0)</f>
        <v>1500</v>
      </c>
      <c r="Q102" s="80">
        <f>IF(I102,'DATOS PARA CALCULO'!D$22,0)</f>
        <v>500</v>
      </c>
      <c r="R102" s="81">
        <f t="shared" si="20"/>
        <v>315000</v>
      </c>
      <c r="S102" s="80">
        <f t="shared" si="21"/>
        <v>15000</v>
      </c>
      <c r="T102" s="81">
        <f t="shared" si="22"/>
        <v>330000</v>
      </c>
      <c r="U102" s="80">
        <f>IF('CAJAS ELABORADAS'!$J102&gt;0,'CAJAS ELABORADAS'!$Y102*'CAJAS ELABORADAS'!$J102,0)</f>
        <v>360000</v>
      </c>
      <c r="V102" s="82">
        <f>'CAJAS ELABORADAS'!$Y102/'DATOS PARA CALCULO'!$D$27</f>
        <v>1</v>
      </c>
      <c r="W102" s="79">
        <f>(Tabla1[[#This Row],[Valor Pagado]]-Tabla1[[#This Row],[PRODUCIDO BOLSAS]])/Tabla1[[#This Row],[Cajas Elaboradas]]</f>
        <v>1642.8571428571429</v>
      </c>
      <c r="X102" s="83">
        <f t="shared" si="23"/>
        <v>27500</v>
      </c>
      <c r="Y102" s="84">
        <f>IF('CAJAS ELABORADAS'!$X102&lt;'DATOS PARA CALCULO'!$D$27,'DATOS PARA CALCULO'!$D$27,'CAJAS ELABORADAS'!$X102)</f>
        <v>30000</v>
      </c>
      <c r="Z102" s="94">
        <f>Tabla1[[#This Row],[VALOR  A PAGAR]]-Tabla1[[#This Row],[VALOR GANADO]]</f>
        <v>2500</v>
      </c>
    </row>
    <row r="103" spans="1:27" ht="18.75" x14ac:dyDescent="0.25">
      <c r="C103" s="97">
        <v>44440</v>
      </c>
      <c r="D103" s="512">
        <f>YEAR(Tabla1[[#This Row],[FECHA]])</f>
        <v>2021</v>
      </c>
      <c r="E103" s="72">
        <f>_xlfn.ISOWEEKNUM(Tabla1[[#This Row],[FECHA]])</f>
        <v>35</v>
      </c>
      <c r="F103" s="72"/>
      <c r="G103" s="73" t="s">
        <v>30</v>
      </c>
      <c r="H103" s="74">
        <f>40+61</f>
        <v>101</v>
      </c>
      <c r="I103" s="72">
        <v>21</v>
      </c>
      <c r="J103" s="72">
        <v>6</v>
      </c>
      <c r="K103" s="75"/>
      <c r="L103" s="93"/>
      <c r="M103" s="75">
        <f>+Tabla1[[#This Row],[Rasimos Cosechados]]-Tabla1[[#This Row],[Rasimos Prosesados]]</f>
        <v>0</v>
      </c>
      <c r="N103" s="77">
        <f>+Tabla1[[#This Row],[Rasimos Cosechados]]/Tabla1[[#This Row],[Cajas Elaboradas]]</f>
        <v>0</v>
      </c>
      <c r="O103" s="78">
        <f>+Tabla1[[#This Row],[Rasimos Prosesados]]/Tabla1[[#This Row],[Cajas Elaboradas]]</f>
        <v>0</v>
      </c>
      <c r="P103" s="81">
        <f>IF(H103,'DATOS PARA CALCULO'!D$18,0)</f>
        <v>1500</v>
      </c>
      <c r="Q103" s="80">
        <f>IF(I103,'DATOS PARA CALCULO'!D$22,0)</f>
        <v>500</v>
      </c>
      <c r="R103" s="81">
        <f t="shared" si="20"/>
        <v>151500</v>
      </c>
      <c r="S103" s="80">
        <f t="shared" si="21"/>
        <v>10500</v>
      </c>
      <c r="T103" s="81">
        <f t="shared" si="22"/>
        <v>162000</v>
      </c>
      <c r="U103" s="80">
        <f>IF('CAJAS ELABORADAS'!$J103&gt;0,'CAJAS ELABORADAS'!$Y103*'CAJAS ELABORADAS'!$J103,0)</f>
        <v>180000</v>
      </c>
      <c r="V103" s="82">
        <f>'CAJAS ELABORADAS'!$Y103/'DATOS PARA CALCULO'!$D$27</f>
        <v>1</v>
      </c>
      <c r="W103" s="79">
        <f>(Tabla1[[#This Row],[Valor Pagado]]-Tabla1[[#This Row],[PRODUCIDO BOLSAS]])/Tabla1[[#This Row],[Cajas Elaboradas]]</f>
        <v>1678.2178217821781</v>
      </c>
      <c r="X103" s="83">
        <f t="shared" si="23"/>
        <v>27000</v>
      </c>
      <c r="Y103" s="84">
        <f>IF('CAJAS ELABORADAS'!$X103&lt;'DATOS PARA CALCULO'!$D$27,'DATOS PARA CALCULO'!$D$27,'CAJAS ELABORADAS'!$X103)</f>
        <v>30000</v>
      </c>
      <c r="Z103" s="94">
        <f>Tabla1[[#This Row],[VALOR  A PAGAR]]-Tabla1[[#This Row],[VALOR GANADO]]</f>
        <v>3000</v>
      </c>
    </row>
    <row r="104" spans="1:27" ht="18.75" x14ac:dyDescent="0.25">
      <c r="A104" s="98">
        <v>0.77777777777777779</v>
      </c>
      <c r="B104" s="98"/>
      <c r="C104" s="71">
        <v>44446</v>
      </c>
      <c r="D104" s="507">
        <f>YEAR(Tabla1[[#This Row],[FECHA]])</f>
        <v>2021</v>
      </c>
      <c r="E104" s="72">
        <f>_xlfn.ISOWEEKNUM(Tabla1[[#This Row],[FECHA]])</f>
        <v>36</v>
      </c>
      <c r="F104" s="72"/>
      <c r="G104" s="73" t="s">
        <v>30</v>
      </c>
      <c r="H104" s="74">
        <v>101</v>
      </c>
      <c r="I104" s="72">
        <v>21</v>
      </c>
      <c r="J104" s="72">
        <v>7</v>
      </c>
      <c r="K104" s="75"/>
      <c r="L104" s="93"/>
      <c r="M104" s="75">
        <f>+Tabla1[[#This Row],[Rasimos Cosechados]]-Tabla1[[#This Row],[Rasimos Prosesados]]</f>
        <v>0</v>
      </c>
      <c r="N104" s="77">
        <f>+Tabla1[[#This Row],[Rasimos Cosechados]]/Tabla1[[#This Row],[Cajas Elaboradas]]</f>
        <v>0</v>
      </c>
      <c r="O104" s="78">
        <f>+Tabla1[[#This Row],[Rasimos Prosesados]]/Tabla1[[#This Row],[Cajas Elaboradas]]</f>
        <v>0</v>
      </c>
      <c r="P104" s="81">
        <f>IF(H104,'DATOS PARA CALCULO'!D$18,0)</f>
        <v>1500</v>
      </c>
      <c r="Q104" s="80">
        <f>IF(I104,'DATOS PARA CALCULO'!D$22,0)</f>
        <v>500</v>
      </c>
      <c r="R104" s="81">
        <f t="shared" si="20"/>
        <v>151500</v>
      </c>
      <c r="S104" s="80">
        <f t="shared" si="21"/>
        <v>10500</v>
      </c>
      <c r="T104" s="81">
        <f t="shared" si="22"/>
        <v>162000</v>
      </c>
      <c r="U104" s="80">
        <f>IF('CAJAS ELABORADAS'!$J104&gt;0,'CAJAS ELABORADAS'!$Y104*'CAJAS ELABORADAS'!$J104,0)</f>
        <v>210000</v>
      </c>
      <c r="V104" s="82">
        <f>'CAJAS ELABORADAS'!$Y104/'DATOS PARA CALCULO'!$D$27</f>
        <v>1</v>
      </c>
      <c r="W104" s="79">
        <f>(Tabla1[[#This Row],[Valor Pagado]]-Tabla1[[#This Row],[PRODUCIDO BOLSAS]])/Tabla1[[#This Row],[Cajas Elaboradas]]</f>
        <v>1975.2475247524753</v>
      </c>
      <c r="X104" s="83">
        <f t="shared" si="23"/>
        <v>23142.857142857141</v>
      </c>
      <c r="Y104" s="84">
        <f>IF('CAJAS ELABORADAS'!$X104&lt;'DATOS PARA CALCULO'!$D$27,'DATOS PARA CALCULO'!$D$27,'CAJAS ELABORADAS'!$X104)</f>
        <v>30000</v>
      </c>
      <c r="Z104" s="94">
        <f>Tabla1[[#This Row],[VALOR  A PAGAR]]-Tabla1[[#This Row],[VALOR GANADO]]</f>
        <v>6857.1428571428587</v>
      </c>
    </row>
    <row r="105" spans="1:27" ht="18.75" x14ac:dyDescent="0.25">
      <c r="C105" s="71">
        <v>44446</v>
      </c>
      <c r="D105" s="507">
        <f>YEAR(Tabla1[[#This Row],[FECHA]])</f>
        <v>2021</v>
      </c>
      <c r="E105" s="72">
        <f>_xlfn.ISOWEEKNUM(Tabla1[[#This Row],[FECHA]])</f>
        <v>36</v>
      </c>
      <c r="F105" s="72" t="s">
        <v>152</v>
      </c>
      <c r="G105" s="73" t="s">
        <v>29</v>
      </c>
      <c r="H105" s="74">
        <v>397</v>
      </c>
      <c r="I105" s="99">
        <v>37</v>
      </c>
      <c r="J105" s="72">
        <v>20</v>
      </c>
      <c r="K105" s="75">
        <f>751+501</f>
        <v>1252</v>
      </c>
      <c r="L105" s="93">
        <f>497+745</f>
        <v>1242</v>
      </c>
      <c r="M105" s="75">
        <f>+Tabla1[[#This Row],[Rasimos Cosechados]]-Tabla1[[#This Row],[Rasimos Prosesados]]</f>
        <v>10</v>
      </c>
      <c r="N105" s="77">
        <f>+Tabla1[[#This Row],[Rasimos Cosechados]]/Tabla1[[#This Row],[Cajas Elaboradas]]</f>
        <v>3.1536523929471034</v>
      </c>
      <c r="O105" s="78">
        <f>+Tabla1[[#This Row],[Rasimos Prosesados]]/Tabla1[[#This Row],[Cajas Elaboradas]]</f>
        <v>3.1284634760705288</v>
      </c>
      <c r="P105" s="81">
        <f>IF(H105,'DATOS PARA CALCULO'!D$18,0)</f>
        <v>1500</v>
      </c>
      <c r="Q105" s="80">
        <f>IF(I105,'DATOS PARA CALCULO'!D$22,0)</f>
        <v>500</v>
      </c>
      <c r="R105" s="81">
        <f t="shared" si="20"/>
        <v>595500</v>
      </c>
      <c r="S105" s="80">
        <f t="shared" si="21"/>
        <v>18500</v>
      </c>
      <c r="T105" s="81">
        <f t="shared" si="22"/>
        <v>614000</v>
      </c>
      <c r="U105" s="80">
        <f>IF('CAJAS ELABORADAS'!$J105&gt;0,'CAJAS ELABORADAS'!$Y105*'CAJAS ELABORADAS'!$J105,0)</f>
        <v>614000</v>
      </c>
      <c r="V105" s="82">
        <f>'CAJAS ELABORADAS'!$Y105/'DATOS PARA CALCULO'!$D$27</f>
        <v>1.0233333333333334</v>
      </c>
      <c r="W105" s="79">
        <f>(Tabla1[[#This Row],[Valor Pagado]]-Tabla1[[#This Row],[PRODUCIDO BOLSAS]])/Tabla1[[#This Row],[Cajas Elaboradas]]</f>
        <v>1500</v>
      </c>
      <c r="X105" s="83">
        <f t="shared" si="23"/>
        <v>30700</v>
      </c>
      <c r="Y105" s="84">
        <f>IF('CAJAS ELABORADAS'!$X105&lt;'DATOS PARA CALCULO'!$D$27,'DATOS PARA CALCULO'!$D$27,'CAJAS ELABORADAS'!$X105)</f>
        <v>30700</v>
      </c>
      <c r="Z105" s="94">
        <f>Tabla1[[#This Row],[VALOR  A PAGAR]]-Tabla1[[#This Row],[VALOR GANADO]]</f>
        <v>0</v>
      </c>
    </row>
    <row r="106" spans="1:27" ht="18.75" x14ac:dyDescent="0.25">
      <c r="C106" s="97">
        <v>44447</v>
      </c>
      <c r="D106" s="512">
        <f>YEAR(Tabla1[[#This Row],[FECHA]])</f>
        <v>2021</v>
      </c>
      <c r="E106" s="72">
        <f>_xlfn.ISOWEEKNUM(Tabla1[[#This Row],[FECHA]])</f>
        <v>36</v>
      </c>
      <c r="F106" s="72" t="s">
        <v>152</v>
      </c>
      <c r="G106" s="73" t="s">
        <v>29</v>
      </c>
      <c r="H106" s="74">
        <v>128</v>
      </c>
      <c r="I106" s="99">
        <v>37</v>
      </c>
      <c r="J106" s="72">
        <v>14</v>
      </c>
      <c r="K106" s="75">
        <v>358</v>
      </c>
      <c r="L106" s="93">
        <v>340</v>
      </c>
      <c r="M106" s="75">
        <f>+Tabla1[[#This Row],[Rasimos Cosechados]]-Tabla1[[#This Row],[Rasimos Prosesados]]</f>
        <v>18</v>
      </c>
      <c r="N106" s="77">
        <f>+Tabla1[[#This Row],[Rasimos Cosechados]]/Tabla1[[#This Row],[Cajas Elaboradas]]</f>
        <v>2.796875</v>
      </c>
      <c r="O106" s="78">
        <f>+Tabla1[[#This Row],[Rasimos Prosesados]]/Tabla1[[#This Row],[Cajas Elaboradas]]</f>
        <v>2.65625</v>
      </c>
      <c r="P106" s="81">
        <f>IF(H106,'DATOS PARA CALCULO'!D$18,0)</f>
        <v>1500</v>
      </c>
      <c r="Q106" s="80">
        <f>IF(I106,'DATOS PARA CALCULO'!D$22,0)</f>
        <v>500</v>
      </c>
      <c r="R106" s="81">
        <f t="shared" si="20"/>
        <v>192000</v>
      </c>
      <c r="S106" s="80">
        <f t="shared" si="21"/>
        <v>18500</v>
      </c>
      <c r="T106" s="81">
        <f t="shared" si="22"/>
        <v>210500</v>
      </c>
      <c r="U106" s="80">
        <f>IF('CAJAS ELABORADAS'!$J106&gt;0,'CAJAS ELABORADAS'!$Y106*'CAJAS ELABORADAS'!$J106,0)</f>
        <v>420000</v>
      </c>
      <c r="V106" s="82">
        <f>'CAJAS ELABORADAS'!$Y106/'DATOS PARA CALCULO'!$D$27</f>
        <v>1</v>
      </c>
      <c r="W106" s="79">
        <f>(Tabla1[[#This Row],[Valor Pagado]]-Tabla1[[#This Row],[PRODUCIDO BOLSAS]])/Tabla1[[#This Row],[Cajas Elaboradas]]</f>
        <v>3136.71875</v>
      </c>
      <c r="X106" s="113">
        <f t="shared" si="23"/>
        <v>15035.714285714286</v>
      </c>
      <c r="Y106" s="84">
        <f>IF('CAJAS ELABORADAS'!$X106&lt;'DATOS PARA CALCULO'!$D$27,'DATOS PARA CALCULO'!$D$27,'CAJAS ELABORADAS'!$X106)</f>
        <v>30000</v>
      </c>
      <c r="Z106" s="94">
        <f>Tabla1[[#This Row],[VALOR  A PAGAR]]-Tabla1[[#This Row],[VALOR GANADO]]</f>
        <v>14964.285714285714</v>
      </c>
      <c r="AA106" s="5" t="s">
        <v>34</v>
      </c>
    </row>
    <row r="107" spans="1:27" ht="18.75" x14ac:dyDescent="0.25">
      <c r="C107" s="101">
        <v>44441</v>
      </c>
      <c r="D107" s="513">
        <f>YEAR(Tabla1[[#This Row],[FECHA]])</f>
        <v>2021</v>
      </c>
      <c r="E107" s="72">
        <f>_xlfn.ISOWEEKNUM(Tabla1[[#This Row],[FECHA]])</f>
        <v>35</v>
      </c>
      <c r="F107" s="72" t="s">
        <v>157</v>
      </c>
      <c r="G107" s="103" t="s">
        <v>31</v>
      </c>
      <c r="H107" s="104">
        <v>121</v>
      </c>
      <c r="I107" s="102"/>
      <c r="J107" s="102">
        <v>19</v>
      </c>
      <c r="K107" s="105"/>
      <c r="L107" s="106"/>
      <c r="M107" s="105">
        <f>+Tabla1[[#This Row],[Rasimos Cosechados]]-Tabla1[[#This Row],[Rasimos Prosesados]]</f>
        <v>0</v>
      </c>
      <c r="N107" s="107">
        <f>+Tabla1[[#This Row],[Rasimos Cosechados]]/Tabla1[[#This Row],[Cajas Elaboradas]]</f>
        <v>0</v>
      </c>
      <c r="O107" s="108">
        <f>+Tabla1[[#This Row],[Rasimos Prosesados]]/Tabla1[[#This Row],[Cajas Elaboradas]]</f>
        <v>0</v>
      </c>
      <c r="P107" s="79">
        <v>3000</v>
      </c>
      <c r="Q107" s="110">
        <f>IF(I107,'DATOS PARA CALCULO'!D$22,0)</f>
        <v>0</v>
      </c>
      <c r="R107" s="109">
        <f t="shared" si="20"/>
        <v>363000</v>
      </c>
      <c r="S107" s="110">
        <f t="shared" si="21"/>
        <v>0</v>
      </c>
      <c r="T107" s="109">
        <f t="shared" si="22"/>
        <v>363000</v>
      </c>
      <c r="U107" s="110">
        <f>IF('CAJAS ELABORADAS'!$J107&gt;0,'CAJAS ELABORADAS'!$Y107*'CAJAS ELABORADAS'!$J107,0)</f>
        <v>570000</v>
      </c>
      <c r="V107" s="111">
        <f>'CAJAS ELABORADAS'!$Y107/'DATOS PARA CALCULO'!$D$27</f>
        <v>1</v>
      </c>
      <c r="W107" s="112">
        <f>(Tabla1[[#This Row],[Valor Pagado]]-Tabla1[[#This Row],[PRODUCIDO BOLSAS]])/Tabla1[[#This Row],[Cajas Elaboradas]]</f>
        <v>4710.7438016528922</v>
      </c>
      <c r="X107" s="113">
        <f t="shared" si="23"/>
        <v>19105.263157894737</v>
      </c>
      <c r="Y107" s="114">
        <f>IF('CAJAS ELABORADAS'!$X107&lt;'DATOS PARA CALCULO'!$D$27,'DATOS PARA CALCULO'!$D$27,'CAJAS ELABORADAS'!$X107)</f>
        <v>30000</v>
      </c>
      <c r="Z107" s="94">
        <f>Tabla1[[#This Row],[VALOR  A PAGAR]]-Tabla1[[#This Row],[VALOR GANADO]]</f>
        <v>10894.736842105263</v>
      </c>
    </row>
    <row r="108" spans="1:27" ht="18.75" x14ac:dyDescent="0.25">
      <c r="C108" s="101">
        <v>44442</v>
      </c>
      <c r="D108" s="513">
        <f>YEAR(Tabla1[[#This Row],[FECHA]])</f>
        <v>2021</v>
      </c>
      <c r="E108" s="72">
        <f>_xlfn.ISOWEEKNUM(Tabla1[[#This Row],[FECHA]])</f>
        <v>35</v>
      </c>
      <c r="F108" s="72" t="s">
        <v>157</v>
      </c>
      <c r="G108" s="103" t="s">
        <v>31</v>
      </c>
      <c r="H108" s="104">
        <v>59</v>
      </c>
      <c r="I108" s="102"/>
      <c r="J108" s="102">
        <v>6</v>
      </c>
      <c r="K108" s="105"/>
      <c r="L108" s="106"/>
      <c r="M108" s="105">
        <f>+Tabla1[[#This Row],[Rasimos Cosechados]]-Tabla1[[#This Row],[Rasimos Prosesados]]</f>
        <v>0</v>
      </c>
      <c r="N108" s="107">
        <f>+Tabla1[[#This Row],[Rasimos Cosechados]]/Tabla1[[#This Row],[Cajas Elaboradas]]</f>
        <v>0</v>
      </c>
      <c r="O108" s="108">
        <f>+Tabla1[[#This Row],[Rasimos Prosesados]]/Tabla1[[#This Row],[Cajas Elaboradas]]</f>
        <v>0</v>
      </c>
      <c r="P108" s="79">
        <v>3000</v>
      </c>
      <c r="Q108" s="110">
        <f>IF(I108,'DATOS PARA CALCULO'!D$22,0)</f>
        <v>0</v>
      </c>
      <c r="R108" s="109">
        <f t="shared" si="20"/>
        <v>177000</v>
      </c>
      <c r="S108" s="110">
        <f t="shared" si="21"/>
        <v>0</v>
      </c>
      <c r="T108" s="109">
        <f t="shared" si="22"/>
        <v>177000</v>
      </c>
      <c r="U108" s="110">
        <f>IF('CAJAS ELABORADAS'!$J108&gt;0,'CAJAS ELABORADAS'!$Y108*'CAJAS ELABORADAS'!$J108,0)</f>
        <v>180000</v>
      </c>
      <c r="V108" s="111">
        <f>'CAJAS ELABORADAS'!$Y108/'DATOS PARA CALCULO'!$D$27</f>
        <v>1</v>
      </c>
      <c r="W108" s="112">
        <f>(Tabla1[[#This Row],[Valor Pagado]]-Tabla1[[#This Row],[PRODUCIDO BOLSAS]])/Tabla1[[#This Row],[Cajas Elaboradas]]</f>
        <v>3050.8474576271187</v>
      </c>
      <c r="X108" s="113">
        <f t="shared" si="23"/>
        <v>29500</v>
      </c>
      <c r="Y108" s="114">
        <f>IF('CAJAS ELABORADAS'!$X108&lt;'DATOS PARA CALCULO'!$D$27,'DATOS PARA CALCULO'!$D$27,'CAJAS ELABORADAS'!$X108)</f>
        <v>30000</v>
      </c>
      <c r="Z108" s="94">
        <f>Tabla1[[#This Row],[VALOR  A PAGAR]]-Tabla1[[#This Row],[VALOR GANADO]]</f>
        <v>500</v>
      </c>
    </row>
    <row r="109" spans="1:27" ht="18.75" x14ac:dyDescent="0.25">
      <c r="C109" s="97">
        <v>44447</v>
      </c>
      <c r="D109" s="512">
        <f>YEAR(Tabla1[[#This Row],[FECHA]])</f>
        <v>2021</v>
      </c>
      <c r="E109" s="72">
        <f>_xlfn.ISOWEEKNUM(Tabla1[[#This Row],[FECHA]])</f>
        <v>36</v>
      </c>
      <c r="F109" s="57" t="s">
        <v>155</v>
      </c>
      <c r="G109" s="73" t="s">
        <v>28</v>
      </c>
      <c r="H109" s="74">
        <v>111</v>
      </c>
      <c r="I109" s="72">
        <v>55</v>
      </c>
      <c r="J109" s="72">
        <v>9</v>
      </c>
      <c r="K109" s="75"/>
      <c r="L109" s="93"/>
      <c r="M109" s="75">
        <f>+Tabla1[[#This Row],[Rasimos Cosechados]]-Tabla1[[#This Row],[Rasimos Prosesados]]</f>
        <v>0</v>
      </c>
      <c r="N109" s="77">
        <f>+Tabla1[[#This Row],[Rasimos Cosechados]]/Tabla1[[#This Row],[Cajas Elaboradas]]</f>
        <v>0</v>
      </c>
      <c r="O109" s="78">
        <f>+Tabla1[[#This Row],[Rasimos Prosesados]]/Tabla1[[#This Row],[Cajas Elaboradas]]</f>
        <v>0</v>
      </c>
      <c r="P109" s="81">
        <f>IF(H109,'DATOS PARA CALCULO'!D$18,0)</f>
        <v>1500</v>
      </c>
      <c r="Q109" s="80">
        <f>IF(I109,'DATOS PARA CALCULO'!D$22,0)</f>
        <v>500</v>
      </c>
      <c r="R109" s="81">
        <f t="shared" si="20"/>
        <v>166500</v>
      </c>
      <c r="S109" s="80">
        <f t="shared" si="21"/>
        <v>27500</v>
      </c>
      <c r="T109" s="81">
        <f t="shared" si="22"/>
        <v>194000</v>
      </c>
      <c r="U109" s="80">
        <f>IF('CAJAS ELABORADAS'!$J109&gt;0,'CAJAS ELABORADAS'!$Y109*'CAJAS ELABORADAS'!$J109,0)</f>
        <v>270000</v>
      </c>
      <c r="V109" s="82">
        <f>'CAJAS ELABORADAS'!$Y109/'DATOS PARA CALCULO'!$D$27</f>
        <v>1</v>
      </c>
      <c r="W109" s="79">
        <f>(Tabla1[[#This Row],[Valor Pagado]]-Tabla1[[#This Row],[PRODUCIDO BOLSAS]])/Tabla1[[#This Row],[Cajas Elaboradas]]</f>
        <v>2184.6846846846847</v>
      </c>
      <c r="X109" s="83">
        <f t="shared" si="23"/>
        <v>21555.555555555555</v>
      </c>
      <c r="Y109" s="84">
        <f>IF('CAJAS ELABORADAS'!$X109&lt;'DATOS PARA CALCULO'!$D$27,'DATOS PARA CALCULO'!$D$27,'CAJAS ELABORADAS'!$X109)</f>
        <v>30000</v>
      </c>
      <c r="Z109" s="94">
        <f>Tabla1[[#This Row],[VALOR  A PAGAR]]-Tabla1[[#This Row],[VALOR GANADO]]</f>
        <v>8444.4444444444453</v>
      </c>
    </row>
    <row r="110" spans="1:27" ht="18.75" x14ac:dyDescent="0.25">
      <c r="C110" s="97">
        <v>44453</v>
      </c>
      <c r="D110" s="512">
        <f>YEAR(Tabla1[[#This Row],[FECHA]])</f>
        <v>2021</v>
      </c>
      <c r="E110" s="72">
        <f>_xlfn.ISOWEEKNUM(Tabla1[[#This Row],[FECHA]])</f>
        <v>37</v>
      </c>
      <c r="F110" s="72" t="s">
        <v>152</v>
      </c>
      <c r="G110" s="73" t="s">
        <v>29</v>
      </c>
      <c r="H110" s="74">
        <v>280</v>
      </c>
      <c r="I110" s="72">
        <v>35</v>
      </c>
      <c r="J110" s="72">
        <v>18</v>
      </c>
      <c r="K110" s="75">
        <v>966</v>
      </c>
      <c r="L110" s="93"/>
      <c r="M110" s="75">
        <f>+Tabla1[[#This Row],[Rasimos Cosechados]]-Tabla1[[#This Row],[Rasimos Prosesados]]</f>
        <v>966</v>
      </c>
      <c r="N110" s="77">
        <f>+Tabla1[[#This Row],[Rasimos Cosechados]]/Tabla1[[#This Row],[Cajas Elaboradas]]</f>
        <v>3.45</v>
      </c>
      <c r="O110" s="78">
        <f>+Tabla1[[#This Row],[Rasimos Prosesados]]/Tabla1[[#This Row],[Cajas Elaboradas]]</f>
        <v>0</v>
      </c>
      <c r="P110" s="81">
        <f>IF(H110,'DATOS PARA CALCULO'!D$18,0)</f>
        <v>1500</v>
      </c>
      <c r="Q110" s="80">
        <f>IF(I110,'DATOS PARA CALCULO'!D$22,0)</f>
        <v>500</v>
      </c>
      <c r="R110" s="81">
        <f t="shared" si="20"/>
        <v>420000</v>
      </c>
      <c r="S110" s="80">
        <f t="shared" si="21"/>
        <v>17500</v>
      </c>
      <c r="T110" s="81">
        <f t="shared" si="22"/>
        <v>437500</v>
      </c>
      <c r="U110" s="80">
        <f>IF('CAJAS ELABORADAS'!$J110&gt;0,'CAJAS ELABORADAS'!$Y110*'CAJAS ELABORADAS'!$J110,0)</f>
        <v>540000</v>
      </c>
      <c r="V110" s="82">
        <f>'CAJAS ELABORADAS'!$Y110/'DATOS PARA CALCULO'!$D$27</f>
        <v>1</v>
      </c>
      <c r="W110" s="79">
        <f>(Tabla1[[#This Row],[Valor Pagado]]-Tabla1[[#This Row],[PRODUCIDO BOLSAS]])/Tabla1[[#This Row],[Cajas Elaboradas]]</f>
        <v>1866.0714285714287</v>
      </c>
      <c r="X110" s="83">
        <f t="shared" si="23"/>
        <v>24305.555555555555</v>
      </c>
      <c r="Y110" s="84">
        <f>IF('CAJAS ELABORADAS'!$X110&lt;'DATOS PARA CALCULO'!$D$27,'DATOS PARA CALCULO'!$D$27,'CAJAS ELABORADAS'!$X110)</f>
        <v>30000</v>
      </c>
      <c r="Z110" s="94">
        <f>Tabla1[[#This Row],[VALOR  A PAGAR]]-Tabla1[[#This Row],[VALOR GANADO]]</f>
        <v>5694.4444444444453</v>
      </c>
    </row>
    <row r="111" spans="1:27" ht="18.75" x14ac:dyDescent="0.25">
      <c r="C111" s="97">
        <f>+C110</f>
        <v>44453</v>
      </c>
      <c r="D111" s="512">
        <f>YEAR(Tabla1[[#This Row],[FECHA]])</f>
        <v>2021</v>
      </c>
      <c r="E111" s="72">
        <f>_xlfn.ISOWEEKNUM(Tabla1[[#This Row],[FECHA]])</f>
        <v>37</v>
      </c>
      <c r="F111" s="72" t="s">
        <v>153</v>
      </c>
      <c r="G111" s="73" t="s">
        <v>30</v>
      </c>
      <c r="H111" s="74">
        <v>73</v>
      </c>
      <c r="I111" s="72">
        <v>35</v>
      </c>
      <c r="J111" s="72">
        <v>7</v>
      </c>
      <c r="K111" s="75"/>
      <c r="L111" s="93"/>
      <c r="M111" s="75">
        <f>+Tabla1[[#This Row],[Rasimos Cosechados]]-Tabla1[[#This Row],[Rasimos Prosesados]]</f>
        <v>0</v>
      </c>
      <c r="N111" s="77">
        <f>+Tabla1[[#This Row],[Rasimos Cosechados]]/Tabla1[[#This Row],[Cajas Elaboradas]]</f>
        <v>0</v>
      </c>
      <c r="O111" s="78">
        <f>+Tabla1[[#This Row],[Rasimos Prosesados]]/Tabla1[[#This Row],[Cajas Elaboradas]]</f>
        <v>0</v>
      </c>
      <c r="P111" s="81">
        <f>IF(H111,'DATOS PARA CALCULO'!D$18,0)</f>
        <v>1500</v>
      </c>
      <c r="Q111" s="80">
        <f>IF(I111,'DATOS PARA CALCULO'!D$22,0)</f>
        <v>500</v>
      </c>
      <c r="R111" s="81">
        <f t="shared" si="20"/>
        <v>109500</v>
      </c>
      <c r="S111" s="80">
        <f t="shared" si="21"/>
        <v>17500</v>
      </c>
      <c r="T111" s="81">
        <f t="shared" si="22"/>
        <v>127000</v>
      </c>
      <c r="U111" s="80">
        <f>IF('CAJAS ELABORADAS'!$J111&gt;0,'CAJAS ELABORADAS'!$Y111*'CAJAS ELABORADAS'!$J111,0)</f>
        <v>210000</v>
      </c>
      <c r="V111" s="82">
        <f>'CAJAS ELABORADAS'!$Y111/'DATOS PARA CALCULO'!$D$27</f>
        <v>1</v>
      </c>
      <c r="W111" s="79">
        <f>(Tabla1[[#This Row],[Valor Pagado]]-Tabla1[[#This Row],[PRODUCIDO BOLSAS]])/Tabla1[[#This Row],[Cajas Elaboradas]]</f>
        <v>2636.9863013698632</v>
      </c>
      <c r="X111" s="83">
        <f t="shared" si="23"/>
        <v>18142.857142857141</v>
      </c>
      <c r="Y111" s="84">
        <f>IF('CAJAS ELABORADAS'!$X111&lt;'DATOS PARA CALCULO'!$D$27,'DATOS PARA CALCULO'!$D$27,'CAJAS ELABORADAS'!$X111)</f>
        <v>30000</v>
      </c>
      <c r="Z111" s="94">
        <f>Tabla1[[#This Row],[VALOR  A PAGAR]]-Tabla1[[#This Row],[VALOR GANADO]]</f>
        <v>11857.142857142859</v>
      </c>
    </row>
    <row r="112" spans="1:27" ht="18.75" x14ac:dyDescent="0.25">
      <c r="C112" s="97">
        <v>44454</v>
      </c>
      <c r="D112" s="512">
        <f>YEAR(Tabla1[[#This Row],[FECHA]])</f>
        <v>2021</v>
      </c>
      <c r="E112" s="72">
        <f>_xlfn.ISOWEEKNUM(Tabla1[[#This Row],[FECHA]])</f>
        <v>37</v>
      </c>
      <c r="F112" s="72" t="s">
        <v>152</v>
      </c>
      <c r="G112" s="73" t="s">
        <v>29</v>
      </c>
      <c r="H112" s="74">
        <v>141</v>
      </c>
      <c r="I112" s="72">
        <v>35</v>
      </c>
      <c r="J112" s="72">
        <v>7</v>
      </c>
      <c r="K112" s="75">
        <v>402</v>
      </c>
      <c r="L112" s="93"/>
      <c r="M112" s="75">
        <f>+Tabla1[[#This Row],[Rasimos Cosechados]]-Tabla1[[#This Row],[Rasimos Prosesados]]</f>
        <v>402</v>
      </c>
      <c r="N112" s="77">
        <f>+Tabla1[[#This Row],[Rasimos Cosechados]]/Tabla1[[#This Row],[Cajas Elaboradas]]</f>
        <v>2.8510638297872339</v>
      </c>
      <c r="O112" s="78">
        <f>+Tabla1[[#This Row],[Rasimos Prosesados]]/Tabla1[[#This Row],[Cajas Elaboradas]]</f>
        <v>0</v>
      </c>
      <c r="P112" s="81">
        <f>IF(H112,'DATOS PARA CALCULO'!D$18,0)</f>
        <v>1500</v>
      </c>
      <c r="Q112" s="80">
        <f>IF(I112,'DATOS PARA CALCULO'!D$22,0)</f>
        <v>500</v>
      </c>
      <c r="R112" s="81">
        <f t="shared" si="20"/>
        <v>211500</v>
      </c>
      <c r="S112" s="80">
        <f t="shared" si="21"/>
        <v>17500</v>
      </c>
      <c r="T112" s="81">
        <f t="shared" si="22"/>
        <v>229000</v>
      </c>
      <c r="U112" s="80">
        <f>IF('CAJAS ELABORADAS'!$J112&gt;0,'CAJAS ELABORADAS'!$Y112*'CAJAS ELABORADAS'!$J112,0)</f>
        <v>229000</v>
      </c>
      <c r="V112" s="82">
        <f>'CAJAS ELABORADAS'!$Y112/'DATOS PARA CALCULO'!$D$27</f>
        <v>1.0904761904761904</v>
      </c>
      <c r="W112" s="79">
        <f>(Tabla1[[#This Row],[Valor Pagado]]-Tabla1[[#This Row],[PRODUCIDO BOLSAS]])/Tabla1[[#This Row],[Cajas Elaboradas]]</f>
        <v>1500</v>
      </c>
      <c r="X112" s="83">
        <f t="shared" si="23"/>
        <v>32714.285714285714</v>
      </c>
      <c r="Y112" s="84">
        <f>IF('CAJAS ELABORADAS'!$X112&lt;'DATOS PARA CALCULO'!$D$27,'DATOS PARA CALCULO'!$D$27,'CAJAS ELABORADAS'!$X112)</f>
        <v>32714.285714285714</v>
      </c>
      <c r="Z112" s="94">
        <f>Tabla1[[#This Row],[VALOR  A PAGAR]]-Tabla1[[#This Row],[VALOR GANADO]]</f>
        <v>0</v>
      </c>
    </row>
    <row r="113" spans="3:26" ht="18.75" x14ac:dyDescent="0.25">
      <c r="C113" s="97">
        <v>44454</v>
      </c>
      <c r="D113" s="512">
        <f>YEAR(Tabla1[[#This Row],[FECHA]])</f>
        <v>2021</v>
      </c>
      <c r="E113" s="72">
        <f>_xlfn.ISOWEEKNUM(Tabla1[[#This Row],[FECHA]])</f>
        <v>37</v>
      </c>
      <c r="F113" s="72" t="s">
        <v>157</v>
      </c>
      <c r="G113" s="73" t="s">
        <v>31</v>
      </c>
      <c r="H113" s="74">
        <v>37</v>
      </c>
      <c r="I113" s="72"/>
      <c r="J113" s="72">
        <v>16</v>
      </c>
      <c r="K113" s="75"/>
      <c r="L113" s="93"/>
      <c r="M113" s="75">
        <f>+Tabla1[[#This Row],[Rasimos Cosechados]]-Tabla1[[#This Row],[Rasimos Prosesados]]</f>
        <v>0</v>
      </c>
      <c r="N113" s="77">
        <f>+Tabla1[[#This Row],[Rasimos Cosechados]]/Tabla1[[#This Row],[Cajas Elaboradas]]</f>
        <v>0</v>
      </c>
      <c r="O113" s="78">
        <f>+Tabla1[[#This Row],[Rasimos Prosesados]]/Tabla1[[#This Row],[Cajas Elaboradas]]</f>
        <v>0</v>
      </c>
      <c r="P113" s="79">
        <v>3000</v>
      </c>
      <c r="Q113" s="80">
        <f>IF(I113,'DATOS PARA CALCULO'!D$22,0)</f>
        <v>0</v>
      </c>
      <c r="R113" s="81">
        <f t="shared" si="20"/>
        <v>111000</v>
      </c>
      <c r="S113" s="80">
        <f t="shared" si="21"/>
        <v>0</v>
      </c>
      <c r="T113" s="81">
        <f t="shared" si="22"/>
        <v>111000</v>
      </c>
      <c r="U113" s="80">
        <f>IF('CAJAS ELABORADAS'!$J113&gt;0,'CAJAS ELABORADAS'!$Y113*'CAJAS ELABORADAS'!$J113,0)</f>
        <v>480000</v>
      </c>
      <c r="V113" s="82">
        <f>'CAJAS ELABORADAS'!$Y113/'DATOS PARA CALCULO'!$D$27</f>
        <v>1</v>
      </c>
      <c r="W113" s="79">
        <f>(Tabla1[[#This Row],[Valor Pagado]]-Tabla1[[#This Row],[PRODUCIDO BOLSAS]])/Tabla1[[#This Row],[Cajas Elaboradas]]</f>
        <v>12972.972972972973</v>
      </c>
      <c r="X113" s="113">
        <f t="shared" si="23"/>
        <v>6937.5</v>
      </c>
      <c r="Y113" s="84">
        <f>IF('CAJAS ELABORADAS'!$X113&lt;'DATOS PARA CALCULO'!$D$27,'DATOS PARA CALCULO'!$D$27,'CAJAS ELABORADAS'!$X113)</f>
        <v>30000</v>
      </c>
      <c r="Z113" s="94">
        <f>Tabla1[[#This Row],[VALOR  A PAGAR]]-Tabla1[[#This Row],[VALOR GANADO]]</f>
        <v>23062.5</v>
      </c>
    </row>
    <row r="114" spans="3:26" ht="18.75" x14ac:dyDescent="0.25">
      <c r="C114" s="71">
        <v>44460</v>
      </c>
      <c r="D114" s="507">
        <f>YEAR(Tabla1[[#This Row],[FECHA]])</f>
        <v>2021</v>
      </c>
      <c r="E114" s="72">
        <f>_xlfn.ISOWEEKNUM(Tabla1[[#This Row],[FECHA]])</f>
        <v>38</v>
      </c>
      <c r="F114" s="72" t="s">
        <v>152</v>
      </c>
      <c r="G114" s="73" t="s">
        <v>29</v>
      </c>
      <c r="H114" s="74">
        <v>230</v>
      </c>
      <c r="I114" s="72">
        <v>38</v>
      </c>
      <c r="J114" s="72">
        <v>15</v>
      </c>
      <c r="K114" s="75">
        <v>706</v>
      </c>
      <c r="L114" s="93">
        <v>706</v>
      </c>
      <c r="M114" s="75">
        <f>+Tabla1[[#This Row],[Rasimos Cosechados]]-Tabla1[[#This Row],[Rasimos Prosesados]]</f>
        <v>0</v>
      </c>
      <c r="N114" s="77">
        <f>+Tabla1[[#This Row],[Rasimos Cosechados]]/Tabla1[[#This Row],[Cajas Elaboradas]]</f>
        <v>3.0695652173913044</v>
      </c>
      <c r="O114" s="78">
        <f>+Tabla1[[#This Row],[Rasimos Prosesados]]/Tabla1[[#This Row],[Cajas Elaboradas]]</f>
        <v>3.0695652173913044</v>
      </c>
      <c r="P114" s="81">
        <f>IF(H114,'DATOS PARA CALCULO'!D$18,0)</f>
        <v>1500</v>
      </c>
      <c r="Q114" s="80">
        <f>IF(I114,'DATOS PARA CALCULO'!D$22,0)</f>
        <v>500</v>
      </c>
      <c r="R114" s="81">
        <f t="shared" si="20"/>
        <v>345000</v>
      </c>
      <c r="S114" s="80">
        <f t="shared" si="21"/>
        <v>19000</v>
      </c>
      <c r="T114" s="81">
        <f t="shared" si="22"/>
        <v>364000</v>
      </c>
      <c r="U114" s="80">
        <f>IF('CAJAS ELABORADAS'!$J114&gt;0,'CAJAS ELABORADAS'!$Y114*'CAJAS ELABORADAS'!$J114,0)</f>
        <v>450000</v>
      </c>
      <c r="V114" s="82">
        <f>'CAJAS ELABORADAS'!$Y114/'DATOS PARA CALCULO'!$D$27</f>
        <v>1</v>
      </c>
      <c r="W114" s="79">
        <f>(Tabla1[[#This Row],[Valor Pagado]]-Tabla1[[#This Row],[PRODUCIDO BOLSAS]])/Tabla1[[#This Row],[Cajas Elaboradas]]</f>
        <v>1873.9130434782608</v>
      </c>
      <c r="X114" s="113">
        <f t="shared" si="23"/>
        <v>24266.666666666668</v>
      </c>
      <c r="Y114" s="84">
        <f>IF('CAJAS ELABORADAS'!$X114&lt;'DATOS PARA CALCULO'!$D$27,'DATOS PARA CALCULO'!$D$27,'CAJAS ELABORADAS'!$X114)</f>
        <v>30000</v>
      </c>
      <c r="Z114" s="94">
        <f>Tabla1[[#This Row],[VALOR  A PAGAR]]-Tabla1[[#This Row],[VALOR GANADO]]</f>
        <v>5733.3333333333321</v>
      </c>
    </row>
    <row r="115" spans="3:26" ht="18.75" x14ac:dyDescent="0.25">
      <c r="C115" s="71">
        <v>44460</v>
      </c>
      <c r="D115" s="507">
        <f>YEAR(Tabla1[[#This Row],[FECHA]])</f>
        <v>2021</v>
      </c>
      <c r="E115" s="72">
        <f>_xlfn.ISOWEEKNUM(Tabla1[[#This Row],[FECHA]])</f>
        <v>38</v>
      </c>
      <c r="F115" s="72"/>
      <c r="G115" s="73" t="s">
        <v>30</v>
      </c>
      <c r="H115" s="74">
        <v>81</v>
      </c>
      <c r="I115" s="72">
        <v>24</v>
      </c>
      <c r="J115" s="72">
        <v>6</v>
      </c>
      <c r="K115" s="75"/>
      <c r="L115" s="93"/>
      <c r="M115" s="75">
        <f>+Tabla1[[#This Row],[Rasimos Cosechados]]-Tabla1[[#This Row],[Rasimos Prosesados]]</f>
        <v>0</v>
      </c>
      <c r="N115" s="77">
        <f>+Tabla1[[#This Row],[Rasimos Cosechados]]/Tabla1[[#This Row],[Cajas Elaboradas]]</f>
        <v>0</v>
      </c>
      <c r="O115" s="78">
        <f>+Tabla1[[#This Row],[Rasimos Prosesados]]/Tabla1[[#This Row],[Cajas Elaboradas]]</f>
        <v>0</v>
      </c>
      <c r="P115" s="81">
        <f>IF(H115,'DATOS PARA CALCULO'!D$18,0)</f>
        <v>1500</v>
      </c>
      <c r="Q115" s="80">
        <f>IF(I115,'DATOS PARA CALCULO'!D$22,0)</f>
        <v>500</v>
      </c>
      <c r="R115" s="81">
        <f t="shared" si="20"/>
        <v>121500</v>
      </c>
      <c r="S115" s="80">
        <f t="shared" si="21"/>
        <v>12000</v>
      </c>
      <c r="T115" s="81">
        <f t="shared" si="22"/>
        <v>133500</v>
      </c>
      <c r="U115" s="80">
        <f>IF('CAJAS ELABORADAS'!$J115&gt;0,'CAJAS ELABORADAS'!$Y115*'CAJAS ELABORADAS'!$J115,0)</f>
        <v>180000</v>
      </c>
      <c r="V115" s="82">
        <f>'CAJAS ELABORADAS'!$Y115/'DATOS PARA CALCULO'!$D$27</f>
        <v>1</v>
      </c>
      <c r="W115" s="79">
        <f>(Tabla1[[#This Row],[Valor Pagado]]-Tabla1[[#This Row],[PRODUCIDO BOLSAS]])/Tabla1[[#This Row],[Cajas Elaboradas]]</f>
        <v>2074.0740740740739</v>
      </c>
      <c r="X115" s="113">
        <f t="shared" si="23"/>
        <v>22250</v>
      </c>
      <c r="Y115" s="84">
        <f>IF('CAJAS ELABORADAS'!$X115&lt;'DATOS PARA CALCULO'!$D$27,'DATOS PARA CALCULO'!$D$27,'CAJAS ELABORADAS'!$X115)</f>
        <v>30000</v>
      </c>
      <c r="Z115" s="94">
        <f>Tabla1[[#This Row],[VALOR  A PAGAR]]-Tabla1[[#This Row],[VALOR GANADO]]</f>
        <v>7750</v>
      </c>
    </row>
    <row r="116" spans="3:26" ht="18.75" x14ac:dyDescent="0.25">
      <c r="C116" s="71">
        <v>44461</v>
      </c>
      <c r="D116" s="507">
        <f>YEAR(Tabla1[[#This Row],[FECHA]])</f>
        <v>2021</v>
      </c>
      <c r="E116" s="72">
        <f>_xlfn.ISOWEEKNUM(Tabla1[[#This Row],[FECHA]])</f>
        <v>38</v>
      </c>
      <c r="F116" s="72" t="s">
        <v>152</v>
      </c>
      <c r="G116" s="73" t="s">
        <v>29</v>
      </c>
      <c r="H116" s="74">
        <f>120+101</f>
        <v>221</v>
      </c>
      <c r="I116" s="72">
        <v>37</v>
      </c>
      <c r="J116" s="72">
        <v>12</v>
      </c>
      <c r="K116" s="75">
        <v>751</v>
      </c>
      <c r="L116" s="93">
        <v>751</v>
      </c>
      <c r="M116" s="75">
        <f>+Tabla1[[#This Row],[Rasimos Cosechados]]-Tabla1[[#This Row],[Rasimos Prosesados]]</f>
        <v>0</v>
      </c>
      <c r="N116" s="77">
        <f>+Tabla1[[#This Row],[Rasimos Cosechados]]/Tabla1[[#This Row],[Cajas Elaboradas]]</f>
        <v>3.3981900452488687</v>
      </c>
      <c r="O116" s="78">
        <f>+Tabla1[[#This Row],[Rasimos Prosesados]]/Tabla1[[#This Row],[Cajas Elaboradas]]</f>
        <v>3.3981900452488687</v>
      </c>
      <c r="P116" s="81">
        <f>IF(H116,'DATOS PARA CALCULO'!D$18,0)</f>
        <v>1500</v>
      </c>
      <c r="Q116" s="80">
        <f>IF(I116,'DATOS PARA CALCULO'!D$22,0)</f>
        <v>500</v>
      </c>
      <c r="R116" s="81">
        <f t="shared" si="20"/>
        <v>331500</v>
      </c>
      <c r="S116" s="80">
        <f t="shared" si="21"/>
        <v>18500</v>
      </c>
      <c r="T116" s="81">
        <f t="shared" si="22"/>
        <v>350000</v>
      </c>
      <c r="U116" s="80">
        <f>IF('CAJAS ELABORADAS'!$J116&gt;0,'CAJAS ELABORADAS'!$Y116*'CAJAS ELABORADAS'!$J116,0)</f>
        <v>360000</v>
      </c>
      <c r="V116" s="82">
        <f>'CAJAS ELABORADAS'!$Y116/'DATOS PARA CALCULO'!$D$27</f>
        <v>1</v>
      </c>
      <c r="W116" s="79">
        <f>(Tabla1[[#This Row],[Valor Pagado]]-Tabla1[[#This Row],[PRODUCIDO BOLSAS]])/Tabla1[[#This Row],[Cajas Elaboradas]]</f>
        <v>1545.2488687782804</v>
      </c>
      <c r="X116" s="83">
        <f t="shared" si="23"/>
        <v>29166.666666666668</v>
      </c>
      <c r="Y116" s="84">
        <f>IF('CAJAS ELABORADAS'!$X116&lt;'DATOS PARA CALCULO'!$D$27,'DATOS PARA CALCULO'!$D$27,'CAJAS ELABORADAS'!$X116)</f>
        <v>30000</v>
      </c>
      <c r="Z116" s="94">
        <f>Tabla1[[#This Row],[VALOR  A PAGAR]]-Tabla1[[#This Row],[VALOR GANADO]]</f>
        <v>833.33333333333212</v>
      </c>
    </row>
    <row r="117" spans="3:26" ht="18.75" x14ac:dyDescent="0.25">
      <c r="C117" s="71">
        <v>44461</v>
      </c>
      <c r="D117" s="507">
        <f>YEAR(Tabla1[[#This Row],[FECHA]])</f>
        <v>2021</v>
      </c>
      <c r="E117" s="72">
        <f>_xlfn.ISOWEEKNUM(Tabla1[[#This Row],[FECHA]])</f>
        <v>38</v>
      </c>
      <c r="F117" s="57" t="s">
        <v>155</v>
      </c>
      <c r="G117" s="73" t="s">
        <v>28</v>
      </c>
      <c r="H117" s="74">
        <v>80</v>
      </c>
      <c r="I117" s="72">
        <v>32</v>
      </c>
      <c r="J117" s="72">
        <v>5</v>
      </c>
      <c r="K117" s="75"/>
      <c r="L117" s="93"/>
      <c r="M117" s="75">
        <f>+Tabla1[[#This Row],[Rasimos Cosechados]]-Tabla1[[#This Row],[Rasimos Prosesados]]</f>
        <v>0</v>
      </c>
      <c r="N117" s="77">
        <f>+Tabla1[[#This Row],[Rasimos Cosechados]]/Tabla1[[#This Row],[Cajas Elaboradas]]</f>
        <v>0</v>
      </c>
      <c r="O117" s="78">
        <f>+Tabla1[[#This Row],[Rasimos Prosesados]]/Tabla1[[#This Row],[Cajas Elaboradas]]</f>
        <v>0</v>
      </c>
      <c r="P117" s="81">
        <f>IF(H117,'DATOS PARA CALCULO'!D$18,0)</f>
        <v>1500</v>
      </c>
      <c r="Q117" s="80">
        <f>IF(I117,'DATOS PARA CALCULO'!D$22,0)</f>
        <v>500</v>
      </c>
      <c r="R117" s="81">
        <f t="shared" si="20"/>
        <v>120000</v>
      </c>
      <c r="S117" s="80">
        <f t="shared" si="21"/>
        <v>16000</v>
      </c>
      <c r="T117" s="81">
        <f t="shared" si="22"/>
        <v>136000</v>
      </c>
      <c r="U117" s="80">
        <f>IF('CAJAS ELABORADAS'!$J117&gt;0,'CAJAS ELABORADAS'!$Y117*'CAJAS ELABORADAS'!$J117,0)</f>
        <v>150000</v>
      </c>
      <c r="V117" s="82">
        <f>'CAJAS ELABORADAS'!$Y117/'DATOS PARA CALCULO'!$D$27</f>
        <v>1</v>
      </c>
      <c r="W117" s="79">
        <f>(Tabla1[[#This Row],[Valor Pagado]]-Tabla1[[#This Row],[PRODUCIDO BOLSAS]])/Tabla1[[#This Row],[Cajas Elaboradas]]</f>
        <v>1675</v>
      </c>
      <c r="X117" s="83">
        <f t="shared" si="23"/>
        <v>27200</v>
      </c>
      <c r="Y117" s="84">
        <f>IF('CAJAS ELABORADAS'!$X117&lt;'DATOS PARA CALCULO'!$D$27,'DATOS PARA CALCULO'!$D$27,'CAJAS ELABORADAS'!$X117)</f>
        <v>30000</v>
      </c>
      <c r="Z117" s="94">
        <f>Tabla1[[#This Row],[VALOR  A PAGAR]]-Tabla1[[#This Row],[VALOR GANADO]]</f>
        <v>2800</v>
      </c>
    </row>
    <row r="118" spans="3:26" ht="18.75" x14ac:dyDescent="0.25">
      <c r="C118" s="71">
        <v>44461</v>
      </c>
      <c r="D118" s="507">
        <f>YEAR(Tabla1[[#This Row],[FECHA]])</f>
        <v>2021</v>
      </c>
      <c r="E118" s="72">
        <f>_xlfn.ISOWEEKNUM(Tabla1[[#This Row],[FECHA]])</f>
        <v>38</v>
      </c>
      <c r="F118" s="72" t="s">
        <v>157</v>
      </c>
      <c r="G118" s="73" t="s">
        <v>31</v>
      </c>
      <c r="H118" s="74">
        <v>120</v>
      </c>
      <c r="I118" s="72">
        <v>18</v>
      </c>
      <c r="J118" s="72">
        <v>17</v>
      </c>
      <c r="K118" s="75"/>
      <c r="L118" s="93"/>
      <c r="M118" s="75">
        <f>+Tabla1[[#This Row],[Rasimos Cosechados]]-Tabla1[[#This Row],[Rasimos Prosesados]]</f>
        <v>0</v>
      </c>
      <c r="N118" s="77">
        <f>+Tabla1[[#This Row],[Rasimos Cosechados]]/Tabla1[[#This Row],[Cajas Elaboradas]]</f>
        <v>0</v>
      </c>
      <c r="O118" s="78">
        <f>+Tabla1[[#This Row],[Rasimos Prosesados]]/Tabla1[[#This Row],[Cajas Elaboradas]]</f>
        <v>0</v>
      </c>
      <c r="P118" s="79">
        <v>3000</v>
      </c>
      <c r="Q118" s="80">
        <f>IF(I118,'DATOS PARA CALCULO'!D$22,0)</f>
        <v>500</v>
      </c>
      <c r="R118" s="81">
        <f t="shared" si="20"/>
        <v>360000</v>
      </c>
      <c r="S118" s="80">
        <f t="shared" si="21"/>
        <v>9000</v>
      </c>
      <c r="T118" s="81">
        <f t="shared" si="22"/>
        <v>369000</v>
      </c>
      <c r="U118" s="80">
        <f>IF('CAJAS ELABORADAS'!$J118&gt;0,'CAJAS ELABORADAS'!$Y118*'CAJAS ELABORADAS'!$J118,0)</f>
        <v>510000</v>
      </c>
      <c r="V118" s="82">
        <f>'CAJAS ELABORADAS'!$Y118/'DATOS PARA CALCULO'!$D$27</f>
        <v>1</v>
      </c>
      <c r="W118" s="79">
        <f>(Tabla1[[#This Row],[Valor Pagado]]-Tabla1[[#This Row],[PRODUCIDO BOLSAS]])/Tabla1[[#This Row],[Cajas Elaboradas]]</f>
        <v>4175</v>
      </c>
      <c r="X118" s="113">
        <f t="shared" si="23"/>
        <v>21705.882352941175</v>
      </c>
      <c r="Y118" s="84">
        <f>IF('CAJAS ELABORADAS'!$X118&lt;'DATOS PARA CALCULO'!$D$27,'DATOS PARA CALCULO'!$D$27,'CAJAS ELABORADAS'!$X118)</f>
        <v>30000</v>
      </c>
      <c r="Z118" s="94">
        <f>Tabla1[[#This Row],[VALOR  A PAGAR]]-Tabla1[[#This Row],[VALOR GANADO]]</f>
        <v>8294.1176470588252</v>
      </c>
    </row>
    <row r="119" spans="3:26" ht="18.75" x14ac:dyDescent="0.25">
      <c r="C119" s="71">
        <v>44467</v>
      </c>
      <c r="D119" s="507">
        <f>YEAR(Tabla1[[#This Row],[FECHA]])</f>
        <v>2021</v>
      </c>
      <c r="E119" s="72">
        <f>_xlfn.ISOWEEKNUM(Tabla1[[#This Row],[FECHA]])</f>
        <v>39</v>
      </c>
      <c r="F119" s="72"/>
      <c r="G119" s="73" t="s">
        <v>30</v>
      </c>
      <c r="H119" s="74">
        <v>141</v>
      </c>
      <c r="I119" s="72">
        <v>55</v>
      </c>
      <c r="J119" s="72">
        <v>9</v>
      </c>
      <c r="K119" s="75"/>
      <c r="L119" s="93"/>
      <c r="M119" s="75">
        <f>+Tabla1[[#This Row],[Rasimos Cosechados]]-Tabla1[[#This Row],[Rasimos Prosesados]]</f>
        <v>0</v>
      </c>
      <c r="N119" s="77">
        <f>+Tabla1[[#This Row],[Rasimos Cosechados]]/Tabla1[[#This Row],[Cajas Elaboradas]]</f>
        <v>0</v>
      </c>
      <c r="O119" s="78">
        <f>+Tabla1[[#This Row],[Rasimos Prosesados]]/Tabla1[[#This Row],[Cajas Elaboradas]]</f>
        <v>0</v>
      </c>
      <c r="P119" s="81">
        <f>IF(H119,'DATOS PARA CALCULO'!D$18,0)</f>
        <v>1500</v>
      </c>
      <c r="Q119" s="80">
        <f>IF(I119,'DATOS PARA CALCULO'!D$22,0)</f>
        <v>500</v>
      </c>
      <c r="R119" s="81">
        <f t="shared" si="20"/>
        <v>211500</v>
      </c>
      <c r="S119" s="80">
        <f t="shared" si="21"/>
        <v>27500</v>
      </c>
      <c r="T119" s="81">
        <f t="shared" si="22"/>
        <v>239000</v>
      </c>
      <c r="U119" s="80">
        <f>IF('CAJAS ELABORADAS'!$J119&gt;0,'CAJAS ELABORADAS'!$Y119*'CAJAS ELABORADAS'!$J119,0)</f>
        <v>270000</v>
      </c>
      <c r="V119" s="82">
        <f>'CAJAS ELABORADAS'!$Y119/'DATOS PARA CALCULO'!$D$27</f>
        <v>1</v>
      </c>
      <c r="W119" s="79">
        <f>(Tabla1[[#This Row],[Valor Pagado]]-Tabla1[[#This Row],[PRODUCIDO BOLSAS]])/Tabla1[[#This Row],[Cajas Elaboradas]]</f>
        <v>1719.8581560283687</v>
      </c>
      <c r="X119" s="83">
        <f t="shared" si="23"/>
        <v>26555.555555555555</v>
      </c>
      <c r="Y119" s="84">
        <f>IF('CAJAS ELABORADAS'!$X119&lt;'DATOS PARA CALCULO'!$D$27,'DATOS PARA CALCULO'!$D$27,'CAJAS ELABORADAS'!$X119)</f>
        <v>30000</v>
      </c>
      <c r="Z119" s="94">
        <f>Tabla1[[#This Row],[VALOR  A PAGAR]]-Tabla1[[#This Row],[VALOR GANADO]]</f>
        <v>3444.4444444444453</v>
      </c>
    </row>
    <row r="120" spans="3:26" ht="18.75" x14ac:dyDescent="0.25">
      <c r="C120" s="71">
        <v>44467</v>
      </c>
      <c r="D120" s="507">
        <f>YEAR(Tabla1[[#This Row],[FECHA]])</f>
        <v>2021</v>
      </c>
      <c r="E120" s="72">
        <f>_xlfn.ISOWEEKNUM(Tabla1[[#This Row],[FECHA]])</f>
        <v>39</v>
      </c>
      <c r="F120" s="72" t="s">
        <v>152</v>
      </c>
      <c r="G120" s="73" t="s">
        <v>29</v>
      </c>
      <c r="H120" s="74">
        <f>102+250</f>
        <v>352</v>
      </c>
      <c r="I120" s="72">
        <v>50</v>
      </c>
      <c r="J120" s="72">
        <v>16</v>
      </c>
      <c r="K120" s="75">
        <f>362+703</f>
        <v>1065</v>
      </c>
      <c r="L120" s="93">
        <f>21+21+21+23+22+23+24+28+20+24+22+25+25+24+22+25+24+20+21+23+21+24+24+23+23+23+23+23+329</f>
        <v>971</v>
      </c>
      <c r="M120" s="75">
        <f>+Tabla1[[#This Row],[Rasimos Cosechados]]-Tabla1[[#This Row],[Rasimos Prosesados]]</f>
        <v>94</v>
      </c>
      <c r="N120" s="77">
        <f>+Tabla1[[#This Row],[Rasimos Cosechados]]/Tabla1[[#This Row],[Cajas Elaboradas]]</f>
        <v>3.0255681818181817</v>
      </c>
      <c r="O120" s="78">
        <f>+Tabla1[[#This Row],[Rasimos Prosesados]]/Tabla1[[#This Row],[Cajas Elaboradas]]</f>
        <v>2.7585227272727271</v>
      </c>
      <c r="P120" s="81">
        <f>IF(H120,'DATOS PARA CALCULO'!D$18,0)</f>
        <v>1500</v>
      </c>
      <c r="Q120" s="80">
        <f>IF(I120,'DATOS PARA CALCULO'!D$22,0)</f>
        <v>500</v>
      </c>
      <c r="R120" s="81">
        <f t="shared" si="20"/>
        <v>528000</v>
      </c>
      <c r="S120" s="80">
        <f t="shared" si="21"/>
        <v>25000</v>
      </c>
      <c r="T120" s="81">
        <f t="shared" si="22"/>
        <v>553000</v>
      </c>
      <c r="U120" s="80">
        <f>IF('CAJAS ELABORADAS'!$J120&gt;0,'CAJAS ELABORADAS'!$Y120*'CAJAS ELABORADAS'!$J120,0)</f>
        <v>553000</v>
      </c>
      <c r="V120" s="82">
        <f>'CAJAS ELABORADAS'!$Y120/'DATOS PARA CALCULO'!$D$27</f>
        <v>1.1520833333333333</v>
      </c>
      <c r="W120" s="79">
        <f>(Tabla1[[#This Row],[Valor Pagado]]-Tabla1[[#This Row],[PRODUCIDO BOLSAS]])/Tabla1[[#This Row],[Cajas Elaboradas]]</f>
        <v>1500</v>
      </c>
      <c r="X120" s="83">
        <f t="shared" si="23"/>
        <v>34562.5</v>
      </c>
      <c r="Y120" s="84">
        <f>IF('CAJAS ELABORADAS'!$X120&lt;'DATOS PARA CALCULO'!$D$27,'DATOS PARA CALCULO'!$D$27,'CAJAS ELABORADAS'!$X120)</f>
        <v>34562.5</v>
      </c>
      <c r="Z120" s="94">
        <f>Tabla1[[#This Row],[VALOR  A PAGAR]]-Tabla1[[#This Row],[VALOR GANADO]]</f>
        <v>0</v>
      </c>
    </row>
    <row r="121" spans="3:26" ht="18.75" x14ac:dyDescent="0.25">
      <c r="C121" s="71">
        <v>44468</v>
      </c>
      <c r="D121" s="507">
        <f>YEAR(Tabla1[[#This Row],[FECHA]])</f>
        <v>2021</v>
      </c>
      <c r="E121" s="72">
        <f>_xlfn.ISOWEEKNUM(Tabla1[[#This Row],[FECHA]])</f>
        <v>39</v>
      </c>
      <c r="F121" s="57" t="s">
        <v>155</v>
      </c>
      <c r="G121" s="73" t="s">
        <v>28</v>
      </c>
      <c r="H121" s="74">
        <v>100</v>
      </c>
      <c r="I121" s="72">
        <v>86</v>
      </c>
      <c r="J121" s="72">
        <v>5</v>
      </c>
      <c r="K121" s="75"/>
      <c r="L121" s="93"/>
      <c r="M121" s="75">
        <f>+Tabla1[[#This Row],[Rasimos Cosechados]]-Tabla1[[#This Row],[Rasimos Prosesados]]</f>
        <v>0</v>
      </c>
      <c r="N121" s="77">
        <f>+Tabla1[[#This Row],[Rasimos Cosechados]]/Tabla1[[#This Row],[Cajas Elaboradas]]</f>
        <v>0</v>
      </c>
      <c r="O121" s="78">
        <f>+Tabla1[[#This Row],[Rasimos Prosesados]]/Tabla1[[#This Row],[Cajas Elaboradas]]</f>
        <v>0</v>
      </c>
      <c r="P121" s="81">
        <f>IF(H121,'DATOS PARA CALCULO'!D$18,0)</f>
        <v>1500</v>
      </c>
      <c r="Q121" s="80">
        <f>IF(I121,'DATOS PARA CALCULO'!D$22,0)</f>
        <v>500</v>
      </c>
      <c r="R121" s="81">
        <f t="shared" si="20"/>
        <v>150000</v>
      </c>
      <c r="S121" s="80">
        <f t="shared" si="21"/>
        <v>43000</v>
      </c>
      <c r="T121" s="81">
        <f t="shared" si="22"/>
        <v>193000</v>
      </c>
      <c r="U121" s="80">
        <f>IF('CAJAS ELABORADAS'!$J121&gt;0,'CAJAS ELABORADAS'!$Y121*'CAJAS ELABORADAS'!$J121,0)</f>
        <v>193000</v>
      </c>
      <c r="V121" s="82">
        <f>'CAJAS ELABORADAS'!$Y121/'DATOS PARA CALCULO'!$D$27</f>
        <v>1.2866666666666666</v>
      </c>
      <c r="W121" s="79">
        <f>(Tabla1[[#This Row],[Valor Pagado]]-Tabla1[[#This Row],[PRODUCIDO BOLSAS]])/Tabla1[[#This Row],[Cajas Elaboradas]]</f>
        <v>1500</v>
      </c>
      <c r="X121" s="83">
        <f t="shared" si="23"/>
        <v>38600</v>
      </c>
      <c r="Y121" s="84">
        <f>IF('CAJAS ELABORADAS'!$X121&lt;'DATOS PARA CALCULO'!$D$27,'DATOS PARA CALCULO'!$D$27,'CAJAS ELABORADAS'!$X121)</f>
        <v>38600</v>
      </c>
      <c r="Z121" s="94">
        <f>Tabla1[[#This Row],[VALOR  A PAGAR]]-Tabla1[[#This Row],[VALOR GANADO]]</f>
        <v>0</v>
      </c>
    </row>
    <row r="122" spans="3:26" ht="18.75" x14ac:dyDescent="0.25">
      <c r="C122" s="71">
        <v>44468</v>
      </c>
      <c r="D122" s="507">
        <f>YEAR(Tabla1[[#This Row],[FECHA]])</f>
        <v>2021</v>
      </c>
      <c r="E122" s="72">
        <f>_xlfn.ISOWEEKNUM(Tabla1[[#This Row],[FECHA]])</f>
        <v>39</v>
      </c>
      <c r="F122" s="72" t="s">
        <v>152</v>
      </c>
      <c r="G122" s="73" t="s">
        <v>29</v>
      </c>
      <c r="H122" s="74">
        <f>200+37</f>
        <v>237</v>
      </c>
      <c r="I122" s="72">
        <v>50</v>
      </c>
      <c r="J122" s="72">
        <v>14</v>
      </c>
      <c r="K122" s="75">
        <v>673</v>
      </c>
      <c r="L122" s="93">
        <v>661</v>
      </c>
      <c r="M122" s="75">
        <f>+Tabla1[[#This Row],[Rasimos Cosechados]]-Tabla1[[#This Row],[Rasimos Prosesados]]</f>
        <v>12</v>
      </c>
      <c r="N122" s="77">
        <f>+Tabla1[[#This Row],[Rasimos Cosechados]]/Tabla1[[#This Row],[Cajas Elaboradas]]</f>
        <v>2.8396624472573841</v>
      </c>
      <c r="O122" s="78">
        <f>+Tabla1[[#This Row],[Rasimos Prosesados]]/Tabla1[[#This Row],[Cajas Elaboradas]]</f>
        <v>2.7890295358649788</v>
      </c>
      <c r="P122" s="81">
        <f>IF(H122,'DATOS PARA CALCULO'!D$18,0)</f>
        <v>1500</v>
      </c>
      <c r="Q122" s="80">
        <f>IF(I122,'DATOS PARA CALCULO'!D$22,0)</f>
        <v>500</v>
      </c>
      <c r="R122" s="81">
        <f t="shared" si="20"/>
        <v>355500</v>
      </c>
      <c r="S122" s="80">
        <f t="shared" si="21"/>
        <v>25000</v>
      </c>
      <c r="T122" s="81">
        <f t="shared" si="22"/>
        <v>380500</v>
      </c>
      <c r="U122" s="80">
        <f>IF('CAJAS ELABORADAS'!$J122&gt;0,'CAJAS ELABORADAS'!$Y122*'CAJAS ELABORADAS'!$J122,0)</f>
        <v>420000</v>
      </c>
      <c r="V122" s="82">
        <f>'CAJAS ELABORADAS'!$Y122/'DATOS PARA CALCULO'!$D$27</f>
        <v>1</v>
      </c>
      <c r="W122" s="79">
        <f>(Tabla1[[#This Row],[Valor Pagado]]-Tabla1[[#This Row],[PRODUCIDO BOLSAS]])/Tabla1[[#This Row],[Cajas Elaboradas]]</f>
        <v>1666.6666666666667</v>
      </c>
      <c r="X122" s="83">
        <f t="shared" si="23"/>
        <v>27178.571428571428</v>
      </c>
      <c r="Y122" s="84">
        <f>IF('CAJAS ELABORADAS'!$X122&lt;'DATOS PARA CALCULO'!$D$27,'DATOS PARA CALCULO'!$D$27,'CAJAS ELABORADAS'!$X122)</f>
        <v>30000</v>
      </c>
      <c r="Z122" s="94">
        <f>Tabla1[[#This Row],[VALOR  A PAGAR]]-Tabla1[[#This Row],[VALOR GANADO]]</f>
        <v>2821.4285714285725</v>
      </c>
    </row>
    <row r="123" spans="3:26" ht="18.75" x14ac:dyDescent="0.25">
      <c r="C123" s="71">
        <v>44468</v>
      </c>
      <c r="D123" s="507">
        <f>YEAR(Tabla1[[#This Row],[FECHA]])</f>
        <v>2021</v>
      </c>
      <c r="E123" s="72">
        <f>_xlfn.ISOWEEKNUM(Tabla1[[#This Row],[FECHA]])</f>
        <v>39</v>
      </c>
      <c r="F123" s="72" t="s">
        <v>207</v>
      </c>
      <c r="G123" s="73" t="s">
        <v>31</v>
      </c>
      <c r="H123" s="74">
        <v>68</v>
      </c>
      <c r="I123" s="72">
        <v>65.52</v>
      </c>
      <c r="J123" s="72">
        <v>12</v>
      </c>
      <c r="K123" s="75">
        <f>34+30+12+47+20+25+48+10+20+47+42+23+10+18+20+27+8+7</f>
        <v>448</v>
      </c>
      <c r="L123" s="93">
        <v>448</v>
      </c>
      <c r="M123" s="75">
        <f>+Tabla1[[#This Row],[Rasimos Cosechados]]-Tabla1[[#This Row],[Rasimos Prosesados]]</f>
        <v>0</v>
      </c>
      <c r="N123" s="77">
        <f>+Tabla1[[#This Row],[Rasimos Cosechados]]/Tabla1[[#This Row],[Cajas Elaboradas]]</f>
        <v>6.5882352941176467</v>
      </c>
      <c r="O123" s="78">
        <f>+Tabla1[[#This Row],[Rasimos Prosesados]]/Tabla1[[#This Row],[Cajas Elaboradas]]</f>
        <v>6.5882352941176467</v>
      </c>
      <c r="P123" s="81">
        <f>IF(H123,'DATOS PARA CALCULO'!D$19,0)</f>
        <v>3000</v>
      </c>
      <c r="Q123" s="80">
        <f>IF(I123,'DATOS PARA CALCULO'!D$22,0)</f>
        <v>500</v>
      </c>
      <c r="R123" s="81">
        <f t="shared" si="20"/>
        <v>204000</v>
      </c>
      <c r="S123" s="80">
        <f t="shared" si="21"/>
        <v>32759.999999999996</v>
      </c>
      <c r="T123" s="81">
        <f t="shared" si="22"/>
        <v>236760</v>
      </c>
      <c r="U123" s="80">
        <f>IF('CAJAS ELABORADAS'!$J123&gt;0,'CAJAS ELABORADAS'!$Y123*'CAJAS ELABORADAS'!$J123,0)</f>
        <v>360000</v>
      </c>
      <c r="V123" s="82">
        <f>'CAJAS ELABORADAS'!$Y123/'DATOS PARA CALCULO'!$D$27</f>
        <v>1</v>
      </c>
      <c r="W123" s="79">
        <f>(Tabla1[[#This Row],[Valor Pagado]]-Tabla1[[#This Row],[PRODUCIDO BOLSAS]])/Tabla1[[#This Row],[Cajas Elaboradas]]</f>
        <v>4812.3529411764703</v>
      </c>
      <c r="X123" s="83">
        <f t="shared" si="23"/>
        <v>19730</v>
      </c>
      <c r="Y123" s="84">
        <f>IF('CAJAS ELABORADAS'!$X123&lt;'DATOS PARA CALCULO'!$D$27,'DATOS PARA CALCULO'!$D$27,'CAJAS ELABORADAS'!$X123)</f>
        <v>30000</v>
      </c>
      <c r="Z123" s="94">
        <f>Tabla1[[#This Row],[VALOR  A PAGAR]]-Tabla1[[#This Row],[VALOR GANADO]]</f>
        <v>10270</v>
      </c>
    </row>
    <row r="124" spans="3:26" ht="18.75" x14ac:dyDescent="0.25">
      <c r="C124" s="71">
        <v>44474</v>
      </c>
      <c r="D124" s="507">
        <f>YEAR(Tabla1[[#This Row],[FECHA]])</f>
        <v>2021</v>
      </c>
      <c r="E124" s="72">
        <f>_xlfn.ISOWEEKNUM(Tabla1[[#This Row],[FECHA]])</f>
        <v>40</v>
      </c>
      <c r="F124" s="72" t="s">
        <v>152</v>
      </c>
      <c r="G124" s="73" t="s">
        <v>29</v>
      </c>
      <c r="H124" s="74">
        <f>311+100</f>
        <v>411</v>
      </c>
      <c r="I124" s="72">
        <v>70</v>
      </c>
      <c r="J124" s="72">
        <v>20</v>
      </c>
      <c r="K124" s="75">
        <f>272+1139</f>
        <v>1411</v>
      </c>
      <c r="L124" s="93">
        <f>265+1094</f>
        <v>1359</v>
      </c>
      <c r="M124" s="75">
        <f>+Tabla1[[#This Row],[Rasimos Cosechados]]-Tabla1[[#This Row],[Rasimos Prosesados]]</f>
        <v>52</v>
      </c>
      <c r="N124" s="77">
        <f>+Tabla1[[#This Row],[Rasimos Cosechados]]/Tabla1[[#This Row],[Cajas Elaboradas]]</f>
        <v>3.4330900243309004</v>
      </c>
      <c r="O124" s="78">
        <f>+Tabla1[[#This Row],[Rasimos Prosesados]]/Tabla1[[#This Row],[Cajas Elaboradas]]</f>
        <v>3.3065693430656933</v>
      </c>
      <c r="P124" s="81">
        <f>IF(H124,'DATOS PARA CALCULO'!D$18,0)</f>
        <v>1500</v>
      </c>
      <c r="Q124" s="80">
        <f>IF(I124,'DATOS PARA CALCULO'!D$22,0)</f>
        <v>500</v>
      </c>
      <c r="R124" s="81">
        <f t="shared" si="20"/>
        <v>616500</v>
      </c>
      <c r="S124" s="80">
        <f t="shared" si="21"/>
        <v>35000</v>
      </c>
      <c r="T124" s="81">
        <f t="shared" si="22"/>
        <v>651500</v>
      </c>
      <c r="U124" s="80">
        <f>IF('CAJAS ELABORADAS'!$J124&gt;0,'CAJAS ELABORADAS'!$Y124*'CAJAS ELABORADAS'!$J124,0)</f>
        <v>651500</v>
      </c>
      <c r="V124" s="82">
        <f>'CAJAS ELABORADAS'!$Y124/'DATOS PARA CALCULO'!$D$27</f>
        <v>1.0858333333333334</v>
      </c>
      <c r="W124" s="79">
        <f>(Tabla1[[#This Row],[Valor Pagado]]-Tabla1[[#This Row],[PRODUCIDO BOLSAS]])/Tabla1[[#This Row],[Cajas Elaboradas]]</f>
        <v>1500</v>
      </c>
      <c r="X124" s="83">
        <f t="shared" si="23"/>
        <v>32575</v>
      </c>
      <c r="Y124" s="84">
        <f>IF('CAJAS ELABORADAS'!$X124&lt;'DATOS PARA CALCULO'!$D$27,'DATOS PARA CALCULO'!$D$27,'CAJAS ELABORADAS'!$X124)</f>
        <v>32575</v>
      </c>
      <c r="Z124" s="94">
        <f>Tabla1[[#This Row],[VALOR  A PAGAR]]-Tabla1[[#This Row],[VALOR GANADO]]</f>
        <v>0</v>
      </c>
    </row>
    <row r="125" spans="3:26" ht="18.75" x14ac:dyDescent="0.25">
      <c r="C125" s="71">
        <v>44474</v>
      </c>
      <c r="D125" s="507">
        <f>YEAR(Tabla1[[#This Row],[FECHA]])</f>
        <v>2021</v>
      </c>
      <c r="E125" s="72">
        <f>_xlfn.ISOWEEKNUM(Tabla1[[#This Row],[FECHA]])</f>
        <v>40</v>
      </c>
      <c r="F125" s="72" t="s">
        <v>153</v>
      </c>
      <c r="G125" s="73" t="s">
        <v>30</v>
      </c>
      <c r="H125" s="74">
        <v>139</v>
      </c>
      <c r="I125" s="72">
        <v>61</v>
      </c>
      <c r="J125" s="72">
        <v>7</v>
      </c>
      <c r="K125" s="75">
        <f>29+37+30+30+31+27+32+28+33+30+31+27+36+41+56</f>
        <v>498</v>
      </c>
      <c r="L125" s="93">
        <v>498</v>
      </c>
      <c r="M125" s="75">
        <f>+Tabla1[[#This Row],[Rasimos Cosechados]]-Tabla1[[#This Row],[Rasimos Prosesados]]</f>
        <v>0</v>
      </c>
      <c r="N125" s="77">
        <f>+Tabla1[[#This Row],[Rasimos Cosechados]]/Tabla1[[#This Row],[Cajas Elaboradas]]</f>
        <v>3.5827338129496402</v>
      </c>
      <c r="O125" s="78">
        <f>+Tabla1[[#This Row],[Rasimos Prosesados]]/Tabla1[[#This Row],[Cajas Elaboradas]]</f>
        <v>3.5827338129496402</v>
      </c>
      <c r="P125" s="81">
        <f>IF(H125,'DATOS PARA CALCULO'!D$18,0)</f>
        <v>1500</v>
      </c>
      <c r="Q125" s="80">
        <f>IF(I125,'DATOS PARA CALCULO'!D$22,0)</f>
        <v>500</v>
      </c>
      <c r="R125" s="81">
        <f t="shared" si="20"/>
        <v>208500</v>
      </c>
      <c r="S125" s="80">
        <f t="shared" si="21"/>
        <v>30500</v>
      </c>
      <c r="T125" s="81">
        <f t="shared" si="22"/>
        <v>239000</v>
      </c>
      <c r="U125" s="80">
        <f>IF('CAJAS ELABORADAS'!$J125&gt;0,'CAJAS ELABORADAS'!$Y125*'CAJAS ELABORADAS'!$J125,0)</f>
        <v>239000</v>
      </c>
      <c r="V125" s="82">
        <f>'CAJAS ELABORADAS'!$Y125/'DATOS PARA CALCULO'!$D$27</f>
        <v>1.1380952380952383</v>
      </c>
      <c r="W125" s="79">
        <f>(Tabla1[[#This Row],[Valor Pagado]]-Tabla1[[#This Row],[PRODUCIDO BOLSAS]])/Tabla1[[#This Row],[Cajas Elaboradas]]</f>
        <v>1500</v>
      </c>
      <c r="X125" s="83">
        <f t="shared" si="23"/>
        <v>34142.857142857145</v>
      </c>
      <c r="Y125" s="84">
        <f>IF('CAJAS ELABORADAS'!$X125&lt;'DATOS PARA CALCULO'!$D$27,'DATOS PARA CALCULO'!$D$27,'CAJAS ELABORADAS'!$X125)</f>
        <v>34142.857142857145</v>
      </c>
      <c r="Z125" s="94">
        <f>Tabla1[[#This Row],[VALOR  A PAGAR]]-Tabla1[[#This Row],[VALOR GANADO]]</f>
        <v>0</v>
      </c>
    </row>
    <row r="126" spans="3:26" ht="18.75" x14ac:dyDescent="0.25">
      <c r="C126" s="71">
        <v>44475</v>
      </c>
      <c r="D126" s="507">
        <f>YEAR(Tabla1[[#This Row],[FECHA]])</f>
        <v>2021</v>
      </c>
      <c r="E126" s="72">
        <f>_xlfn.ISOWEEKNUM(Tabla1[[#This Row],[FECHA]])</f>
        <v>40</v>
      </c>
      <c r="F126" s="57" t="s">
        <v>155</v>
      </c>
      <c r="G126" s="73" t="s">
        <v>28</v>
      </c>
      <c r="H126" s="139">
        <v>150</v>
      </c>
      <c r="I126" s="72">
        <v>90</v>
      </c>
      <c r="J126" s="72">
        <v>10</v>
      </c>
      <c r="K126" s="75">
        <f>24+29+29+20+35+32+25+30+30+25+28+30+31+60+29+28+30+32+27+34+27+32+30</f>
        <v>697</v>
      </c>
      <c r="L126" s="93">
        <v>697</v>
      </c>
      <c r="M126" s="75">
        <f>+Tabla1[[#This Row],[Rasimos Cosechados]]-Tabla1[[#This Row],[Rasimos Prosesados]]</f>
        <v>0</v>
      </c>
      <c r="N126" s="77">
        <f>+Tabla1[[#This Row],[Rasimos Cosechados]]/Tabla1[[#This Row],[Cajas Elaboradas]]</f>
        <v>4.6466666666666665</v>
      </c>
      <c r="O126" s="78">
        <f>+Tabla1[[#This Row],[Rasimos Prosesados]]/Tabla1[[#This Row],[Cajas Elaboradas]]</f>
        <v>4.6466666666666665</v>
      </c>
      <c r="P126" s="81">
        <f>IF(H126,'DATOS PARA CALCULO'!D$18,0)</f>
        <v>1500</v>
      </c>
      <c r="Q126" s="80">
        <f>IF(I126,'DATOS PARA CALCULO'!D$22,0)</f>
        <v>500</v>
      </c>
      <c r="R126" s="81">
        <f t="shared" si="20"/>
        <v>225000</v>
      </c>
      <c r="S126" s="80">
        <f t="shared" si="21"/>
        <v>45000</v>
      </c>
      <c r="T126" s="81">
        <f t="shared" si="22"/>
        <v>270000</v>
      </c>
      <c r="U126" s="80">
        <f>IF('CAJAS ELABORADAS'!$J126&gt;0,'CAJAS ELABORADAS'!$Y126*'CAJAS ELABORADAS'!$J126,0)</f>
        <v>300000</v>
      </c>
      <c r="V126" s="82">
        <f>'CAJAS ELABORADAS'!$Y126/'DATOS PARA CALCULO'!$D$27</f>
        <v>1</v>
      </c>
      <c r="W126" s="79">
        <f>(Tabla1[[#This Row],[Valor Pagado]]-Tabla1[[#This Row],[PRODUCIDO BOLSAS]])/Tabla1[[#This Row],[Cajas Elaboradas]]</f>
        <v>1700</v>
      </c>
      <c r="X126" s="83">
        <f t="shared" si="23"/>
        <v>27000</v>
      </c>
      <c r="Y126" s="84">
        <f>IF('CAJAS ELABORADAS'!$X126&lt;'DATOS PARA CALCULO'!$D$27,'DATOS PARA CALCULO'!$D$27,'CAJAS ELABORADAS'!$X126)</f>
        <v>30000</v>
      </c>
      <c r="Z126" s="94">
        <f>Tabla1[[#This Row],[VALOR  A PAGAR]]-Tabla1[[#This Row],[VALOR GANADO]]</f>
        <v>3000</v>
      </c>
    </row>
    <row r="127" spans="3:26" ht="18.75" x14ac:dyDescent="0.25">
      <c r="C127" s="71">
        <v>44475</v>
      </c>
      <c r="D127" s="507">
        <f>YEAR(Tabla1[[#This Row],[FECHA]])</f>
        <v>2021</v>
      </c>
      <c r="E127" s="72">
        <f>_xlfn.ISOWEEKNUM(Tabla1[[#This Row],[FECHA]])</f>
        <v>40</v>
      </c>
      <c r="F127" s="72" t="s">
        <v>152</v>
      </c>
      <c r="G127" s="73" t="s">
        <v>29</v>
      </c>
      <c r="H127" s="74">
        <f>300+100</f>
        <v>400</v>
      </c>
      <c r="I127" s="72">
        <v>65</v>
      </c>
      <c r="J127" s="72">
        <v>19</v>
      </c>
      <c r="K127" s="75">
        <v>806</v>
      </c>
      <c r="L127" s="93">
        <v>785</v>
      </c>
      <c r="M127" s="75">
        <f>+Tabla1[[#This Row],[Rasimos Cosechados]]-Tabla1[[#This Row],[Rasimos Prosesados]]</f>
        <v>21</v>
      </c>
      <c r="N127" s="77">
        <f>+Tabla1[[#This Row],[Rasimos Cosechados]]/Tabla1[[#This Row],[Cajas Elaboradas]]</f>
        <v>2.0150000000000001</v>
      </c>
      <c r="O127" s="78">
        <f>+Tabla1[[#This Row],[Rasimos Prosesados]]/Tabla1[[#This Row],[Cajas Elaboradas]]</f>
        <v>1.9624999999999999</v>
      </c>
      <c r="P127" s="81">
        <f>IF(H127,'DATOS PARA CALCULO'!D$18,0)</f>
        <v>1500</v>
      </c>
      <c r="Q127" s="80">
        <f>IF(I127,'DATOS PARA CALCULO'!D$22,0)</f>
        <v>500</v>
      </c>
      <c r="R127" s="81">
        <f t="shared" si="20"/>
        <v>600000</v>
      </c>
      <c r="S127" s="80">
        <f t="shared" si="21"/>
        <v>32500</v>
      </c>
      <c r="T127" s="81">
        <f t="shared" si="22"/>
        <v>632500</v>
      </c>
      <c r="U127" s="80">
        <f>IF('CAJAS ELABORADAS'!$J127&gt;0,'CAJAS ELABORADAS'!$Y127*'CAJAS ELABORADAS'!$J127,0)</f>
        <v>632500</v>
      </c>
      <c r="V127" s="82">
        <f>'CAJAS ELABORADAS'!$Y127/'DATOS PARA CALCULO'!$D$27</f>
        <v>1.1096491228070176</v>
      </c>
      <c r="W127" s="79">
        <f>(Tabla1[[#This Row],[Valor Pagado]]-Tabla1[[#This Row],[PRODUCIDO BOLSAS]])/Tabla1[[#This Row],[Cajas Elaboradas]]</f>
        <v>1500</v>
      </c>
      <c r="X127" s="83">
        <f t="shared" si="23"/>
        <v>33289.473684210527</v>
      </c>
      <c r="Y127" s="84">
        <f>IF('CAJAS ELABORADAS'!$X127&lt;'DATOS PARA CALCULO'!$D$27,'DATOS PARA CALCULO'!$D$27,'CAJAS ELABORADAS'!$X127)</f>
        <v>33289.473684210527</v>
      </c>
      <c r="Z127" s="94">
        <f>Tabla1[[#This Row],[VALOR  A PAGAR]]-Tabla1[[#This Row],[VALOR GANADO]]</f>
        <v>0</v>
      </c>
    </row>
    <row r="128" spans="3:26" ht="18.75" x14ac:dyDescent="0.25">
      <c r="C128" s="71">
        <v>44481</v>
      </c>
      <c r="D128" s="507">
        <f>YEAR(Tabla1[[#This Row],[FECHA]])</f>
        <v>2021</v>
      </c>
      <c r="E128" s="72">
        <f>_xlfn.ISOWEEKNUM(Tabla1[[#This Row],[FECHA]])</f>
        <v>41</v>
      </c>
      <c r="F128" s="72" t="s">
        <v>152</v>
      </c>
      <c r="G128" s="73" t="s">
        <v>29</v>
      </c>
      <c r="H128" s="74">
        <v>414</v>
      </c>
      <c r="I128" s="72">
        <v>57</v>
      </c>
      <c r="J128" s="72">
        <v>19</v>
      </c>
      <c r="K128" s="75">
        <f>1054+1084</f>
        <v>2138</v>
      </c>
      <c r="L128" s="93">
        <v>2138</v>
      </c>
      <c r="M128" s="75">
        <f>+Tabla1[[#This Row],[Rasimos Cosechados]]-Tabla1[[#This Row],[Rasimos Prosesados]]</f>
        <v>0</v>
      </c>
      <c r="N128" s="77">
        <f>+Tabla1[[#This Row],[Rasimos Cosechados]]/Tabla1[[#This Row],[Cajas Elaboradas]]</f>
        <v>5.1642512077294684</v>
      </c>
      <c r="O128" s="78">
        <f>+Tabla1[[#This Row],[Rasimos Prosesados]]/Tabla1[[#This Row],[Cajas Elaboradas]]</f>
        <v>5.1642512077294684</v>
      </c>
      <c r="P128" s="81">
        <f>IF(H128,'DATOS PARA CALCULO'!D$18,0)</f>
        <v>1500</v>
      </c>
      <c r="Q128" s="80">
        <f>IF(I128,'DATOS PARA CALCULO'!D$22,0)</f>
        <v>500</v>
      </c>
      <c r="R128" s="81">
        <f t="shared" si="20"/>
        <v>621000</v>
      </c>
      <c r="S128" s="80">
        <f t="shared" si="21"/>
        <v>28500</v>
      </c>
      <c r="T128" s="81">
        <f t="shared" si="22"/>
        <v>649500</v>
      </c>
      <c r="U128" s="80">
        <f>IF('CAJAS ELABORADAS'!$J128&gt;0,'CAJAS ELABORADAS'!$Y128*'CAJAS ELABORADAS'!$J128,0)</f>
        <v>649500</v>
      </c>
      <c r="V128" s="82">
        <f>'CAJAS ELABORADAS'!$Y128/'DATOS PARA CALCULO'!$D$27</f>
        <v>1.1394736842105262</v>
      </c>
      <c r="W128" s="79">
        <f>(Tabla1[[#This Row],[Valor Pagado]]-Tabla1[[#This Row],[PRODUCIDO BOLSAS]])/Tabla1[[#This Row],[Cajas Elaboradas]]</f>
        <v>1500</v>
      </c>
      <c r="X128" s="83">
        <f>IF(J128&gt;0,T128/J128,0)</f>
        <v>34184.210526315786</v>
      </c>
      <c r="Y128" s="84">
        <f>IF('CAJAS ELABORADAS'!$X128&lt;'DATOS PARA CALCULO'!$D$27,'DATOS PARA CALCULO'!$D$27,'CAJAS ELABORADAS'!$X128)</f>
        <v>34184.210526315786</v>
      </c>
      <c r="Z128" s="94">
        <f>Tabla1[[#This Row],[VALOR  A PAGAR]]-Tabla1[[#This Row],[VALOR GANADO]]</f>
        <v>0</v>
      </c>
    </row>
    <row r="129" spans="3:27" ht="18.75" x14ac:dyDescent="0.25">
      <c r="C129" s="71">
        <v>44482</v>
      </c>
      <c r="D129" s="507">
        <f>YEAR(Tabla1[[#This Row],[FECHA]])</f>
        <v>2021</v>
      </c>
      <c r="E129" s="72">
        <f>_xlfn.ISOWEEKNUM(Tabla1[[#This Row],[FECHA]])</f>
        <v>41</v>
      </c>
      <c r="F129" s="72" t="s">
        <v>152</v>
      </c>
      <c r="G129" s="73" t="s">
        <v>29</v>
      </c>
      <c r="H129" s="74">
        <v>160</v>
      </c>
      <c r="I129" s="72">
        <v>57</v>
      </c>
      <c r="J129" s="72">
        <v>11</v>
      </c>
      <c r="K129" s="75">
        <v>573</v>
      </c>
      <c r="L129" s="93">
        <v>549</v>
      </c>
      <c r="M129" s="75">
        <f>+Tabla1[[#This Row],[Rasimos Cosechados]]-Tabla1[[#This Row],[Rasimos Prosesados]]</f>
        <v>24</v>
      </c>
      <c r="N129" s="77">
        <f>+Tabla1[[#This Row],[Rasimos Cosechados]]/Tabla1[[#This Row],[Cajas Elaboradas]]</f>
        <v>3.5812499999999998</v>
      </c>
      <c r="O129" s="78">
        <f>+Tabla1[[#This Row],[Rasimos Prosesados]]/Tabla1[[#This Row],[Cajas Elaboradas]]</f>
        <v>3.4312499999999999</v>
      </c>
      <c r="P129" s="81">
        <f>IF(H129,'DATOS PARA CALCULO'!D$18,0)</f>
        <v>1500</v>
      </c>
      <c r="Q129" s="80">
        <f>IF(I129,'DATOS PARA CALCULO'!D$22,0)</f>
        <v>500</v>
      </c>
      <c r="R129" s="81">
        <f t="shared" si="20"/>
        <v>240000</v>
      </c>
      <c r="S129" s="80">
        <f t="shared" si="21"/>
        <v>28500</v>
      </c>
      <c r="T129" s="81">
        <f t="shared" si="22"/>
        <v>268500</v>
      </c>
      <c r="U129" s="80">
        <f>IF('CAJAS ELABORADAS'!$J129&gt;0,'CAJAS ELABORADAS'!$Y129*'CAJAS ELABORADAS'!$J129,0)</f>
        <v>330000</v>
      </c>
      <c r="V129" s="82">
        <f>'CAJAS ELABORADAS'!$Y129/'DATOS PARA CALCULO'!$D$27</f>
        <v>1</v>
      </c>
      <c r="W129" s="79">
        <f>(Tabla1[[#This Row],[Valor Pagado]]-Tabla1[[#This Row],[PRODUCIDO BOLSAS]])/Tabla1[[#This Row],[Cajas Elaboradas]]</f>
        <v>1884.375</v>
      </c>
      <c r="X129" s="83">
        <f t="shared" si="23"/>
        <v>24409.090909090908</v>
      </c>
      <c r="Y129" s="84">
        <f>IF('CAJAS ELABORADAS'!$X129&lt;'DATOS PARA CALCULO'!$D$27,'DATOS PARA CALCULO'!$D$27,'CAJAS ELABORADAS'!$X129)</f>
        <v>30000</v>
      </c>
      <c r="Z129" s="94">
        <f>Tabla1[[#This Row],[VALOR  A PAGAR]]-Tabla1[[#This Row],[VALOR GANADO]]</f>
        <v>5590.9090909090919</v>
      </c>
    </row>
    <row r="130" spans="3:27" ht="18.75" x14ac:dyDescent="0.25">
      <c r="C130" s="71">
        <v>44482</v>
      </c>
      <c r="D130" s="507">
        <f>YEAR(Tabla1[[#This Row],[FECHA]])</f>
        <v>2021</v>
      </c>
      <c r="E130" s="72">
        <f>_xlfn.ISOWEEKNUM(Tabla1[[#This Row],[FECHA]])</f>
        <v>41</v>
      </c>
      <c r="F130" s="72" t="s">
        <v>157</v>
      </c>
      <c r="G130" s="73" t="s">
        <v>31</v>
      </c>
      <c r="H130" s="74">
        <v>106</v>
      </c>
      <c r="I130" s="72">
        <v>50.4</v>
      </c>
      <c r="J130" s="72">
        <v>14</v>
      </c>
      <c r="K130" s="86">
        <v>539</v>
      </c>
      <c r="L130" s="87">
        <v>539</v>
      </c>
      <c r="M130" s="86">
        <f>+Tabla1[[#This Row],[Rasimos Cosechados]]-Tabla1[[#This Row],[Rasimos Prosesados]]</f>
        <v>0</v>
      </c>
      <c r="N130" s="88">
        <f>+Tabla1[[#This Row],[Rasimos Cosechados]]/Tabla1[[#This Row],[Cajas Elaboradas]]</f>
        <v>5.0849056603773581</v>
      </c>
      <c r="O130" s="89">
        <f>+Tabla1[[#This Row],[Rasimos Prosesados]]/Tabla1[[#This Row],[Cajas Elaboradas]]</f>
        <v>5.0849056603773581</v>
      </c>
      <c r="P130" s="81">
        <v>3000</v>
      </c>
      <c r="Q130" s="80">
        <f>IF(I130,'DATOS PARA CALCULO'!D$22,0)</f>
        <v>500</v>
      </c>
      <c r="R130" s="81">
        <f t="shared" ref="R130:R150" si="24">IF(P130&gt;0 &amp; H130&gt;0,H130*P130,)</f>
        <v>318000</v>
      </c>
      <c r="S130" s="80">
        <f t="shared" ref="S130:S150" si="25">IF(Q130&gt;0 &amp; I130&gt;0,I130*Q130,0)</f>
        <v>25200</v>
      </c>
      <c r="T130" s="81">
        <f t="shared" ref="T130:T150" si="26">S130+R130</f>
        <v>343200</v>
      </c>
      <c r="U130" s="80">
        <f>IF('CAJAS ELABORADAS'!$J130&gt;0,'CAJAS ELABORADAS'!$Y130*'CAJAS ELABORADAS'!$J130,0)</f>
        <v>420000</v>
      </c>
      <c r="V130" s="82">
        <f>'CAJAS ELABORADAS'!$Y130/'DATOS PARA CALCULO'!$D$27</f>
        <v>1</v>
      </c>
      <c r="W130" s="79">
        <f>(Tabla1[[#This Row],[Valor Pagado]]-Tabla1[[#This Row],[PRODUCIDO BOLSAS]])/Tabla1[[#This Row],[Cajas Elaboradas]]</f>
        <v>3724.5283018867926</v>
      </c>
      <c r="X130" s="90">
        <f t="shared" ref="X130:X150" si="27">IF(J130&gt;0,T130/J130,0)</f>
        <v>24514.285714285714</v>
      </c>
      <c r="Y130" s="91">
        <f>IF('CAJAS ELABORADAS'!$X130&lt;'DATOS PARA CALCULO'!$D$27,'DATOS PARA CALCULO'!$D$27,'CAJAS ELABORADAS'!$X130)</f>
        <v>30000</v>
      </c>
      <c r="Z130" s="92">
        <f>Tabla1[[#This Row],[VALOR  A PAGAR]]-Tabla1[[#This Row],[VALOR GANADO]]</f>
        <v>5485.7142857142862</v>
      </c>
      <c r="AA130" s="64"/>
    </row>
    <row r="131" spans="3:27" ht="18.75" x14ac:dyDescent="0.25">
      <c r="C131" s="71">
        <v>44481</v>
      </c>
      <c r="D131" s="507">
        <f>YEAR(Tabla1[[#This Row],[FECHA]])</f>
        <v>2021</v>
      </c>
      <c r="E131" s="72">
        <f>_xlfn.ISOWEEKNUM(Tabla1[[#This Row],[FECHA]])</f>
        <v>41</v>
      </c>
      <c r="F131" s="72" t="s">
        <v>153</v>
      </c>
      <c r="G131" s="73" t="s">
        <v>30</v>
      </c>
      <c r="H131" s="104">
        <v>120</v>
      </c>
      <c r="I131" s="72">
        <v>46</v>
      </c>
      <c r="J131" s="72">
        <v>7</v>
      </c>
      <c r="K131" s="86"/>
      <c r="L131" s="87"/>
      <c r="M131" s="86">
        <f>+Tabla1[[#This Row],[Rasimos Cosechados]]-Tabla1[[#This Row],[Rasimos Prosesados]]</f>
        <v>0</v>
      </c>
      <c r="N131" s="88">
        <f>+Tabla1[[#This Row],[Rasimos Cosechados]]/Tabla1[[#This Row],[Cajas Elaboradas]]</f>
        <v>0</v>
      </c>
      <c r="O131" s="89">
        <f>+Tabla1[[#This Row],[Rasimos Prosesados]]/Tabla1[[#This Row],[Cajas Elaboradas]]</f>
        <v>0</v>
      </c>
      <c r="P131" s="81">
        <f>IF(H131,'DATOS PARA CALCULO'!D$18,0)</f>
        <v>1500</v>
      </c>
      <c r="Q131" s="80">
        <f>IF(I131,'DATOS PARA CALCULO'!D$22,0)</f>
        <v>500</v>
      </c>
      <c r="R131" s="81">
        <f t="shared" si="24"/>
        <v>180000</v>
      </c>
      <c r="S131" s="80">
        <f t="shared" si="25"/>
        <v>23000</v>
      </c>
      <c r="T131" s="81">
        <f t="shared" si="26"/>
        <v>203000</v>
      </c>
      <c r="U131" s="80">
        <f>IF('CAJAS ELABORADAS'!$J131&gt;0,'CAJAS ELABORADAS'!$Y131*'CAJAS ELABORADAS'!$J131,0)</f>
        <v>210000</v>
      </c>
      <c r="V131" s="82">
        <f>'CAJAS ELABORADAS'!$Y131/'DATOS PARA CALCULO'!$D$27</f>
        <v>1</v>
      </c>
      <c r="W131" s="79">
        <f>(Tabla1[[#This Row],[Valor Pagado]]-Tabla1[[#This Row],[PRODUCIDO BOLSAS]])/Tabla1[[#This Row],[Cajas Elaboradas]]</f>
        <v>1558.3333333333333</v>
      </c>
      <c r="X131" s="90">
        <f t="shared" si="27"/>
        <v>29000</v>
      </c>
      <c r="Y131" s="91">
        <f>IF('CAJAS ELABORADAS'!$X131&lt;'DATOS PARA CALCULO'!$D$27,'DATOS PARA CALCULO'!$D$27,'CAJAS ELABORADAS'!$X131)</f>
        <v>30000</v>
      </c>
      <c r="Z131" s="92">
        <f>Tabla1[[#This Row],[VALOR  A PAGAR]]-Tabla1[[#This Row],[VALOR GANADO]]</f>
        <v>1000</v>
      </c>
      <c r="AA131" s="64"/>
    </row>
    <row r="132" spans="3:27" ht="18.75" x14ac:dyDescent="0.25">
      <c r="C132" s="71">
        <v>44482</v>
      </c>
      <c r="D132" s="507">
        <f>YEAR(Tabla1[[#This Row],[FECHA]])</f>
        <v>2021</v>
      </c>
      <c r="E132" s="72">
        <f>_xlfn.ISOWEEKNUM(Tabla1[[#This Row],[FECHA]])</f>
        <v>41</v>
      </c>
      <c r="F132" s="57" t="s">
        <v>155</v>
      </c>
      <c r="G132" s="73" t="s">
        <v>28</v>
      </c>
      <c r="H132" s="74">
        <v>89</v>
      </c>
      <c r="I132" s="72">
        <v>64</v>
      </c>
      <c r="J132" s="72">
        <v>9</v>
      </c>
      <c r="K132" s="86"/>
      <c r="L132" s="87"/>
      <c r="M132" s="86">
        <f>+Tabla1[[#This Row],[Rasimos Cosechados]]-Tabla1[[#This Row],[Rasimos Prosesados]]</f>
        <v>0</v>
      </c>
      <c r="N132" s="88">
        <f>+Tabla1[[#This Row],[Rasimos Cosechados]]/Tabla1[[#This Row],[Cajas Elaboradas]]</f>
        <v>0</v>
      </c>
      <c r="O132" s="89">
        <f>+Tabla1[[#This Row],[Rasimos Prosesados]]/Tabla1[[#This Row],[Cajas Elaboradas]]</f>
        <v>0</v>
      </c>
      <c r="P132" s="81">
        <f>IF(H132,'DATOS PARA CALCULO'!D$18,0)</f>
        <v>1500</v>
      </c>
      <c r="Q132" s="80">
        <f>IF(I132,'DATOS PARA CALCULO'!D$22,0)</f>
        <v>500</v>
      </c>
      <c r="R132" s="81">
        <f t="shared" si="24"/>
        <v>133500</v>
      </c>
      <c r="S132" s="80">
        <f t="shared" si="25"/>
        <v>32000</v>
      </c>
      <c r="T132" s="81">
        <f t="shared" si="26"/>
        <v>165500</v>
      </c>
      <c r="U132" s="80">
        <f>IF('CAJAS ELABORADAS'!$J132&gt;0,'CAJAS ELABORADAS'!$Y132*'CAJAS ELABORADAS'!$J132,0)</f>
        <v>270000</v>
      </c>
      <c r="V132" s="82">
        <f>'CAJAS ELABORADAS'!$Y132/'DATOS PARA CALCULO'!$D$27</f>
        <v>1</v>
      </c>
      <c r="W132" s="79">
        <f>(Tabla1[[#This Row],[Valor Pagado]]-Tabla1[[#This Row],[PRODUCIDO BOLSAS]])/Tabla1[[#This Row],[Cajas Elaboradas]]</f>
        <v>2674.1573033707864</v>
      </c>
      <c r="X132" s="90">
        <f t="shared" si="27"/>
        <v>18388.888888888891</v>
      </c>
      <c r="Y132" s="91">
        <f>IF('CAJAS ELABORADAS'!$X132&lt;'DATOS PARA CALCULO'!$D$27,'DATOS PARA CALCULO'!$D$27,'CAJAS ELABORADAS'!$X132)</f>
        <v>30000</v>
      </c>
      <c r="Z132" s="92">
        <f>Tabla1[[#This Row],[VALOR  A PAGAR]]-Tabla1[[#This Row],[VALOR GANADO]]</f>
        <v>11611.111111111109</v>
      </c>
      <c r="AA132" s="64"/>
    </row>
    <row r="133" spans="3:27" ht="18.75" x14ac:dyDescent="0.25">
      <c r="C133" s="71">
        <v>44488</v>
      </c>
      <c r="D133" s="507">
        <f>YEAR(Tabla1[[#This Row],[FECHA]])</f>
        <v>2021</v>
      </c>
      <c r="E133" s="72">
        <f>_xlfn.ISOWEEKNUM(Tabla1[[#This Row],[FECHA]])</f>
        <v>42</v>
      </c>
      <c r="F133" s="72" t="s">
        <v>152</v>
      </c>
      <c r="G133" s="73" t="s">
        <v>29</v>
      </c>
      <c r="H133" s="74">
        <v>278</v>
      </c>
      <c r="I133" s="72">
        <v>40.5</v>
      </c>
      <c r="J133" s="72">
        <v>13</v>
      </c>
      <c r="K133" s="86"/>
      <c r="L133" s="87"/>
      <c r="M133" s="86">
        <f>+Tabla1[[#This Row],[Rasimos Cosechados]]-Tabla1[[#This Row],[Rasimos Prosesados]]</f>
        <v>0</v>
      </c>
      <c r="N133" s="88">
        <f>+Tabla1[[#This Row],[Rasimos Cosechados]]/Tabla1[[#This Row],[Cajas Elaboradas]]</f>
        <v>0</v>
      </c>
      <c r="O133" s="89">
        <f>+Tabla1[[#This Row],[Rasimos Prosesados]]/Tabla1[[#This Row],[Cajas Elaboradas]]</f>
        <v>0</v>
      </c>
      <c r="P133" s="81">
        <f>IF(H133,'DATOS PARA CALCULO'!D$18,0)</f>
        <v>1500</v>
      </c>
      <c r="Q133" s="80">
        <f>IF(I133,'DATOS PARA CALCULO'!D$22,0)</f>
        <v>500</v>
      </c>
      <c r="R133" s="81">
        <f t="shared" si="24"/>
        <v>417000</v>
      </c>
      <c r="S133" s="80">
        <f t="shared" si="25"/>
        <v>20250</v>
      </c>
      <c r="T133" s="81">
        <f t="shared" si="26"/>
        <v>437250</v>
      </c>
      <c r="U133" s="80">
        <f>IF('CAJAS ELABORADAS'!$J133&gt;0,'CAJAS ELABORADAS'!$Y133*'CAJAS ELABORADAS'!$J133,0)</f>
        <v>437250</v>
      </c>
      <c r="V133" s="82">
        <f>'CAJAS ELABORADAS'!$Y133/'DATOS PARA CALCULO'!$D$27</f>
        <v>1.1211538461538462</v>
      </c>
      <c r="W133" s="79">
        <f>(Tabla1[[#This Row],[Valor Pagado]]-Tabla1[[#This Row],[PRODUCIDO BOLSAS]])/Tabla1[[#This Row],[Cajas Elaboradas]]</f>
        <v>1500</v>
      </c>
      <c r="X133" s="90">
        <f t="shared" si="27"/>
        <v>33634.615384615383</v>
      </c>
      <c r="Y133" s="91">
        <f>IF('CAJAS ELABORADAS'!$X133&lt;'DATOS PARA CALCULO'!$D$27,'DATOS PARA CALCULO'!$D$27,'CAJAS ELABORADAS'!$X133)</f>
        <v>33634.615384615383</v>
      </c>
      <c r="Z133" s="92">
        <f>Tabla1[[#This Row],[VALOR  A PAGAR]]-Tabla1[[#This Row],[VALOR GANADO]]</f>
        <v>0</v>
      </c>
      <c r="AA133" s="64"/>
    </row>
    <row r="134" spans="3:27" ht="18.75" x14ac:dyDescent="0.25">
      <c r="C134" s="71">
        <v>44488</v>
      </c>
      <c r="D134" s="507">
        <f>YEAR(Tabla1[[#This Row],[FECHA]])</f>
        <v>2021</v>
      </c>
      <c r="E134" s="72">
        <f>_xlfn.ISOWEEKNUM(Tabla1[[#This Row],[FECHA]])</f>
        <v>42</v>
      </c>
      <c r="F134" s="72" t="s">
        <v>153</v>
      </c>
      <c r="G134" s="73" t="s">
        <v>30</v>
      </c>
      <c r="H134" s="74">
        <v>80</v>
      </c>
      <c r="I134" s="72">
        <v>44</v>
      </c>
      <c r="J134" s="72">
        <v>8</v>
      </c>
      <c r="K134" s="86">
        <v>373</v>
      </c>
      <c r="L134" s="87">
        <f>+Tabla1[[#This Row],[Rasimos Cosechados]]-25</f>
        <v>348</v>
      </c>
      <c r="M134" s="86">
        <f>+Tabla1[[#This Row],[Rasimos Cosechados]]-Tabla1[[#This Row],[Rasimos Prosesados]]</f>
        <v>25</v>
      </c>
      <c r="N134" s="88">
        <f>+Tabla1[[#This Row],[Rasimos Cosechados]]/Tabla1[[#This Row],[Cajas Elaboradas]]</f>
        <v>4.6624999999999996</v>
      </c>
      <c r="O134" s="89">
        <f>+Tabla1[[#This Row],[Rasimos Prosesados]]/Tabla1[[#This Row],[Cajas Elaboradas]]</f>
        <v>4.3499999999999996</v>
      </c>
      <c r="P134" s="81">
        <f>IF(H134,'DATOS PARA CALCULO'!D$18,0)</f>
        <v>1500</v>
      </c>
      <c r="Q134" s="80">
        <f>IF(I134,'DATOS PARA CALCULO'!D$22,0)</f>
        <v>500</v>
      </c>
      <c r="R134" s="81">
        <f t="shared" si="24"/>
        <v>120000</v>
      </c>
      <c r="S134" s="80">
        <f t="shared" si="25"/>
        <v>22000</v>
      </c>
      <c r="T134" s="81">
        <f t="shared" si="26"/>
        <v>142000</v>
      </c>
      <c r="U134" s="80">
        <f>IF('CAJAS ELABORADAS'!$J134&gt;0,'CAJAS ELABORADAS'!$Y134*'CAJAS ELABORADAS'!$J134,0)</f>
        <v>240000</v>
      </c>
      <c r="V134" s="82">
        <f>'CAJAS ELABORADAS'!$Y134/'DATOS PARA CALCULO'!$D$27</f>
        <v>1</v>
      </c>
      <c r="W134" s="79">
        <f>(Tabla1[[#This Row],[Valor Pagado]]-Tabla1[[#This Row],[PRODUCIDO BOLSAS]])/Tabla1[[#This Row],[Cajas Elaboradas]]</f>
        <v>2725</v>
      </c>
      <c r="X134" s="90">
        <f t="shared" si="27"/>
        <v>17750</v>
      </c>
      <c r="Y134" s="91">
        <f>IF('CAJAS ELABORADAS'!$X134&lt;'DATOS PARA CALCULO'!$D$27,'DATOS PARA CALCULO'!$D$27,'CAJAS ELABORADAS'!$X134)</f>
        <v>30000</v>
      </c>
      <c r="Z134" s="92">
        <f>Tabla1[[#This Row],[VALOR  A PAGAR]]-Tabla1[[#This Row],[VALOR GANADO]]</f>
        <v>12250</v>
      </c>
      <c r="AA134" s="64"/>
    </row>
    <row r="135" spans="3:27" ht="18.75" x14ac:dyDescent="0.25">
      <c r="C135" s="71">
        <v>44489</v>
      </c>
      <c r="D135" s="507">
        <f>YEAR(Tabla1[[#This Row],[FECHA]])</f>
        <v>2021</v>
      </c>
      <c r="E135" s="72">
        <f>_xlfn.ISOWEEKNUM(Tabla1[[#This Row],[FECHA]])</f>
        <v>42</v>
      </c>
      <c r="F135" s="72" t="s">
        <v>152</v>
      </c>
      <c r="G135" s="73" t="s">
        <v>29</v>
      </c>
      <c r="H135" s="74">
        <v>189</v>
      </c>
      <c r="I135" s="72">
        <v>41</v>
      </c>
      <c r="J135" s="72">
        <v>12</v>
      </c>
      <c r="K135" s="75"/>
      <c r="L135" s="93"/>
      <c r="M135" s="75">
        <f>+Tabla1[[#This Row],[Rasimos Cosechados]]-Tabla1[[#This Row],[Rasimos Prosesados]]</f>
        <v>0</v>
      </c>
      <c r="N135" s="77">
        <f>+Tabla1[[#This Row],[Rasimos Cosechados]]/Tabla1[[#This Row],[Cajas Elaboradas]]</f>
        <v>0</v>
      </c>
      <c r="O135" s="78">
        <f>+Tabla1[[#This Row],[Rasimos Prosesados]]/Tabla1[[#This Row],[Cajas Elaboradas]]</f>
        <v>0</v>
      </c>
      <c r="P135" s="81">
        <f>IF(H135,'DATOS PARA CALCULO'!D$18,0)</f>
        <v>1500</v>
      </c>
      <c r="Q135" s="80">
        <f>IF(I135,'DATOS PARA CALCULO'!D$22,0)</f>
        <v>500</v>
      </c>
      <c r="R135" s="81">
        <f t="shared" si="24"/>
        <v>283500</v>
      </c>
      <c r="S135" s="80">
        <f t="shared" si="25"/>
        <v>20500</v>
      </c>
      <c r="T135" s="81">
        <f t="shared" si="26"/>
        <v>304000</v>
      </c>
      <c r="U135" s="80">
        <f>IF('CAJAS ELABORADAS'!$J135&gt;0,'CAJAS ELABORADAS'!$Y135*'CAJAS ELABORADAS'!$J135,0)</f>
        <v>360000</v>
      </c>
      <c r="V135" s="82">
        <f>'CAJAS ELABORADAS'!$Y135/'DATOS PARA CALCULO'!$D$27</f>
        <v>1</v>
      </c>
      <c r="W135" s="79">
        <f>(Tabla1[[#This Row],[Valor Pagado]]-Tabla1[[#This Row],[PRODUCIDO BOLSAS]])/Tabla1[[#This Row],[Cajas Elaboradas]]</f>
        <v>1796.2962962962963</v>
      </c>
      <c r="X135" s="83">
        <f t="shared" si="27"/>
        <v>25333.333333333332</v>
      </c>
      <c r="Y135" s="84">
        <f>IF('CAJAS ELABORADAS'!$X135&lt;'DATOS PARA CALCULO'!$D$27,'DATOS PARA CALCULO'!$D$27,'CAJAS ELABORADAS'!$X135)</f>
        <v>30000</v>
      </c>
      <c r="Z135" s="94">
        <f>Tabla1[[#This Row],[VALOR  A PAGAR]]-Tabla1[[#This Row],[VALOR GANADO]]</f>
        <v>4666.6666666666679</v>
      </c>
      <c r="AA135" s="64"/>
    </row>
    <row r="136" spans="3:27" ht="18.75" x14ac:dyDescent="0.25">
      <c r="C136" s="71">
        <v>44489</v>
      </c>
      <c r="D136" s="507">
        <f>YEAR(Tabla1[[#This Row],[FECHA]])</f>
        <v>2021</v>
      </c>
      <c r="E136" s="72">
        <f>_xlfn.ISOWEEKNUM(Tabla1[[#This Row],[FECHA]])</f>
        <v>42</v>
      </c>
      <c r="F136" s="57" t="s">
        <v>155</v>
      </c>
      <c r="G136" s="73" t="s">
        <v>28</v>
      </c>
      <c r="H136" s="74">
        <v>62</v>
      </c>
      <c r="I136" s="72">
        <v>108</v>
      </c>
      <c r="J136" s="72">
        <v>8</v>
      </c>
      <c r="K136" s="75"/>
      <c r="L136" s="93"/>
      <c r="M136" s="75">
        <f>+Tabla1[[#This Row],[Rasimos Cosechados]]-Tabla1[[#This Row],[Rasimos Prosesados]]</f>
        <v>0</v>
      </c>
      <c r="N136" s="77">
        <f>+Tabla1[[#This Row],[Rasimos Cosechados]]/Tabla1[[#This Row],[Cajas Elaboradas]]</f>
        <v>0</v>
      </c>
      <c r="O136" s="78">
        <f>+Tabla1[[#This Row],[Rasimos Prosesados]]/Tabla1[[#This Row],[Cajas Elaboradas]]</f>
        <v>0</v>
      </c>
      <c r="P136" s="81">
        <f>IF(H136,'DATOS PARA CALCULO'!D$18,0)</f>
        <v>1500</v>
      </c>
      <c r="Q136" s="80">
        <f>IF(I136,'DATOS PARA CALCULO'!D$22,0)</f>
        <v>500</v>
      </c>
      <c r="R136" s="81">
        <f t="shared" si="24"/>
        <v>93000</v>
      </c>
      <c r="S136" s="80">
        <f t="shared" si="25"/>
        <v>54000</v>
      </c>
      <c r="T136" s="81">
        <f t="shared" si="26"/>
        <v>147000</v>
      </c>
      <c r="U136" s="80">
        <f>IF('CAJAS ELABORADAS'!$J136&gt;0,'CAJAS ELABORADAS'!$Y136*'CAJAS ELABORADAS'!$J136,0)</f>
        <v>240000</v>
      </c>
      <c r="V136" s="82">
        <f>'CAJAS ELABORADAS'!$Y136/'DATOS PARA CALCULO'!$D$27</f>
        <v>1</v>
      </c>
      <c r="W136" s="79">
        <f>(Tabla1[[#This Row],[Valor Pagado]]-Tabla1[[#This Row],[PRODUCIDO BOLSAS]])/Tabla1[[#This Row],[Cajas Elaboradas]]</f>
        <v>3000</v>
      </c>
      <c r="X136" s="83">
        <f t="shared" si="27"/>
        <v>18375</v>
      </c>
      <c r="Y136" s="84">
        <f>IF('CAJAS ELABORADAS'!$X136&lt;'DATOS PARA CALCULO'!$D$27,'DATOS PARA CALCULO'!$D$27,'CAJAS ELABORADAS'!$X136)</f>
        <v>30000</v>
      </c>
      <c r="Z136" s="94">
        <f>Tabla1[[#This Row],[VALOR  A PAGAR]]-Tabla1[[#This Row],[VALOR GANADO]]</f>
        <v>11625</v>
      </c>
      <c r="AA136" s="64"/>
    </row>
    <row r="137" spans="3:27" ht="18.75" x14ac:dyDescent="0.25">
      <c r="C137" s="71">
        <v>44495</v>
      </c>
      <c r="D137" s="507">
        <f>YEAR(Tabla1[[#This Row],[FECHA]])</f>
        <v>2021</v>
      </c>
      <c r="E137" s="72">
        <f>_xlfn.ISOWEEKNUM(Tabla1[[#This Row],[FECHA]])</f>
        <v>43</v>
      </c>
      <c r="F137" s="72" t="s">
        <v>152</v>
      </c>
      <c r="G137" s="73" t="s">
        <v>29</v>
      </c>
      <c r="H137" s="74">
        <v>225</v>
      </c>
      <c r="I137" s="72">
        <v>50</v>
      </c>
      <c r="J137" s="72">
        <v>12</v>
      </c>
      <c r="K137" s="75">
        <v>983</v>
      </c>
      <c r="L137" s="93">
        <f>7+7+5+8+4</f>
        <v>31</v>
      </c>
      <c r="M137" s="75">
        <f>+Tabla1[[#This Row],[Rasimos Cosechados]]-Tabla1[[#This Row],[Rasimos Prosesados]]</f>
        <v>952</v>
      </c>
      <c r="N137" s="77">
        <f>+Tabla1[[#This Row],[Rasimos Cosechados]]/Tabla1[[#This Row],[Cajas Elaboradas]]</f>
        <v>4.3688888888888888</v>
      </c>
      <c r="O137" s="78">
        <f>+Tabla1[[#This Row],[Rasimos Prosesados]]/Tabla1[[#This Row],[Cajas Elaboradas]]</f>
        <v>0.13777777777777778</v>
      </c>
      <c r="P137" s="81">
        <f>IF(H137,'DATOS PARA CALCULO'!D$18,0)</f>
        <v>1500</v>
      </c>
      <c r="Q137" s="80">
        <f>IF(I137,'DATOS PARA CALCULO'!D$22,0)</f>
        <v>500</v>
      </c>
      <c r="R137" s="81">
        <f t="shared" si="24"/>
        <v>337500</v>
      </c>
      <c r="S137" s="80">
        <f t="shared" si="25"/>
        <v>25000</v>
      </c>
      <c r="T137" s="81">
        <f t="shared" si="26"/>
        <v>362500</v>
      </c>
      <c r="U137" s="80">
        <f>IF('CAJAS ELABORADAS'!$J137&gt;0,'CAJAS ELABORADAS'!$Y137*'CAJAS ELABORADAS'!$J137,0)</f>
        <v>362500</v>
      </c>
      <c r="V137" s="82">
        <f>'CAJAS ELABORADAS'!$Y137/'DATOS PARA CALCULO'!$D$27</f>
        <v>1.0069444444444444</v>
      </c>
      <c r="W137" s="79">
        <f>(Tabla1[[#This Row],[Valor Pagado]]-Tabla1[[#This Row],[PRODUCIDO BOLSAS]])/Tabla1[[#This Row],[Cajas Elaboradas]]</f>
        <v>1500</v>
      </c>
      <c r="X137" s="83">
        <f t="shared" si="27"/>
        <v>30208.333333333332</v>
      </c>
      <c r="Y137" s="84">
        <f>IF('CAJAS ELABORADAS'!$X137&lt;'DATOS PARA CALCULO'!$D$27,'DATOS PARA CALCULO'!$D$27,'CAJAS ELABORADAS'!$X137)</f>
        <v>30208.333333333332</v>
      </c>
      <c r="Z137" s="94">
        <f>Tabla1[[#This Row],[VALOR  A PAGAR]]-Tabla1[[#This Row],[VALOR GANADO]]</f>
        <v>0</v>
      </c>
      <c r="AA137" s="64"/>
    </row>
    <row r="138" spans="3:27" ht="18.75" x14ac:dyDescent="0.25">
      <c r="C138" s="71">
        <v>44495</v>
      </c>
      <c r="D138" s="507">
        <f>YEAR(Tabla1[[#This Row],[FECHA]])</f>
        <v>2021</v>
      </c>
      <c r="E138" s="72">
        <f>_xlfn.ISOWEEKNUM(Tabla1[[#This Row],[FECHA]])</f>
        <v>43</v>
      </c>
      <c r="F138" s="72" t="s">
        <v>153</v>
      </c>
      <c r="G138" s="73" t="s">
        <v>30</v>
      </c>
      <c r="H138" s="74">
        <v>86</v>
      </c>
      <c r="I138" s="72">
        <v>25</v>
      </c>
      <c r="J138" s="72">
        <v>7</v>
      </c>
      <c r="K138" s="75"/>
      <c r="L138" s="93"/>
      <c r="M138" s="75">
        <f>+Tabla1[[#This Row],[Rasimos Cosechados]]-Tabla1[[#This Row],[Rasimos Prosesados]]</f>
        <v>0</v>
      </c>
      <c r="N138" s="77">
        <f>+Tabla1[[#This Row],[Rasimos Cosechados]]/Tabla1[[#This Row],[Cajas Elaboradas]]</f>
        <v>0</v>
      </c>
      <c r="O138" s="78">
        <f>+Tabla1[[#This Row],[Rasimos Prosesados]]/Tabla1[[#This Row],[Cajas Elaboradas]]</f>
        <v>0</v>
      </c>
      <c r="P138" s="81">
        <f>IF(H138,'DATOS PARA CALCULO'!D$18,0)</f>
        <v>1500</v>
      </c>
      <c r="Q138" s="80">
        <f>IF(I138,'DATOS PARA CALCULO'!D$22,0)</f>
        <v>500</v>
      </c>
      <c r="R138" s="81">
        <f t="shared" si="24"/>
        <v>129000</v>
      </c>
      <c r="S138" s="80">
        <f t="shared" si="25"/>
        <v>12500</v>
      </c>
      <c r="T138" s="81">
        <f t="shared" si="26"/>
        <v>141500</v>
      </c>
      <c r="U138" s="80">
        <f>IF('CAJAS ELABORADAS'!$J138&gt;0,'CAJAS ELABORADAS'!$Y138*'CAJAS ELABORADAS'!$J138,0)</f>
        <v>210000</v>
      </c>
      <c r="V138" s="82">
        <f>'CAJAS ELABORADAS'!$Y138/'DATOS PARA CALCULO'!$D$27</f>
        <v>1</v>
      </c>
      <c r="W138" s="79">
        <f>(Tabla1[[#This Row],[Valor Pagado]]-Tabla1[[#This Row],[PRODUCIDO BOLSAS]])/Tabla1[[#This Row],[Cajas Elaboradas]]</f>
        <v>2296.5116279069766</v>
      </c>
      <c r="X138" s="83">
        <f t="shared" si="27"/>
        <v>20214.285714285714</v>
      </c>
      <c r="Y138" s="84">
        <f>IF('CAJAS ELABORADAS'!$X138&lt;'DATOS PARA CALCULO'!$D$27,'DATOS PARA CALCULO'!$D$27,'CAJAS ELABORADAS'!$X138)</f>
        <v>30000</v>
      </c>
      <c r="Z138" s="94">
        <f>Tabla1[[#This Row],[VALOR  A PAGAR]]-Tabla1[[#This Row],[VALOR GANADO]]</f>
        <v>9785.7142857142862</v>
      </c>
      <c r="AA138" s="64"/>
    </row>
    <row r="139" spans="3:27" ht="18.75" x14ac:dyDescent="0.25">
      <c r="C139" s="71">
        <v>44496</v>
      </c>
      <c r="D139" s="507">
        <f>YEAR(Tabla1[[#This Row],[FECHA]])</f>
        <v>2021</v>
      </c>
      <c r="E139" s="72">
        <f>_xlfn.ISOWEEKNUM(Tabla1[[#This Row],[FECHA]])</f>
        <v>43</v>
      </c>
      <c r="F139" s="72" t="s">
        <v>152</v>
      </c>
      <c r="G139" s="73" t="s">
        <v>29</v>
      </c>
      <c r="H139" s="74">
        <v>185</v>
      </c>
      <c r="I139" s="72">
        <v>50</v>
      </c>
      <c r="J139" s="72">
        <v>11</v>
      </c>
      <c r="K139" s="75">
        <v>867</v>
      </c>
      <c r="L139" s="93">
        <f>4+7+11+10+15+4+2</f>
        <v>53</v>
      </c>
      <c r="M139" s="75">
        <f>+Tabla1[[#This Row],[Rasimos Cosechados]]-Tabla1[[#This Row],[Rasimos Prosesados]]</f>
        <v>814</v>
      </c>
      <c r="N139" s="77">
        <f>+Tabla1[[#This Row],[Rasimos Cosechados]]/Tabla1[[#This Row],[Cajas Elaboradas]]</f>
        <v>4.6864864864864861</v>
      </c>
      <c r="O139" s="78">
        <f>+Tabla1[[#This Row],[Rasimos Prosesados]]/Tabla1[[#This Row],[Cajas Elaboradas]]</f>
        <v>0.2864864864864865</v>
      </c>
      <c r="P139" s="81">
        <f>IF(H139,'DATOS PARA CALCULO'!D$18,0)</f>
        <v>1500</v>
      </c>
      <c r="Q139" s="80">
        <f>IF(I139,'DATOS PARA CALCULO'!D$22,0)</f>
        <v>500</v>
      </c>
      <c r="R139" s="81">
        <f t="shared" si="24"/>
        <v>277500</v>
      </c>
      <c r="S139" s="80">
        <f t="shared" si="25"/>
        <v>25000</v>
      </c>
      <c r="T139" s="81">
        <f t="shared" si="26"/>
        <v>302500</v>
      </c>
      <c r="U139" s="80">
        <f>IF('CAJAS ELABORADAS'!$J139&gt;0,'CAJAS ELABORADAS'!$Y139*'CAJAS ELABORADAS'!$J139,0)</f>
        <v>330000</v>
      </c>
      <c r="V139" s="82">
        <f>'CAJAS ELABORADAS'!$Y139/'DATOS PARA CALCULO'!$D$27</f>
        <v>1</v>
      </c>
      <c r="W139" s="79">
        <f>(Tabla1[[#This Row],[Valor Pagado]]-Tabla1[[#This Row],[PRODUCIDO BOLSAS]])/Tabla1[[#This Row],[Cajas Elaboradas]]</f>
        <v>1648.6486486486488</v>
      </c>
      <c r="X139" s="83">
        <f t="shared" si="27"/>
        <v>27500</v>
      </c>
      <c r="Y139" s="84">
        <f>IF('CAJAS ELABORADAS'!$X139&lt;'DATOS PARA CALCULO'!$D$27,'DATOS PARA CALCULO'!$D$27,'CAJAS ELABORADAS'!$X139)</f>
        <v>30000</v>
      </c>
      <c r="Z139" s="94">
        <f>Tabla1[[#This Row],[VALOR  A PAGAR]]-Tabla1[[#This Row],[VALOR GANADO]]</f>
        <v>2500</v>
      </c>
      <c r="AA139" s="64"/>
    </row>
    <row r="140" spans="3:27" ht="18.75" x14ac:dyDescent="0.25">
      <c r="C140" s="71">
        <v>44496</v>
      </c>
      <c r="D140" s="507">
        <f>YEAR(Tabla1[[#This Row],[FECHA]])</f>
        <v>2021</v>
      </c>
      <c r="E140" s="72">
        <f>_xlfn.ISOWEEKNUM(Tabla1[[#This Row],[FECHA]])</f>
        <v>43</v>
      </c>
      <c r="F140" s="57" t="s">
        <v>155</v>
      </c>
      <c r="G140" s="73" t="s">
        <v>28</v>
      </c>
      <c r="H140" s="74">
        <v>165</v>
      </c>
      <c r="I140" s="72">
        <v>75</v>
      </c>
      <c r="J140" s="72">
        <v>9</v>
      </c>
      <c r="K140" s="75"/>
      <c r="L140" s="93"/>
      <c r="M140" s="75">
        <f>+Tabla1[[#This Row],[Rasimos Cosechados]]-Tabla1[[#This Row],[Rasimos Prosesados]]</f>
        <v>0</v>
      </c>
      <c r="N140" s="77">
        <f>+Tabla1[[#This Row],[Rasimos Cosechados]]/Tabla1[[#This Row],[Cajas Elaboradas]]</f>
        <v>0</v>
      </c>
      <c r="O140" s="78">
        <f>+Tabla1[[#This Row],[Rasimos Prosesados]]/Tabla1[[#This Row],[Cajas Elaboradas]]</f>
        <v>0</v>
      </c>
      <c r="P140" s="81">
        <f>IF(H140,'DATOS PARA CALCULO'!D$18,0)</f>
        <v>1500</v>
      </c>
      <c r="Q140" s="80">
        <f>IF(I140,'DATOS PARA CALCULO'!D$22,0)</f>
        <v>500</v>
      </c>
      <c r="R140" s="81">
        <f t="shared" si="24"/>
        <v>247500</v>
      </c>
      <c r="S140" s="80">
        <f t="shared" si="25"/>
        <v>37500</v>
      </c>
      <c r="T140" s="81">
        <f t="shared" si="26"/>
        <v>285000</v>
      </c>
      <c r="U140" s="80">
        <f>IF('CAJAS ELABORADAS'!$J140&gt;0,'CAJAS ELABORADAS'!$Y140*'CAJAS ELABORADAS'!$J140,0)</f>
        <v>285000</v>
      </c>
      <c r="V140" s="82">
        <f>'CAJAS ELABORADAS'!$Y140/'DATOS PARA CALCULO'!$D$27</f>
        <v>1.0555555555555556</v>
      </c>
      <c r="W140" s="79">
        <f>(Tabla1[[#This Row],[Valor Pagado]]-Tabla1[[#This Row],[PRODUCIDO BOLSAS]])/Tabla1[[#This Row],[Cajas Elaboradas]]</f>
        <v>1500</v>
      </c>
      <c r="X140" s="83">
        <f t="shared" si="27"/>
        <v>31666.666666666668</v>
      </c>
      <c r="Y140" s="84">
        <f>IF('CAJAS ELABORADAS'!$X140&lt;'DATOS PARA CALCULO'!$D$27,'DATOS PARA CALCULO'!$D$27,'CAJAS ELABORADAS'!$X140)</f>
        <v>31666.666666666668</v>
      </c>
      <c r="Z140" s="94">
        <f>Tabla1[[#This Row],[VALOR  A PAGAR]]-Tabla1[[#This Row],[VALOR GANADO]]</f>
        <v>0</v>
      </c>
      <c r="AA140" s="64"/>
    </row>
    <row r="141" spans="3:27" ht="18.75" x14ac:dyDescent="0.25">
      <c r="C141" s="71">
        <v>44496</v>
      </c>
      <c r="D141" s="507">
        <f>YEAR(Tabla1[[#This Row],[FECHA]])</f>
        <v>2021</v>
      </c>
      <c r="E141" s="72">
        <f>_xlfn.ISOWEEKNUM(Tabla1[[#This Row],[FECHA]])</f>
        <v>43</v>
      </c>
      <c r="F141" s="72" t="s">
        <v>157</v>
      </c>
      <c r="G141" s="73" t="s">
        <v>31</v>
      </c>
      <c r="H141" s="74">
        <v>121</v>
      </c>
      <c r="I141" s="72">
        <v>55</v>
      </c>
      <c r="J141" s="72">
        <v>12</v>
      </c>
      <c r="K141" s="75">
        <v>859</v>
      </c>
      <c r="L141" s="93">
        <v>175</v>
      </c>
      <c r="M141" s="75">
        <f>+Tabla1[[#This Row],[Rasimos Cosechados]]-Tabla1[[#This Row],[Rasimos Prosesados]]</f>
        <v>684</v>
      </c>
      <c r="N141" s="77">
        <f>+Tabla1[[#This Row],[Rasimos Cosechados]]/Tabla1[[#This Row],[Cajas Elaboradas]]</f>
        <v>7.0991735537190079</v>
      </c>
      <c r="O141" s="78">
        <f>+Tabla1[[#This Row],[Rasimos Prosesados]]/Tabla1[[#This Row],[Cajas Elaboradas]]</f>
        <v>1.4462809917355373</v>
      </c>
      <c r="P141" s="81">
        <f>IF(H141,'DATOS PARA CALCULO'!D$34,0)</f>
        <v>3000</v>
      </c>
      <c r="Q141" s="80">
        <f>IF(I141,'DATOS PARA CALCULO'!D$22,0)</f>
        <v>500</v>
      </c>
      <c r="R141" s="81">
        <f t="shared" si="24"/>
        <v>363000</v>
      </c>
      <c r="S141" s="80">
        <f t="shared" si="25"/>
        <v>27500</v>
      </c>
      <c r="T141" s="81">
        <f t="shared" si="26"/>
        <v>390500</v>
      </c>
      <c r="U141" s="80">
        <f>IF('CAJAS ELABORADAS'!$J141&gt;0,'CAJAS ELABORADAS'!$Y141*'CAJAS ELABORADAS'!$J141,0)</f>
        <v>390500</v>
      </c>
      <c r="V141" s="82">
        <f>'CAJAS ELABORADAS'!$Y141/'DATOS PARA CALCULO'!$D$27</f>
        <v>1.0847222222222224</v>
      </c>
      <c r="W141" s="79">
        <f>(Tabla1[[#This Row],[Valor Pagado]]-Tabla1[[#This Row],[PRODUCIDO BOLSAS]])/Tabla1[[#This Row],[Cajas Elaboradas]]</f>
        <v>3000</v>
      </c>
      <c r="X141" s="83">
        <f t="shared" si="27"/>
        <v>32541.666666666668</v>
      </c>
      <c r="Y141" s="84">
        <f>IF('CAJAS ELABORADAS'!$X141&lt;'DATOS PARA CALCULO'!$D$27,'DATOS PARA CALCULO'!$D$27,'CAJAS ELABORADAS'!$X141)</f>
        <v>32541.666666666668</v>
      </c>
      <c r="Z141" s="94">
        <f>Tabla1[[#This Row],[VALOR  A PAGAR]]-Tabla1[[#This Row],[VALOR GANADO]]</f>
        <v>0</v>
      </c>
      <c r="AA141" s="64"/>
    </row>
    <row r="142" spans="3:27" ht="18.75" x14ac:dyDescent="0.25">
      <c r="C142" s="71">
        <v>44497</v>
      </c>
      <c r="D142" s="507">
        <f>YEAR(Tabla1[[#This Row],[FECHA]])</f>
        <v>2021</v>
      </c>
      <c r="E142" s="72">
        <f>_xlfn.ISOWEEKNUM(Tabla1[[#This Row],[FECHA]])</f>
        <v>43</v>
      </c>
      <c r="F142" s="72" t="s">
        <v>157</v>
      </c>
      <c r="G142" s="73" t="s">
        <v>31</v>
      </c>
      <c r="H142" s="74">
        <v>50</v>
      </c>
      <c r="I142" s="72">
        <f>8*10.12</f>
        <v>80.959999999999994</v>
      </c>
      <c r="J142" s="72">
        <v>10</v>
      </c>
      <c r="K142" s="75"/>
      <c r="L142" s="93"/>
      <c r="M142" s="75">
        <f>+Tabla1[[#This Row],[Rasimos Cosechados]]-Tabla1[[#This Row],[Rasimos Prosesados]]</f>
        <v>0</v>
      </c>
      <c r="N142" s="77">
        <f>+Tabla1[[#This Row],[Rasimos Cosechados]]/Tabla1[[#This Row],[Cajas Elaboradas]]</f>
        <v>0</v>
      </c>
      <c r="O142" s="78">
        <f>+Tabla1[[#This Row],[Rasimos Prosesados]]/Tabla1[[#This Row],[Cajas Elaboradas]]</f>
        <v>0</v>
      </c>
      <c r="P142" s="81">
        <f>IF(H142,'DATOS PARA CALCULO'!D$34,0)</f>
        <v>3000</v>
      </c>
      <c r="Q142" s="80">
        <f>IF(I142,'DATOS PARA CALCULO'!D$22,0)</f>
        <v>500</v>
      </c>
      <c r="R142" s="81">
        <f t="shared" si="24"/>
        <v>150000</v>
      </c>
      <c r="S142" s="80">
        <f t="shared" si="25"/>
        <v>40480</v>
      </c>
      <c r="T142" s="81">
        <f t="shared" si="26"/>
        <v>190480</v>
      </c>
      <c r="U142" s="80">
        <f>IF('CAJAS ELABORADAS'!$J142&gt;0,'CAJAS ELABORADAS'!$Y142*'CAJAS ELABORADAS'!$J142,0)</f>
        <v>300000</v>
      </c>
      <c r="V142" s="82">
        <f>'CAJAS ELABORADAS'!$Y142/'DATOS PARA CALCULO'!$D$27</f>
        <v>1</v>
      </c>
      <c r="W142" s="79">
        <f>(Tabla1[[#This Row],[Valor Pagado]]-Tabla1[[#This Row],[PRODUCIDO BOLSAS]])/Tabla1[[#This Row],[Cajas Elaboradas]]</f>
        <v>5190.3999999999996</v>
      </c>
      <c r="X142" s="83">
        <f t="shared" si="27"/>
        <v>19048</v>
      </c>
      <c r="Y142" s="84">
        <f>IF('CAJAS ELABORADAS'!$X142&lt;'DATOS PARA CALCULO'!$D$27,'DATOS PARA CALCULO'!$D$27,'CAJAS ELABORADAS'!$X142)</f>
        <v>30000</v>
      </c>
      <c r="Z142" s="94">
        <f>Tabla1[[#This Row],[VALOR  A PAGAR]]-Tabla1[[#This Row],[VALOR GANADO]]</f>
        <v>10952</v>
      </c>
      <c r="AA142" s="64"/>
    </row>
    <row r="143" spans="3:27" ht="18.75" x14ac:dyDescent="0.25">
      <c r="C143" s="71">
        <v>44502</v>
      </c>
      <c r="D143" s="507">
        <f>YEAR(Tabla1[[#This Row],[FECHA]])</f>
        <v>2021</v>
      </c>
      <c r="E143" s="72">
        <f>_xlfn.ISOWEEKNUM(Tabla1[[#This Row],[FECHA]])</f>
        <v>44</v>
      </c>
      <c r="F143" s="72" t="s">
        <v>153</v>
      </c>
      <c r="G143" s="73" t="s">
        <v>35</v>
      </c>
      <c r="H143" s="74">
        <v>81</v>
      </c>
      <c r="I143" s="72">
        <v>39</v>
      </c>
      <c r="J143" s="72">
        <v>6</v>
      </c>
      <c r="K143" s="75"/>
      <c r="L143" s="93"/>
      <c r="M143" s="75">
        <f>+Tabla1[[#This Row],[Rasimos Cosechados]]-Tabla1[[#This Row],[Rasimos Prosesados]]</f>
        <v>0</v>
      </c>
      <c r="N143" s="77">
        <f>+Tabla1[[#This Row],[Rasimos Cosechados]]/Tabla1[[#This Row],[Cajas Elaboradas]]</f>
        <v>0</v>
      </c>
      <c r="O143" s="78">
        <f>+Tabla1[[#This Row],[Rasimos Prosesados]]/Tabla1[[#This Row],[Cajas Elaboradas]]</f>
        <v>0</v>
      </c>
      <c r="P143" s="81">
        <f>IF(H143,'DATOS PARA CALCULO'!D$18,0)</f>
        <v>1500</v>
      </c>
      <c r="Q143" s="80">
        <f>IF(I143,'DATOS PARA CALCULO'!D$22,0)</f>
        <v>500</v>
      </c>
      <c r="R143" s="81">
        <f t="shared" si="24"/>
        <v>121500</v>
      </c>
      <c r="S143" s="80">
        <f t="shared" si="25"/>
        <v>19500</v>
      </c>
      <c r="T143" s="81">
        <f t="shared" si="26"/>
        <v>141000</v>
      </c>
      <c r="U143" s="80">
        <f>IF('CAJAS ELABORADAS'!$J143&gt;0,'CAJAS ELABORADAS'!$Y143*'CAJAS ELABORADAS'!$J143,0)</f>
        <v>180000</v>
      </c>
      <c r="V143" s="82">
        <f>'CAJAS ELABORADAS'!$Y143/'DATOS PARA CALCULO'!$D$27</f>
        <v>1</v>
      </c>
      <c r="W143" s="79">
        <f>(Tabla1[[#This Row],[Valor Pagado]]-Tabla1[[#This Row],[PRODUCIDO BOLSAS]])/Tabla1[[#This Row],[Cajas Elaboradas]]</f>
        <v>1981.4814814814815</v>
      </c>
      <c r="X143" s="83">
        <f t="shared" si="27"/>
        <v>23500</v>
      </c>
      <c r="Y143" s="84">
        <f>IF('CAJAS ELABORADAS'!$X143&lt;'DATOS PARA CALCULO'!$D$27,'DATOS PARA CALCULO'!$D$27,'CAJAS ELABORADAS'!$X143)</f>
        <v>30000</v>
      </c>
      <c r="Z143" s="94">
        <f>Tabla1[[#This Row],[VALOR  A PAGAR]]-Tabla1[[#This Row],[VALOR GANADO]]</f>
        <v>6500</v>
      </c>
      <c r="AA143" s="64"/>
    </row>
    <row r="144" spans="3:27" ht="18.75" x14ac:dyDescent="0.25">
      <c r="C144" s="71">
        <v>44502</v>
      </c>
      <c r="D144" s="507">
        <f>YEAR(Tabla1[[#This Row],[FECHA]])</f>
        <v>2021</v>
      </c>
      <c r="E144" s="72">
        <f>_xlfn.ISOWEEKNUM(Tabla1[[#This Row],[FECHA]])</f>
        <v>44</v>
      </c>
      <c r="F144" s="72" t="s">
        <v>152</v>
      </c>
      <c r="G144" s="73" t="s">
        <v>29</v>
      </c>
      <c r="H144" s="74">
        <v>293</v>
      </c>
      <c r="I144" s="72">
        <v>40</v>
      </c>
      <c r="J144" s="72">
        <v>14</v>
      </c>
      <c r="K144" s="75"/>
      <c r="L144" s="93"/>
      <c r="M144" s="75">
        <f>+Tabla1[[#This Row],[Rasimos Cosechados]]-Tabla1[[#This Row],[Rasimos Prosesados]]</f>
        <v>0</v>
      </c>
      <c r="N144" s="77">
        <f>+Tabla1[[#This Row],[Rasimos Cosechados]]/Tabla1[[#This Row],[Cajas Elaboradas]]</f>
        <v>0</v>
      </c>
      <c r="O144" s="78">
        <f>+Tabla1[[#This Row],[Rasimos Prosesados]]/Tabla1[[#This Row],[Cajas Elaboradas]]</f>
        <v>0</v>
      </c>
      <c r="P144" s="81">
        <f>IF(H144,'DATOS PARA CALCULO'!D$18,0)</f>
        <v>1500</v>
      </c>
      <c r="Q144" s="80">
        <f>IF(I144,'DATOS PARA CALCULO'!D$22,0)</f>
        <v>500</v>
      </c>
      <c r="R144" s="81">
        <f t="shared" si="24"/>
        <v>439500</v>
      </c>
      <c r="S144" s="80">
        <f t="shared" si="25"/>
        <v>20000</v>
      </c>
      <c r="T144" s="81">
        <f t="shared" si="26"/>
        <v>459500</v>
      </c>
      <c r="U144" s="80">
        <f>IF('CAJAS ELABORADAS'!$J144&gt;0,'CAJAS ELABORADAS'!$Y144*'CAJAS ELABORADAS'!$J144,0)</f>
        <v>459500</v>
      </c>
      <c r="V144" s="82">
        <f>'CAJAS ELABORADAS'!$Y144/'DATOS PARA CALCULO'!$D$27</f>
        <v>1.0940476190476192</v>
      </c>
      <c r="W144" s="79">
        <f>(Tabla1[[#This Row],[Valor Pagado]]-Tabla1[[#This Row],[PRODUCIDO BOLSAS]])/Tabla1[[#This Row],[Cajas Elaboradas]]</f>
        <v>1500</v>
      </c>
      <c r="X144" s="83">
        <f t="shared" si="27"/>
        <v>32821.428571428572</v>
      </c>
      <c r="Y144" s="84">
        <f>IF('CAJAS ELABORADAS'!$X144&lt;'DATOS PARA CALCULO'!$D$27,'DATOS PARA CALCULO'!$D$27,'CAJAS ELABORADAS'!$X144)</f>
        <v>32821.428571428572</v>
      </c>
      <c r="Z144" s="94">
        <f>Tabla1[[#This Row],[VALOR  A PAGAR]]-Tabla1[[#This Row],[VALOR GANADO]]</f>
        <v>0</v>
      </c>
      <c r="AA144" s="64"/>
    </row>
    <row r="145" spans="3:27" ht="18.75" x14ac:dyDescent="0.25">
      <c r="C145" s="71">
        <v>44503</v>
      </c>
      <c r="D145" s="507">
        <f>YEAR(Tabla1[[#This Row],[FECHA]])</f>
        <v>2021</v>
      </c>
      <c r="E145" s="72">
        <f>_xlfn.ISOWEEKNUM(Tabla1[[#This Row],[FECHA]])</f>
        <v>44</v>
      </c>
      <c r="F145" s="72" t="s">
        <v>152</v>
      </c>
      <c r="G145" s="73" t="s">
        <v>29</v>
      </c>
      <c r="H145" s="74">
        <v>200</v>
      </c>
      <c r="I145" s="72">
        <v>40</v>
      </c>
      <c r="J145" s="72">
        <v>14</v>
      </c>
      <c r="K145" s="75"/>
      <c r="L145" s="93"/>
      <c r="M145" s="75">
        <f>+Tabla1[[#This Row],[Rasimos Cosechados]]-Tabla1[[#This Row],[Rasimos Prosesados]]</f>
        <v>0</v>
      </c>
      <c r="N145" s="77">
        <f>+Tabla1[[#This Row],[Rasimos Cosechados]]/Tabla1[[#This Row],[Cajas Elaboradas]]</f>
        <v>0</v>
      </c>
      <c r="O145" s="78">
        <f>+Tabla1[[#This Row],[Rasimos Prosesados]]/Tabla1[[#This Row],[Cajas Elaboradas]]</f>
        <v>0</v>
      </c>
      <c r="P145" s="81">
        <f>IF(H145,'DATOS PARA CALCULO'!D$18,0)</f>
        <v>1500</v>
      </c>
      <c r="Q145" s="80">
        <f>IF(I145,'DATOS PARA CALCULO'!D$22,0)</f>
        <v>500</v>
      </c>
      <c r="R145" s="81">
        <f t="shared" si="24"/>
        <v>300000</v>
      </c>
      <c r="S145" s="80">
        <f t="shared" si="25"/>
        <v>20000</v>
      </c>
      <c r="T145" s="81">
        <f t="shared" si="26"/>
        <v>320000</v>
      </c>
      <c r="U145" s="80">
        <f>IF('CAJAS ELABORADAS'!$J145&gt;0,'CAJAS ELABORADAS'!$Y145*'CAJAS ELABORADAS'!$J145,0)</f>
        <v>420000</v>
      </c>
      <c r="V145" s="82">
        <f>'CAJAS ELABORADAS'!$Y145/'DATOS PARA CALCULO'!$D$27</f>
        <v>1</v>
      </c>
      <c r="W145" s="79">
        <f>(Tabla1[[#This Row],[Valor Pagado]]-Tabla1[[#This Row],[PRODUCIDO BOLSAS]])/Tabla1[[#This Row],[Cajas Elaboradas]]</f>
        <v>2000</v>
      </c>
      <c r="X145" s="83">
        <f t="shared" si="27"/>
        <v>22857.142857142859</v>
      </c>
      <c r="Y145" s="84">
        <f>IF('CAJAS ELABORADAS'!$X145&lt;'DATOS PARA CALCULO'!$D$27,'DATOS PARA CALCULO'!$D$27,'CAJAS ELABORADAS'!$X145)</f>
        <v>30000</v>
      </c>
      <c r="Z145" s="94">
        <f>Tabla1[[#This Row],[VALOR  A PAGAR]]-Tabla1[[#This Row],[VALOR GANADO]]</f>
        <v>7142.8571428571413</v>
      </c>
      <c r="AA145" s="64"/>
    </row>
    <row r="146" spans="3:27" ht="18.75" x14ac:dyDescent="0.25">
      <c r="C146" s="71">
        <v>44509</v>
      </c>
      <c r="D146" s="507">
        <f>YEAR(Tabla1[[#This Row],[FECHA]])</f>
        <v>2021</v>
      </c>
      <c r="E146" s="72">
        <f>_xlfn.ISOWEEKNUM(Tabla1[[#This Row],[FECHA]])</f>
        <v>45</v>
      </c>
      <c r="F146" s="72" t="s">
        <v>152</v>
      </c>
      <c r="G146" s="73" t="s">
        <v>29</v>
      </c>
      <c r="H146" s="74">
        <f>273+30</f>
        <v>303</v>
      </c>
      <c r="I146" s="72">
        <v>28</v>
      </c>
      <c r="J146" s="72">
        <v>13</v>
      </c>
      <c r="K146" s="75"/>
      <c r="L146" s="93"/>
      <c r="M146" s="75">
        <f>+Tabla1[[#This Row],[Rasimos Cosechados]]-Tabla1[[#This Row],[Rasimos Prosesados]]</f>
        <v>0</v>
      </c>
      <c r="N146" s="77">
        <f>+Tabla1[[#This Row],[Rasimos Cosechados]]/Tabla1[[#This Row],[Cajas Elaboradas]]</f>
        <v>0</v>
      </c>
      <c r="O146" s="78">
        <f>+Tabla1[[#This Row],[Rasimos Prosesados]]/Tabla1[[#This Row],[Cajas Elaboradas]]</f>
        <v>0</v>
      </c>
      <c r="P146" s="81">
        <f>IF(H146,'DATOS PARA CALCULO'!D$18,0)</f>
        <v>1500</v>
      </c>
      <c r="Q146" s="80">
        <f>IF(I146,'DATOS PARA CALCULO'!D$22,0)</f>
        <v>500</v>
      </c>
      <c r="R146" s="81">
        <f t="shared" si="24"/>
        <v>454500</v>
      </c>
      <c r="S146" s="80">
        <f t="shared" si="25"/>
        <v>14000</v>
      </c>
      <c r="T146" s="81">
        <f t="shared" si="26"/>
        <v>468500</v>
      </c>
      <c r="U146" s="80">
        <f>IF('CAJAS ELABORADAS'!$J146&gt;0,'CAJAS ELABORADAS'!$Y146*'CAJAS ELABORADAS'!$J146,0)</f>
        <v>468500</v>
      </c>
      <c r="V146" s="82">
        <f>'CAJAS ELABORADAS'!$Y146/'DATOS PARA CALCULO'!$D$27</f>
        <v>1.2012820512820512</v>
      </c>
      <c r="W146" s="79">
        <f>(Tabla1[[#This Row],[Valor Pagado]]-Tabla1[[#This Row],[PRODUCIDO BOLSAS]])/Tabla1[[#This Row],[Cajas Elaboradas]]</f>
        <v>1500</v>
      </c>
      <c r="X146" s="83">
        <f t="shared" si="27"/>
        <v>36038.461538461539</v>
      </c>
      <c r="Y146" s="84">
        <f>IF('CAJAS ELABORADAS'!$X146&lt;'DATOS PARA CALCULO'!$D$27,'DATOS PARA CALCULO'!$D$27,'CAJAS ELABORADAS'!$X146)</f>
        <v>36038.461538461539</v>
      </c>
      <c r="Z146" s="94">
        <f>Tabla1[[#This Row],[VALOR  A PAGAR]]-Tabla1[[#This Row],[VALOR GANADO]]</f>
        <v>0</v>
      </c>
      <c r="AA146" s="64"/>
    </row>
    <row r="147" spans="3:27" ht="18.75" x14ac:dyDescent="0.25">
      <c r="C147" s="71">
        <v>44509</v>
      </c>
      <c r="D147" s="507">
        <f>YEAR(Tabla1[[#This Row],[FECHA]])</f>
        <v>2021</v>
      </c>
      <c r="E147" s="72">
        <f>_xlfn.ISOWEEKNUM(Tabla1[[#This Row],[FECHA]])</f>
        <v>45</v>
      </c>
      <c r="F147" s="72" t="s">
        <v>153</v>
      </c>
      <c r="G147" s="73" t="s">
        <v>30</v>
      </c>
      <c r="H147" s="74">
        <f>46+36</f>
        <v>82</v>
      </c>
      <c r="I147" s="72">
        <v>18</v>
      </c>
      <c r="J147" s="72">
        <v>5</v>
      </c>
      <c r="K147" s="75"/>
      <c r="L147" s="93"/>
      <c r="M147" s="75">
        <f>+Tabla1[[#This Row],[Rasimos Cosechados]]-Tabla1[[#This Row],[Rasimos Prosesados]]</f>
        <v>0</v>
      </c>
      <c r="N147" s="77">
        <f>+Tabla1[[#This Row],[Rasimos Cosechados]]/Tabla1[[#This Row],[Cajas Elaboradas]]</f>
        <v>0</v>
      </c>
      <c r="O147" s="78">
        <f>+Tabla1[[#This Row],[Rasimos Prosesados]]/Tabla1[[#This Row],[Cajas Elaboradas]]</f>
        <v>0</v>
      </c>
      <c r="P147" s="81">
        <f>IF(H147,'DATOS PARA CALCULO'!D$18,0)</f>
        <v>1500</v>
      </c>
      <c r="Q147" s="80">
        <f>IF(I147,'DATOS PARA CALCULO'!D$22,0)</f>
        <v>500</v>
      </c>
      <c r="R147" s="81">
        <f t="shared" si="24"/>
        <v>123000</v>
      </c>
      <c r="S147" s="80">
        <f t="shared" si="25"/>
        <v>9000</v>
      </c>
      <c r="T147" s="81">
        <f t="shared" si="26"/>
        <v>132000</v>
      </c>
      <c r="U147" s="80">
        <f>IF('CAJAS ELABORADAS'!$J147&gt;0,'CAJAS ELABORADAS'!$Y147*'CAJAS ELABORADAS'!$J147,0)</f>
        <v>150000</v>
      </c>
      <c r="V147" s="82">
        <f>'CAJAS ELABORADAS'!$Y147/'DATOS PARA CALCULO'!$D$27</f>
        <v>1</v>
      </c>
      <c r="W147" s="79">
        <f>(Tabla1[[#This Row],[Valor Pagado]]-Tabla1[[#This Row],[PRODUCIDO BOLSAS]])/Tabla1[[#This Row],[Cajas Elaboradas]]</f>
        <v>1719.5121951219512</v>
      </c>
      <c r="X147" s="83">
        <f t="shared" si="27"/>
        <v>26400</v>
      </c>
      <c r="Y147" s="84">
        <f>IF('CAJAS ELABORADAS'!$X147&lt;'DATOS PARA CALCULO'!$D$27,'DATOS PARA CALCULO'!$D$27,'CAJAS ELABORADAS'!$X147)</f>
        <v>30000</v>
      </c>
      <c r="Z147" s="94">
        <f>Tabla1[[#This Row],[VALOR  A PAGAR]]-Tabla1[[#This Row],[VALOR GANADO]]</f>
        <v>3600</v>
      </c>
      <c r="AA147" s="64"/>
    </row>
    <row r="148" spans="3:27" ht="18.75" x14ac:dyDescent="0.25">
      <c r="C148" s="71">
        <v>44510</v>
      </c>
      <c r="D148" s="507">
        <f>YEAR(Tabla1[[#This Row],[FECHA]])</f>
        <v>2021</v>
      </c>
      <c r="E148" s="72">
        <f>_xlfn.ISOWEEKNUM(Tabla1[[#This Row],[FECHA]])</f>
        <v>45</v>
      </c>
      <c r="F148" s="72" t="s">
        <v>152</v>
      </c>
      <c r="G148" s="73" t="s">
        <v>29</v>
      </c>
      <c r="H148" s="74">
        <f>250+62+10</f>
        <v>322</v>
      </c>
      <c r="I148" s="72">
        <v>32</v>
      </c>
      <c r="J148" s="72">
        <v>13</v>
      </c>
      <c r="K148" s="75"/>
      <c r="L148" s="93"/>
      <c r="M148" s="75">
        <f>+Tabla1[[#This Row],[Rasimos Cosechados]]-Tabla1[[#This Row],[Rasimos Prosesados]]</f>
        <v>0</v>
      </c>
      <c r="N148" s="77">
        <f>+Tabla1[[#This Row],[Rasimos Cosechados]]/Tabla1[[#This Row],[Cajas Elaboradas]]</f>
        <v>0</v>
      </c>
      <c r="O148" s="78">
        <f>+Tabla1[[#This Row],[Rasimos Prosesados]]/Tabla1[[#This Row],[Cajas Elaboradas]]</f>
        <v>0</v>
      </c>
      <c r="P148" s="81">
        <f>IF(H148,'DATOS PARA CALCULO'!D$18,0)</f>
        <v>1500</v>
      </c>
      <c r="Q148" s="80">
        <f>IF(I148,'DATOS PARA CALCULO'!D$22,0)</f>
        <v>500</v>
      </c>
      <c r="R148" s="81">
        <f t="shared" si="24"/>
        <v>483000</v>
      </c>
      <c r="S148" s="80">
        <f t="shared" si="25"/>
        <v>16000</v>
      </c>
      <c r="T148" s="81">
        <f t="shared" si="26"/>
        <v>499000</v>
      </c>
      <c r="U148" s="80">
        <f>IF('CAJAS ELABORADAS'!$J148&gt;0,'CAJAS ELABORADAS'!$Y148*'CAJAS ELABORADAS'!$J148,0)</f>
        <v>499000</v>
      </c>
      <c r="V148" s="82">
        <f>'CAJAS ELABORADAS'!$Y148/'DATOS PARA CALCULO'!$D$27</f>
        <v>1.2794871794871794</v>
      </c>
      <c r="W148" s="79">
        <f>(Tabla1[[#This Row],[Valor Pagado]]-Tabla1[[#This Row],[PRODUCIDO BOLSAS]])/Tabla1[[#This Row],[Cajas Elaboradas]]</f>
        <v>1500</v>
      </c>
      <c r="X148" s="83">
        <f t="shared" si="27"/>
        <v>38384.615384615383</v>
      </c>
      <c r="Y148" s="84">
        <f>IF('CAJAS ELABORADAS'!$X148&lt;'DATOS PARA CALCULO'!$D$27,'DATOS PARA CALCULO'!$D$27,'CAJAS ELABORADAS'!$X148)</f>
        <v>38384.615384615383</v>
      </c>
      <c r="Z148" s="94">
        <f>Tabla1[[#This Row],[VALOR  A PAGAR]]-Tabla1[[#This Row],[VALOR GANADO]]</f>
        <v>0</v>
      </c>
      <c r="AA148" s="64"/>
    </row>
    <row r="149" spans="3:27" ht="18.75" x14ac:dyDescent="0.25">
      <c r="C149" s="71">
        <v>44510</v>
      </c>
      <c r="D149" s="507">
        <f>YEAR(Tabla1[[#This Row],[FECHA]])</f>
        <v>2021</v>
      </c>
      <c r="E149" s="72">
        <f>_xlfn.ISOWEEKNUM(Tabla1[[#This Row],[FECHA]])</f>
        <v>45</v>
      </c>
      <c r="F149" s="72" t="s">
        <v>157</v>
      </c>
      <c r="G149" s="73" t="s">
        <v>31</v>
      </c>
      <c r="H149" s="74">
        <f>16*13</f>
        <v>208</v>
      </c>
      <c r="I149" s="72">
        <f>19*90/25</f>
        <v>68.400000000000006</v>
      </c>
      <c r="J149" s="72">
        <v>16</v>
      </c>
      <c r="K149" s="75"/>
      <c r="L149" s="93"/>
      <c r="M149" s="75">
        <f>+Tabla1[[#This Row],[Rasimos Cosechados]]-Tabla1[[#This Row],[Rasimos Prosesados]]</f>
        <v>0</v>
      </c>
      <c r="N149" s="77">
        <f>+Tabla1[[#This Row],[Rasimos Cosechados]]/Tabla1[[#This Row],[Cajas Elaboradas]]</f>
        <v>0</v>
      </c>
      <c r="O149" s="78">
        <f>+Tabla1[[#This Row],[Rasimos Prosesados]]/Tabla1[[#This Row],[Cajas Elaboradas]]</f>
        <v>0</v>
      </c>
      <c r="P149" s="81">
        <v>3000</v>
      </c>
      <c r="Q149" s="80">
        <f>IF(I149,'DATOS PARA CALCULO'!D$22,0)</f>
        <v>500</v>
      </c>
      <c r="R149" s="81">
        <f t="shared" si="24"/>
        <v>624000</v>
      </c>
      <c r="S149" s="80">
        <f t="shared" si="25"/>
        <v>34200</v>
      </c>
      <c r="T149" s="81">
        <f t="shared" si="26"/>
        <v>658200</v>
      </c>
      <c r="U149" s="80">
        <f>IF('CAJAS ELABORADAS'!$J149&gt;0,'CAJAS ELABORADAS'!$Y149*'CAJAS ELABORADAS'!$J149,0)</f>
        <v>658200</v>
      </c>
      <c r="V149" s="82">
        <f>'CAJAS ELABORADAS'!$Y149/'DATOS PARA CALCULO'!$D$27</f>
        <v>1.3712500000000001</v>
      </c>
      <c r="W149" s="79">
        <f>(Tabla1[[#This Row],[Valor Pagado]]-Tabla1[[#This Row],[PRODUCIDO BOLSAS]])/Tabla1[[#This Row],[Cajas Elaboradas]]</f>
        <v>3000</v>
      </c>
      <c r="X149" s="83">
        <f t="shared" si="27"/>
        <v>41137.5</v>
      </c>
      <c r="Y149" s="84">
        <f>IF('CAJAS ELABORADAS'!$X149&lt;'DATOS PARA CALCULO'!$D$27,'DATOS PARA CALCULO'!$D$27,'CAJAS ELABORADAS'!$X149)</f>
        <v>41137.5</v>
      </c>
      <c r="Z149" s="94">
        <f>Tabla1[[#This Row],[VALOR  A PAGAR]]-Tabla1[[#This Row],[VALOR GANADO]]</f>
        <v>0</v>
      </c>
      <c r="AA149" s="64"/>
    </row>
    <row r="150" spans="3:27" ht="18.75" x14ac:dyDescent="0.25">
      <c r="C150" s="71">
        <v>44510</v>
      </c>
      <c r="D150" s="507">
        <f>YEAR(Tabla1[[#This Row],[FECHA]])</f>
        <v>2021</v>
      </c>
      <c r="E150" s="72">
        <f>_xlfn.ISOWEEKNUM(Tabla1[[#This Row],[FECHA]])</f>
        <v>45</v>
      </c>
      <c r="F150" s="57" t="s">
        <v>155</v>
      </c>
      <c r="G150" s="73" t="s">
        <v>28</v>
      </c>
      <c r="H150" s="74">
        <v>196</v>
      </c>
      <c r="I150" s="72">
        <f>16*90/25</f>
        <v>57.6</v>
      </c>
      <c r="J150" s="72">
        <v>9</v>
      </c>
      <c r="K150" s="75"/>
      <c r="L150" s="93"/>
      <c r="M150" s="75">
        <f>+Tabla1[[#This Row],[Rasimos Cosechados]]-Tabla1[[#This Row],[Rasimos Prosesados]]</f>
        <v>0</v>
      </c>
      <c r="N150" s="77">
        <f>+Tabla1[[#This Row],[Rasimos Cosechados]]/Tabla1[[#This Row],[Cajas Elaboradas]]</f>
        <v>0</v>
      </c>
      <c r="O150" s="78">
        <f>+Tabla1[[#This Row],[Rasimos Prosesados]]/Tabla1[[#This Row],[Cajas Elaboradas]]</f>
        <v>0</v>
      </c>
      <c r="P150" s="81">
        <f>IF(H150,'DATOS PARA CALCULO'!D$18,0)</f>
        <v>1500</v>
      </c>
      <c r="Q150" s="80">
        <f>IF(I150,'DATOS PARA CALCULO'!D$22,0)</f>
        <v>500</v>
      </c>
      <c r="R150" s="81">
        <f t="shared" si="24"/>
        <v>294000</v>
      </c>
      <c r="S150" s="80">
        <f t="shared" si="25"/>
        <v>28800</v>
      </c>
      <c r="T150" s="81">
        <f t="shared" si="26"/>
        <v>322800</v>
      </c>
      <c r="U150" s="80">
        <f>IF('CAJAS ELABORADAS'!$J150&gt;0,'CAJAS ELABORADAS'!$Y150*'CAJAS ELABORADAS'!$J150,0)</f>
        <v>322800</v>
      </c>
      <c r="V150" s="82">
        <f>'CAJAS ELABORADAS'!$Y150/'DATOS PARA CALCULO'!$D$27</f>
        <v>1.1955555555555555</v>
      </c>
      <c r="W150" s="79">
        <f>(Tabla1[[#This Row],[Valor Pagado]]-Tabla1[[#This Row],[PRODUCIDO BOLSAS]])/Tabla1[[#This Row],[Cajas Elaboradas]]</f>
        <v>1500</v>
      </c>
      <c r="X150" s="83">
        <f t="shared" si="27"/>
        <v>35866.666666666664</v>
      </c>
      <c r="Y150" s="84">
        <f>IF('CAJAS ELABORADAS'!$X150&lt;'DATOS PARA CALCULO'!$D$27,'DATOS PARA CALCULO'!$D$27,'CAJAS ELABORADAS'!$X150)</f>
        <v>35866.666666666664</v>
      </c>
      <c r="Z150" s="94">
        <f>Tabla1[[#This Row],[VALOR  A PAGAR]]-Tabla1[[#This Row],[VALOR GANADO]]</f>
        <v>0</v>
      </c>
      <c r="AA150" s="64"/>
    </row>
    <row r="151" spans="3:27" ht="18.75" x14ac:dyDescent="0.25">
      <c r="C151" s="71">
        <v>44516</v>
      </c>
      <c r="D151" s="507">
        <f>YEAR(Tabla1[[#This Row],[FECHA]])</f>
        <v>2021</v>
      </c>
      <c r="E151" s="72">
        <f>_xlfn.ISOWEEKNUM(Tabla1[[#This Row],[FECHA]])</f>
        <v>46</v>
      </c>
      <c r="F151" s="72" t="s">
        <v>152</v>
      </c>
      <c r="G151" s="73" t="s">
        <v>29</v>
      </c>
      <c r="H151" s="74">
        <f>230+22</f>
        <v>252</v>
      </c>
      <c r="I151" s="72">
        <v>27</v>
      </c>
      <c r="J151" s="72">
        <v>12</v>
      </c>
      <c r="K151" s="86">
        <f>184+251+245+200+155</f>
        <v>1035</v>
      </c>
      <c r="L151" s="87">
        <v>0</v>
      </c>
      <c r="M151" s="86">
        <f>+Tabla1[[#This Row],[Rasimos Cosechados]]-Tabla1[[#This Row],[Rasimos Prosesados]]</f>
        <v>1035</v>
      </c>
      <c r="N151" s="88">
        <f>+Tabla1[[#This Row],[Rasimos Cosechados]]/Tabla1[[#This Row],[Cajas Elaboradas]]</f>
        <v>4.1071428571428568</v>
      </c>
      <c r="O151" s="89">
        <f>+Tabla1[[#This Row],[Rasimos Prosesados]]/Tabla1[[#This Row],[Cajas Elaboradas]]</f>
        <v>0</v>
      </c>
      <c r="P151" s="81">
        <f>IF(H151,'DATOS PARA CALCULO'!D$18,0)</f>
        <v>1500</v>
      </c>
      <c r="Q151" s="80">
        <f>IF(I151,'DATOS PARA CALCULO'!D$22,0)</f>
        <v>500</v>
      </c>
      <c r="R151" s="81">
        <f t="shared" ref="R151:R158" si="28">IF(P151&gt;0 &amp; H151&gt;0,H151*P151,)</f>
        <v>378000</v>
      </c>
      <c r="S151" s="80">
        <f t="shared" ref="S151:S158" si="29">IF(Q151&gt;0 &amp; I151&gt;0,I151*Q151,0)</f>
        <v>13500</v>
      </c>
      <c r="T151" s="81">
        <f t="shared" ref="T151:T158" si="30">S151+R151</f>
        <v>391500</v>
      </c>
      <c r="U151" s="80">
        <f>IF('CAJAS ELABORADAS'!$J151&gt;0,'CAJAS ELABORADAS'!$Y151*'CAJAS ELABORADAS'!$J151,0)</f>
        <v>391500</v>
      </c>
      <c r="V151" s="82">
        <f>'CAJAS ELABORADAS'!$Y151/'DATOS PARA CALCULO'!$D$27</f>
        <v>1.0874999999999999</v>
      </c>
      <c r="W151" s="79">
        <f>(Tabla1[[#This Row],[Valor Pagado]]-Tabla1[[#This Row],[PRODUCIDO BOLSAS]])/Tabla1[[#This Row],[Cajas Elaboradas]]</f>
        <v>1500</v>
      </c>
      <c r="X151" s="90">
        <f t="shared" ref="X151:X158" si="31">IF(J151&gt;0,T151/J151,0)</f>
        <v>32625</v>
      </c>
      <c r="Y151" s="91">
        <f>IF('CAJAS ELABORADAS'!$X151&lt;'DATOS PARA CALCULO'!$D$27,'DATOS PARA CALCULO'!$D$27,'CAJAS ELABORADAS'!$X151)</f>
        <v>32625</v>
      </c>
      <c r="Z151" s="92">
        <f>Tabla1[[#This Row],[VALOR  A PAGAR]]-Tabla1[[#This Row],[VALOR GANADO]]</f>
        <v>0</v>
      </c>
      <c r="AA151" s="64"/>
    </row>
    <row r="152" spans="3:27" ht="18.75" x14ac:dyDescent="0.25">
      <c r="C152" s="71">
        <v>44516</v>
      </c>
      <c r="D152" s="507">
        <f>YEAR(Tabla1[[#This Row],[FECHA]])</f>
        <v>2021</v>
      </c>
      <c r="E152" s="72">
        <f>_xlfn.ISOWEEKNUM(Tabla1[[#This Row],[FECHA]])</f>
        <v>46</v>
      </c>
      <c r="F152" s="72" t="s">
        <v>153</v>
      </c>
      <c r="G152" s="73" t="s">
        <v>30</v>
      </c>
      <c r="H152" s="74">
        <f>50+40</f>
        <v>90</v>
      </c>
      <c r="I152" s="72">
        <f>2.1*5</f>
        <v>10.5</v>
      </c>
      <c r="J152" s="72">
        <v>5</v>
      </c>
      <c r="K152" s="86">
        <f>203+187</f>
        <v>390</v>
      </c>
      <c r="L152" s="87">
        <f>390-18-24</f>
        <v>348</v>
      </c>
      <c r="M152" s="86">
        <f>+Tabla1[[#This Row],[Rasimos Cosechados]]-Tabla1[[#This Row],[Rasimos Prosesados]]</f>
        <v>42</v>
      </c>
      <c r="N152" s="88">
        <f>+Tabla1[[#This Row],[Rasimos Cosechados]]/Tabla1[[#This Row],[Cajas Elaboradas]]</f>
        <v>4.333333333333333</v>
      </c>
      <c r="O152" s="89">
        <f>+Tabla1[[#This Row],[Rasimos Prosesados]]/Tabla1[[#This Row],[Cajas Elaboradas]]</f>
        <v>3.8666666666666667</v>
      </c>
      <c r="P152" s="81">
        <f>IF(H152,'DATOS PARA CALCULO'!D$18,0)</f>
        <v>1500</v>
      </c>
      <c r="Q152" s="80">
        <f>IF(I152,'DATOS PARA CALCULO'!D$22,0)</f>
        <v>500</v>
      </c>
      <c r="R152" s="81">
        <f t="shared" si="28"/>
        <v>135000</v>
      </c>
      <c r="S152" s="80">
        <f t="shared" si="29"/>
        <v>5250</v>
      </c>
      <c r="T152" s="81">
        <f t="shared" si="30"/>
        <v>140250</v>
      </c>
      <c r="U152" s="80">
        <f>IF('CAJAS ELABORADAS'!$J152&gt;0,'CAJAS ELABORADAS'!$Y152*'CAJAS ELABORADAS'!$J152,0)</f>
        <v>150000</v>
      </c>
      <c r="V152" s="82">
        <f>'CAJAS ELABORADAS'!$Y152/'DATOS PARA CALCULO'!$D$27</f>
        <v>1</v>
      </c>
      <c r="W152" s="79">
        <f>(Tabla1[[#This Row],[Valor Pagado]]-Tabla1[[#This Row],[PRODUCIDO BOLSAS]])/Tabla1[[#This Row],[Cajas Elaboradas]]</f>
        <v>1608.3333333333333</v>
      </c>
      <c r="X152" s="90">
        <f t="shared" si="31"/>
        <v>28050</v>
      </c>
      <c r="Y152" s="91">
        <f>IF('CAJAS ELABORADAS'!$X152&lt;'DATOS PARA CALCULO'!$D$27,'DATOS PARA CALCULO'!$D$27,'CAJAS ELABORADAS'!$X152)</f>
        <v>30000</v>
      </c>
      <c r="Z152" s="92">
        <f>Tabla1[[#This Row],[VALOR  A PAGAR]]-Tabla1[[#This Row],[VALOR GANADO]]</f>
        <v>1950</v>
      </c>
      <c r="AA152" s="64"/>
    </row>
    <row r="153" spans="3:27" ht="18.75" x14ac:dyDescent="0.25">
      <c r="C153" s="71">
        <v>44517</v>
      </c>
      <c r="D153" s="507">
        <f>YEAR(Tabla1[[#This Row],[FECHA]])</f>
        <v>2021</v>
      </c>
      <c r="E153" s="72">
        <f>_xlfn.ISOWEEKNUM(Tabla1[[#This Row],[FECHA]])</f>
        <v>46</v>
      </c>
      <c r="F153" s="72" t="s">
        <v>152</v>
      </c>
      <c r="G153" s="73" t="s">
        <v>29</v>
      </c>
      <c r="H153" s="74">
        <f>201+28</f>
        <v>229</v>
      </c>
      <c r="I153" s="72">
        <v>14</v>
      </c>
      <c r="J153" s="72">
        <v>8</v>
      </c>
      <c r="K153" s="86">
        <f>218+107+87+188+156+169</f>
        <v>925</v>
      </c>
      <c r="L153" s="87">
        <v>875</v>
      </c>
      <c r="M153" s="86">
        <f>+Tabla1[[#This Row],[Rasimos Cosechados]]-Tabla1[[#This Row],[Rasimos Prosesados]]</f>
        <v>50</v>
      </c>
      <c r="N153" s="88">
        <f>+Tabla1[[#This Row],[Rasimos Cosechados]]/Tabla1[[#This Row],[Cajas Elaboradas]]</f>
        <v>4.0393013100436681</v>
      </c>
      <c r="O153" s="89">
        <f>+Tabla1[[#This Row],[Rasimos Prosesados]]/Tabla1[[#This Row],[Cajas Elaboradas]]</f>
        <v>3.8209606986899565</v>
      </c>
      <c r="P153" s="81">
        <f>IF(H153,'DATOS PARA CALCULO'!D$18,0)</f>
        <v>1500</v>
      </c>
      <c r="Q153" s="80">
        <f>IF(I153,'DATOS PARA CALCULO'!D$22,0)</f>
        <v>500</v>
      </c>
      <c r="R153" s="81">
        <f t="shared" si="28"/>
        <v>343500</v>
      </c>
      <c r="S153" s="80">
        <f t="shared" si="29"/>
        <v>7000</v>
      </c>
      <c r="T153" s="81">
        <f t="shared" si="30"/>
        <v>350500</v>
      </c>
      <c r="U153" s="80">
        <f>IF('CAJAS ELABORADAS'!$J153&gt;0,'CAJAS ELABORADAS'!$Y153*'CAJAS ELABORADAS'!$J153,0)</f>
        <v>350500</v>
      </c>
      <c r="V153" s="82">
        <f>'CAJAS ELABORADAS'!$Y153/'DATOS PARA CALCULO'!$D$27</f>
        <v>1.4604166666666667</v>
      </c>
      <c r="W153" s="79">
        <f>(Tabla1[[#This Row],[Valor Pagado]]-Tabla1[[#This Row],[PRODUCIDO BOLSAS]])/Tabla1[[#This Row],[Cajas Elaboradas]]</f>
        <v>1500</v>
      </c>
      <c r="X153" s="90">
        <f t="shared" si="31"/>
        <v>43812.5</v>
      </c>
      <c r="Y153" s="91">
        <f>IF('CAJAS ELABORADAS'!$X153&lt;'DATOS PARA CALCULO'!$D$27,'DATOS PARA CALCULO'!$D$27,'CAJAS ELABORADAS'!$X153)</f>
        <v>43812.5</v>
      </c>
      <c r="Z153" s="92">
        <f>Tabla1[[#This Row],[VALOR  A PAGAR]]-Tabla1[[#This Row],[VALOR GANADO]]</f>
        <v>0</v>
      </c>
      <c r="AA153" s="64"/>
    </row>
    <row r="154" spans="3:27" ht="18.75" x14ac:dyDescent="0.25">
      <c r="C154" s="71">
        <v>44517</v>
      </c>
      <c r="D154" s="507">
        <f>YEAR(Tabla1[[#This Row],[FECHA]])</f>
        <v>2021</v>
      </c>
      <c r="E154" s="72">
        <f>_xlfn.ISOWEEKNUM(Tabla1[[#This Row],[FECHA]])</f>
        <v>46</v>
      </c>
      <c r="F154" s="57" t="s">
        <v>155</v>
      </c>
      <c r="G154" s="73" t="s">
        <v>28</v>
      </c>
      <c r="H154" s="74">
        <f>18.62*8</f>
        <v>148.96</v>
      </c>
      <c r="I154" s="72">
        <f>5.4*8</f>
        <v>43.2</v>
      </c>
      <c r="J154" s="72">
        <v>8</v>
      </c>
      <c r="K154" s="86"/>
      <c r="L154" s="87"/>
      <c r="M154" s="86">
        <f>+Tabla1[[#This Row],[Rasimos Cosechados]]-Tabla1[[#This Row],[Rasimos Prosesados]]</f>
        <v>0</v>
      </c>
      <c r="N154" s="88">
        <f>+Tabla1[[#This Row],[Rasimos Cosechados]]/Tabla1[[#This Row],[Cajas Elaboradas]]</f>
        <v>0</v>
      </c>
      <c r="O154" s="89">
        <f>+Tabla1[[#This Row],[Rasimos Prosesados]]/Tabla1[[#This Row],[Cajas Elaboradas]]</f>
        <v>0</v>
      </c>
      <c r="P154" s="81">
        <f>IF(H154,'DATOS PARA CALCULO'!D$18,0)</f>
        <v>1500</v>
      </c>
      <c r="Q154" s="80">
        <f>IF(I154,'DATOS PARA CALCULO'!D$22,0)</f>
        <v>500</v>
      </c>
      <c r="R154" s="81">
        <f t="shared" si="28"/>
        <v>223440</v>
      </c>
      <c r="S154" s="80">
        <f t="shared" si="29"/>
        <v>21600</v>
      </c>
      <c r="T154" s="81">
        <f t="shared" si="30"/>
        <v>245040</v>
      </c>
      <c r="U154" s="80">
        <f>IF('CAJAS ELABORADAS'!$J154&gt;0,'CAJAS ELABORADAS'!$Y154*'CAJAS ELABORADAS'!$J154,0)</f>
        <v>245040</v>
      </c>
      <c r="V154" s="82">
        <f>'CAJAS ELABORADAS'!$Y154/'DATOS PARA CALCULO'!$D$27</f>
        <v>1.0209999999999999</v>
      </c>
      <c r="W154" s="79">
        <f>(Tabla1[[#This Row],[Valor Pagado]]-Tabla1[[#This Row],[PRODUCIDO BOLSAS]])/Tabla1[[#This Row],[Cajas Elaboradas]]</f>
        <v>1500</v>
      </c>
      <c r="X154" s="90">
        <f t="shared" si="31"/>
        <v>30630</v>
      </c>
      <c r="Y154" s="91">
        <f>IF('CAJAS ELABORADAS'!$X154&lt;'DATOS PARA CALCULO'!$D$27,'DATOS PARA CALCULO'!$D$27,'CAJAS ELABORADAS'!$X154)</f>
        <v>30630</v>
      </c>
      <c r="Z154" s="92">
        <f>Tabla1[[#This Row],[VALOR  A PAGAR]]-Tabla1[[#This Row],[VALOR GANADO]]</f>
        <v>0</v>
      </c>
      <c r="AA154" s="64"/>
    </row>
    <row r="155" spans="3:27" ht="18.75" x14ac:dyDescent="0.25">
      <c r="C155" s="71">
        <v>44517</v>
      </c>
      <c r="D155" s="507">
        <f>YEAR(Tabla1[[#This Row],[FECHA]])</f>
        <v>2021</v>
      </c>
      <c r="E155" s="72">
        <f>_xlfn.ISOWEEKNUM(Tabla1[[#This Row],[FECHA]])</f>
        <v>46</v>
      </c>
      <c r="F155" s="72" t="s">
        <v>157</v>
      </c>
      <c r="G155" s="73" t="s">
        <v>31</v>
      </c>
      <c r="H155" s="74">
        <v>186</v>
      </c>
      <c r="I155" s="72">
        <f>3.08*14</f>
        <v>43.120000000000005</v>
      </c>
      <c r="J155" s="72">
        <v>14</v>
      </c>
      <c r="K155" s="75">
        <v>745</v>
      </c>
      <c r="L155" s="93">
        <v>658</v>
      </c>
      <c r="M155" s="75">
        <f>+Tabla1[[#This Row],[Rasimos Cosechados]]-Tabla1[[#This Row],[Rasimos Prosesados]]</f>
        <v>87</v>
      </c>
      <c r="N155" s="77">
        <f>+Tabla1[[#This Row],[Rasimos Cosechados]]/Tabla1[[#This Row],[Cajas Elaboradas]]</f>
        <v>4.0053763440860219</v>
      </c>
      <c r="O155" s="78">
        <f>+Tabla1[[#This Row],[Rasimos Prosesados]]/Tabla1[[#This Row],[Cajas Elaboradas]]</f>
        <v>3.5376344086021505</v>
      </c>
      <c r="P155" s="81">
        <v>3000</v>
      </c>
      <c r="Q155" s="80">
        <f>IF(I155,'DATOS PARA CALCULO'!D$22,0)</f>
        <v>500</v>
      </c>
      <c r="R155" s="81">
        <f t="shared" si="28"/>
        <v>558000</v>
      </c>
      <c r="S155" s="80">
        <f t="shared" si="29"/>
        <v>21560.000000000004</v>
      </c>
      <c r="T155" s="81">
        <f t="shared" si="30"/>
        <v>579560</v>
      </c>
      <c r="U155" s="80">
        <f>IF('CAJAS ELABORADAS'!$J155&gt;0,'CAJAS ELABORADAS'!$Y155*'CAJAS ELABORADAS'!$J155,0)</f>
        <v>579560</v>
      </c>
      <c r="V155" s="82">
        <f>'CAJAS ELABORADAS'!$Y155/'DATOS PARA CALCULO'!$D$27</f>
        <v>1.3799047619047617</v>
      </c>
      <c r="W155" s="79">
        <f>(Tabla1[[#This Row],[Valor Pagado]]-Tabla1[[#This Row],[PRODUCIDO BOLSAS]])/Tabla1[[#This Row],[Cajas Elaboradas]]</f>
        <v>3000</v>
      </c>
      <c r="X155" s="90">
        <f t="shared" si="31"/>
        <v>41397.142857142855</v>
      </c>
      <c r="Y155" s="91">
        <f>IF('CAJAS ELABORADAS'!$X155&lt;'DATOS PARA CALCULO'!$D$27,'DATOS PARA CALCULO'!$D$27,'CAJAS ELABORADAS'!$X155)</f>
        <v>41397.142857142855</v>
      </c>
      <c r="Z155" s="92">
        <f>Tabla1[[#This Row],[VALOR  A PAGAR]]-Tabla1[[#This Row],[VALOR GANADO]]</f>
        <v>0</v>
      </c>
      <c r="AA155" s="64"/>
    </row>
    <row r="156" spans="3:27" ht="18.75" x14ac:dyDescent="0.25">
      <c r="C156" s="71">
        <v>44523</v>
      </c>
      <c r="D156" s="507">
        <f>YEAR(Tabla1[[#This Row],[FECHA]])</f>
        <v>2021</v>
      </c>
      <c r="E156" s="72">
        <f>_xlfn.ISOWEEKNUM(Tabla1[[#This Row],[FECHA]])</f>
        <v>47</v>
      </c>
      <c r="F156" s="72" t="s">
        <v>152</v>
      </c>
      <c r="G156" s="73" t="s">
        <v>29</v>
      </c>
      <c r="H156" s="74">
        <v>331</v>
      </c>
      <c r="I156" s="72">
        <v>0</v>
      </c>
      <c r="J156" s="72">
        <v>11</v>
      </c>
      <c r="K156" s="75">
        <v>1131</v>
      </c>
      <c r="L156" s="93">
        <f>139+149+212+149+174+159+70+83-32</f>
        <v>1103</v>
      </c>
      <c r="M156" s="75">
        <f>+Tabla1[[#This Row],[Rasimos Cosechados]]-Tabla1[[#This Row],[Rasimos Prosesados]]</f>
        <v>28</v>
      </c>
      <c r="N156" s="77">
        <f>+Tabla1[[#This Row],[Rasimos Cosechados]]/Tabla1[[#This Row],[Cajas Elaboradas]]</f>
        <v>3.416918429003021</v>
      </c>
      <c r="O156" s="78">
        <f>+Tabla1[[#This Row],[Rasimos Prosesados]]/Tabla1[[#This Row],[Cajas Elaboradas]]</f>
        <v>3.3323262839879155</v>
      </c>
      <c r="P156" s="81">
        <f>IF(H156,'DATOS PARA CALCULO'!D$18,0)</f>
        <v>1500</v>
      </c>
      <c r="Q156" s="80">
        <f>IF(I156,'DATOS PARA CALCULO'!D$22,0)</f>
        <v>0</v>
      </c>
      <c r="R156" s="81">
        <f t="shared" si="28"/>
        <v>496500</v>
      </c>
      <c r="S156" s="80">
        <f t="shared" si="29"/>
        <v>0</v>
      </c>
      <c r="T156" s="81">
        <f t="shared" si="30"/>
        <v>496500</v>
      </c>
      <c r="U156" s="80">
        <f>IF('CAJAS ELABORADAS'!$J156&gt;0,'CAJAS ELABORADAS'!$Y156*'CAJAS ELABORADAS'!$J156,0)</f>
        <v>496500.00000000006</v>
      </c>
      <c r="V156" s="82">
        <f>'CAJAS ELABORADAS'!$Y156/'DATOS PARA CALCULO'!$D$27</f>
        <v>1.5045454545454546</v>
      </c>
      <c r="W156" s="79">
        <f>(Tabla1[[#This Row],[Valor Pagado]]-Tabla1[[#This Row],[PRODUCIDO BOLSAS]])/Tabla1[[#This Row],[Cajas Elaboradas]]</f>
        <v>1500.0000000000002</v>
      </c>
      <c r="X156" s="90">
        <f t="shared" si="31"/>
        <v>45136.36363636364</v>
      </c>
      <c r="Y156" s="91">
        <f>IF('CAJAS ELABORADAS'!$X156&lt;'DATOS PARA CALCULO'!$D$27,'DATOS PARA CALCULO'!$D$27,'CAJAS ELABORADAS'!$X156)</f>
        <v>45136.36363636364</v>
      </c>
      <c r="Z156" s="92">
        <f>Tabla1[[#This Row],[VALOR  A PAGAR]]-Tabla1[[#This Row],[VALOR GANADO]]</f>
        <v>0</v>
      </c>
      <c r="AA156" s="64"/>
    </row>
    <row r="157" spans="3:27" ht="18.75" x14ac:dyDescent="0.25">
      <c r="C157" s="71">
        <v>44524</v>
      </c>
      <c r="D157" s="507">
        <f>YEAR(Tabla1[[#This Row],[FECHA]])</f>
        <v>2021</v>
      </c>
      <c r="E157" s="72">
        <f>_xlfn.ISOWEEKNUM(Tabla1[[#This Row],[FECHA]])</f>
        <v>47</v>
      </c>
      <c r="F157" s="72" t="s">
        <v>157</v>
      </c>
      <c r="G157" s="73" t="s">
        <v>31</v>
      </c>
      <c r="H157" s="74">
        <f>10*10</f>
        <v>100</v>
      </c>
      <c r="I157" s="72">
        <f>2.52*10</f>
        <v>25.2</v>
      </c>
      <c r="J157" s="72">
        <v>10</v>
      </c>
      <c r="K157" s="86">
        <v>713</v>
      </c>
      <c r="L157" s="87">
        <v>689</v>
      </c>
      <c r="M157" s="86">
        <f>+Tabla1[[#This Row],[Rasimos Cosechados]]-Tabla1[[#This Row],[Rasimos Prosesados]]</f>
        <v>24</v>
      </c>
      <c r="N157" s="88">
        <f>+Tabla1[[#This Row],[Rasimos Cosechados]]/Tabla1[[#This Row],[Cajas Elaboradas]]</f>
        <v>7.13</v>
      </c>
      <c r="O157" s="89">
        <f>+Tabla1[[#This Row],[Rasimos Prosesados]]/Tabla1[[#This Row],[Cajas Elaboradas]]</f>
        <v>6.89</v>
      </c>
      <c r="P157" s="81">
        <v>3000</v>
      </c>
      <c r="Q157" s="80">
        <f>IF(I157,'DATOS PARA CALCULO'!D$22,0)</f>
        <v>500</v>
      </c>
      <c r="R157" s="81">
        <f t="shared" si="28"/>
        <v>300000</v>
      </c>
      <c r="S157" s="80">
        <f t="shared" si="29"/>
        <v>12600</v>
      </c>
      <c r="T157" s="81">
        <f t="shared" si="30"/>
        <v>312600</v>
      </c>
      <c r="U157" s="80">
        <f>IF('CAJAS ELABORADAS'!$J157&gt;0,'CAJAS ELABORADAS'!$Y157*'CAJAS ELABORADAS'!$J157,0)</f>
        <v>312600</v>
      </c>
      <c r="V157" s="82">
        <f>'CAJAS ELABORADAS'!$Y157/'DATOS PARA CALCULO'!$D$27</f>
        <v>1.042</v>
      </c>
      <c r="W157" s="79">
        <f>(Tabla1[[#This Row],[Valor Pagado]]-Tabla1[[#This Row],[PRODUCIDO BOLSAS]])/Tabla1[[#This Row],[Cajas Elaboradas]]</f>
        <v>3000</v>
      </c>
      <c r="X157" s="90">
        <f t="shared" si="31"/>
        <v>31260</v>
      </c>
      <c r="Y157" s="91">
        <f>IF('CAJAS ELABORADAS'!$X157&lt;'DATOS PARA CALCULO'!$D$27,'DATOS PARA CALCULO'!$D$27,'CAJAS ELABORADAS'!$X157)</f>
        <v>31260</v>
      </c>
      <c r="Z157" s="92">
        <f>Tabla1[[#This Row],[VALOR  A PAGAR]]-Tabla1[[#This Row],[VALOR GANADO]]</f>
        <v>0</v>
      </c>
      <c r="AA157" s="64"/>
    </row>
    <row r="158" spans="3:27" ht="18.75" x14ac:dyDescent="0.25">
      <c r="C158" s="71">
        <v>44524</v>
      </c>
      <c r="D158" s="507">
        <f>YEAR(Tabla1[[#This Row],[FECHA]])</f>
        <v>2021</v>
      </c>
      <c r="E158" s="72">
        <f>_xlfn.ISOWEEKNUM(Tabla1[[#This Row],[FECHA]])</f>
        <v>47</v>
      </c>
      <c r="F158" s="72" t="s">
        <v>152</v>
      </c>
      <c r="G158" s="73" t="s">
        <v>29</v>
      </c>
      <c r="H158" s="74">
        <f>16.25*4</f>
        <v>65</v>
      </c>
      <c r="I158" s="72">
        <f>9.9*4</f>
        <v>39.6</v>
      </c>
      <c r="J158" s="72">
        <v>4</v>
      </c>
      <c r="K158" s="86">
        <v>129</v>
      </c>
      <c r="L158" s="87">
        <v>113</v>
      </c>
      <c r="M158" s="86">
        <f>+Tabla1[[#This Row],[Rasimos Cosechados]]-Tabla1[[#This Row],[Rasimos Prosesados]]</f>
        <v>16</v>
      </c>
      <c r="N158" s="88">
        <f>+Tabla1[[#This Row],[Rasimos Cosechados]]/Tabla1[[#This Row],[Cajas Elaboradas]]</f>
        <v>1.9846153846153847</v>
      </c>
      <c r="O158" s="89">
        <f>+Tabla1[[#This Row],[Rasimos Prosesados]]/Tabla1[[#This Row],[Cajas Elaboradas]]</f>
        <v>1.7384615384615385</v>
      </c>
      <c r="P158" s="81">
        <f>IF(H158,'DATOS PARA CALCULO'!D$18,0)</f>
        <v>1500</v>
      </c>
      <c r="Q158" s="80">
        <f>IF(I158,'DATOS PARA CALCULO'!D$22,0)</f>
        <v>500</v>
      </c>
      <c r="R158" s="81">
        <f t="shared" si="28"/>
        <v>97500</v>
      </c>
      <c r="S158" s="80">
        <f t="shared" si="29"/>
        <v>19800</v>
      </c>
      <c r="T158" s="81">
        <f t="shared" si="30"/>
        <v>117300</v>
      </c>
      <c r="U158" s="80">
        <f>IF('CAJAS ELABORADAS'!$J158&gt;0,'CAJAS ELABORADAS'!$Y158*'CAJAS ELABORADAS'!$J158,0)</f>
        <v>120000</v>
      </c>
      <c r="V158" s="82">
        <f>'CAJAS ELABORADAS'!$Y158/'DATOS PARA CALCULO'!$D$27</f>
        <v>1</v>
      </c>
      <c r="W158" s="79">
        <f>(Tabla1[[#This Row],[Valor Pagado]]-Tabla1[[#This Row],[PRODUCIDO BOLSAS]])/Tabla1[[#This Row],[Cajas Elaboradas]]</f>
        <v>1541.5384615384614</v>
      </c>
      <c r="X158" s="90">
        <f t="shared" si="31"/>
        <v>29325</v>
      </c>
      <c r="Y158" s="91">
        <f>IF('CAJAS ELABORADAS'!$X158&lt;'DATOS PARA CALCULO'!$D$27,'DATOS PARA CALCULO'!$D$27,'CAJAS ELABORADAS'!$X158)</f>
        <v>30000</v>
      </c>
      <c r="Z158" s="92">
        <f>Tabla1[[#This Row],[VALOR  A PAGAR]]-Tabla1[[#This Row],[VALOR GANADO]]</f>
        <v>675</v>
      </c>
      <c r="AA158" s="64"/>
    </row>
    <row r="159" spans="3:27" ht="18.75" x14ac:dyDescent="0.25">
      <c r="C159" s="71">
        <v>44530</v>
      </c>
      <c r="D159" s="507">
        <f>YEAR(Tabla1[[#This Row],[FECHA]])</f>
        <v>2021</v>
      </c>
      <c r="E159" s="72">
        <f>_xlfn.ISOWEEKNUM(Tabla1[[#This Row],[FECHA]])</f>
        <v>48</v>
      </c>
      <c r="F159" s="72" t="s">
        <v>152</v>
      </c>
      <c r="G159" s="73" t="s">
        <v>29</v>
      </c>
      <c r="H159" s="74">
        <v>265</v>
      </c>
      <c r="I159" s="72">
        <v>21.6</v>
      </c>
      <c r="J159" s="72">
        <v>12</v>
      </c>
      <c r="K159" s="75">
        <f>1039+79</f>
        <v>1118</v>
      </c>
      <c r="L159" s="93">
        <f>79+215+67+141+90+186+187+119</f>
        <v>1084</v>
      </c>
      <c r="M159" s="75">
        <f>+Tabla1[[#This Row],[Rasimos Cosechados]]-Tabla1[[#This Row],[Rasimos Prosesados]]</f>
        <v>34</v>
      </c>
      <c r="N159" s="77">
        <f>+Tabla1[[#This Row],[Rasimos Cosechados]]/Tabla1[[#This Row],[Cajas Elaboradas]]</f>
        <v>4.2188679245283023</v>
      </c>
      <c r="O159" s="78">
        <f>+Tabla1[[#This Row],[Rasimos Prosesados]]/Tabla1[[#This Row],[Cajas Elaboradas]]</f>
        <v>4.090566037735849</v>
      </c>
      <c r="P159" s="81">
        <f>IF(H159,'DATOS PARA CALCULO'!D$18,0)</f>
        <v>1500</v>
      </c>
      <c r="Q159" s="80">
        <f>IF(I159,'DATOS PARA CALCULO'!D$22,0)</f>
        <v>500</v>
      </c>
      <c r="R159" s="81">
        <f t="shared" ref="R159:R198" si="32">IF(P159&gt;0 &amp; H159&gt;0,H159*P159,)</f>
        <v>397500</v>
      </c>
      <c r="S159" s="80">
        <f t="shared" ref="S159:S198" si="33">IF(Q159&gt;0 &amp; I159&gt;0,I159*Q159,0)</f>
        <v>10800</v>
      </c>
      <c r="T159" s="81">
        <f t="shared" ref="T159:T198" si="34">S159+R159</f>
        <v>408300</v>
      </c>
      <c r="U159" s="80">
        <f>IF('CAJAS ELABORADAS'!$J159&gt;0,'CAJAS ELABORADAS'!$Y159*'CAJAS ELABORADAS'!$J159,0)</f>
        <v>408300</v>
      </c>
      <c r="V159" s="82">
        <f>'CAJAS ELABORADAS'!$Y159/'DATOS PARA CALCULO'!$D$27</f>
        <v>1.1341666666666668</v>
      </c>
      <c r="W159" s="79">
        <f>(Tabla1[[#This Row],[Valor Pagado]]-Tabla1[[#This Row],[PRODUCIDO BOLSAS]])/Tabla1[[#This Row],[Cajas Elaboradas]]</f>
        <v>1500</v>
      </c>
      <c r="X159" s="83">
        <f t="shared" ref="X159:X198" si="35">IF(J159&gt;0,T159/J159,0)</f>
        <v>34025</v>
      </c>
      <c r="Y159" s="84">
        <f>IF('CAJAS ELABORADAS'!$X159&lt;'DATOS PARA CALCULO'!$D$27,'DATOS PARA CALCULO'!$D$27,'CAJAS ELABORADAS'!$X159)</f>
        <v>34025</v>
      </c>
      <c r="Z159" s="94">
        <f>Tabla1[[#This Row],[VALOR  A PAGAR]]-Tabla1[[#This Row],[VALOR GANADO]]</f>
        <v>0</v>
      </c>
      <c r="AA159" s="64"/>
    </row>
    <row r="160" spans="3:27" ht="18.75" x14ac:dyDescent="0.25">
      <c r="C160" s="71">
        <v>44530</v>
      </c>
      <c r="D160" s="507">
        <f>YEAR(Tabla1[[#This Row],[FECHA]])</f>
        <v>2021</v>
      </c>
      <c r="E160" s="72">
        <f>_xlfn.ISOWEEKNUM(Tabla1[[#This Row],[FECHA]])</f>
        <v>48</v>
      </c>
      <c r="F160" s="72" t="s">
        <v>153</v>
      </c>
      <c r="G160" s="73" t="s">
        <v>30</v>
      </c>
      <c r="H160" s="74">
        <f>70+40</f>
        <v>110</v>
      </c>
      <c r="I160" s="72">
        <v>14.4</v>
      </c>
      <c r="J160" s="72">
        <v>5</v>
      </c>
      <c r="K160" s="75"/>
      <c r="L160" s="93"/>
      <c r="M160" s="75">
        <f>+Tabla1[[#This Row],[Rasimos Cosechados]]-Tabla1[[#This Row],[Rasimos Prosesados]]</f>
        <v>0</v>
      </c>
      <c r="N160" s="77">
        <f>+Tabla1[[#This Row],[Rasimos Cosechados]]/Tabla1[[#This Row],[Cajas Elaboradas]]</f>
        <v>0</v>
      </c>
      <c r="O160" s="78">
        <f>+Tabla1[[#This Row],[Rasimos Prosesados]]/Tabla1[[#This Row],[Cajas Elaboradas]]</f>
        <v>0</v>
      </c>
      <c r="P160" s="66">
        <f>IF(H160,'DATOS PARA CALCULO'!D$18,0)</f>
        <v>1500</v>
      </c>
      <c r="Q160" s="65">
        <f>IF(I160,'DATOS PARA CALCULO'!D$22,0)</f>
        <v>500</v>
      </c>
      <c r="R160" s="66">
        <f t="shared" si="32"/>
        <v>165000</v>
      </c>
      <c r="S160" s="65">
        <f t="shared" si="33"/>
        <v>7200</v>
      </c>
      <c r="T160" s="66">
        <f t="shared" si="34"/>
        <v>172200</v>
      </c>
      <c r="U160" s="65">
        <f>IF('CAJAS ELABORADAS'!$J160&gt;0,'CAJAS ELABORADAS'!$Y160*'CAJAS ELABORADAS'!$J160,0)</f>
        <v>172200</v>
      </c>
      <c r="V160" s="67">
        <f>'CAJAS ELABORADAS'!$Y160/'DATOS PARA CALCULO'!$D$27</f>
        <v>1.1479999999999999</v>
      </c>
      <c r="W160" s="64">
        <f>(Tabla1[[#This Row],[Valor Pagado]]-Tabla1[[#This Row],[PRODUCIDO BOLSAS]])/Tabla1[[#This Row],[Cajas Elaboradas]]</f>
        <v>1500</v>
      </c>
      <c r="X160" s="83">
        <f t="shared" si="35"/>
        <v>34440</v>
      </c>
      <c r="Y160" s="84">
        <f>IF('CAJAS ELABORADAS'!$X160&lt;'DATOS PARA CALCULO'!$D$27,'DATOS PARA CALCULO'!$D$27,'CAJAS ELABORADAS'!$X160)</f>
        <v>34440</v>
      </c>
      <c r="Z160" s="94">
        <f>Tabla1[[#This Row],[VALOR  A PAGAR]]-Tabla1[[#This Row],[VALOR GANADO]]</f>
        <v>0</v>
      </c>
      <c r="AA160" s="64"/>
    </row>
    <row r="161" spans="3:27" ht="18.75" x14ac:dyDescent="0.25">
      <c r="C161" s="71">
        <v>44531</v>
      </c>
      <c r="D161" s="507">
        <f>YEAR(Tabla1[[#This Row],[FECHA]])</f>
        <v>2021</v>
      </c>
      <c r="E161" s="72">
        <f>_xlfn.ISOWEEKNUM(Tabla1[[#This Row],[FECHA]])</f>
        <v>48</v>
      </c>
      <c r="F161" s="72" t="s">
        <v>152</v>
      </c>
      <c r="G161" s="73" t="s">
        <v>29</v>
      </c>
      <c r="H161" s="74">
        <f>93+18</f>
        <v>111</v>
      </c>
      <c r="I161" s="72">
        <v>3.6</v>
      </c>
      <c r="J161" s="72">
        <v>7</v>
      </c>
      <c r="K161" s="75">
        <v>427</v>
      </c>
      <c r="L161" s="93">
        <f>98+155+143</f>
        <v>396</v>
      </c>
      <c r="M161" s="75">
        <f>+Tabla1[[#This Row],[Rasimos Cosechados]]-Tabla1[[#This Row],[Rasimos Prosesados]]</f>
        <v>31</v>
      </c>
      <c r="N161" s="77">
        <f>+Tabla1[[#This Row],[Rasimos Cosechados]]/Tabla1[[#This Row],[Cajas Elaboradas]]</f>
        <v>3.8468468468468466</v>
      </c>
      <c r="O161" s="78">
        <f>+Tabla1[[#This Row],[Rasimos Prosesados]]/Tabla1[[#This Row],[Cajas Elaboradas]]</f>
        <v>3.5675675675675675</v>
      </c>
      <c r="P161" s="66">
        <f>IF(H161,'DATOS PARA CALCULO'!D$18,0)</f>
        <v>1500</v>
      </c>
      <c r="Q161" s="65">
        <f>IF(I161,'DATOS PARA CALCULO'!D$22,0)</f>
        <v>500</v>
      </c>
      <c r="R161" s="66">
        <f t="shared" si="32"/>
        <v>166500</v>
      </c>
      <c r="S161" s="65">
        <f t="shared" si="33"/>
        <v>1800</v>
      </c>
      <c r="T161" s="66">
        <f t="shared" si="34"/>
        <v>168300</v>
      </c>
      <c r="U161" s="65">
        <f>IF('CAJAS ELABORADAS'!$J161&gt;0,'CAJAS ELABORADAS'!$Y161*'CAJAS ELABORADAS'!$J161,0)</f>
        <v>210000</v>
      </c>
      <c r="V161" s="67">
        <f>'CAJAS ELABORADAS'!$Y161/'DATOS PARA CALCULO'!$D$27</f>
        <v>1</v>
      </c>
      <c r="W161" s="64">
        <f>(Tabla1[[#This Row],[Valor Pagado]]-Tabla1[[#This Row],[PRODUCIDO BOLSAS]])/Tabla1[[#This Row],[Cajas Elaboradas]]</f>
        <v>1875.6756756756756</v>
      </c>
      <c r="X161" s="83">
        <f t="shared" si="35"/>
        <v>24042.857142857141</v>
      </c>
      <c r="Y161" s="84">
        <f>IF('CAJAS ELABORADAS'!$X161&lt;'DATOS PARA CALCULO'!$D$27,'DATOS PARA CALCULO'!$D$27,'CAJAS ELABORADAS'!$X161)</f>
        <v>30000</v>
      </c>
      <c r="Z161" s="94">
        <f>Tabla1[[#This Row],[VALOR  A PAGAR]]-Tabla1[[#This Row],[VALOR GANADO]]</f>
        <v>5957.1428571428587</v>
      </c>
      <c r="AA161" s="64"/>
    </row>
    <row r="162" spans="3:27" ht="18.75" x14ac:dyDescent="0.25">
      <c r="C162" s="71">
        <v>44531</v>
      </c>
      <c r="D162" s="507">
        <f>YEAR(Tabla1[[#This Row],[FECHA]])</f>
        <v>2021</v>
      </c>
      <c r="E162" s="72">
        <f>_xlfn.ISOWEEKNUM(Tabla1[[#This Row],[FECHA]])</f>
        <v>48</v>
      </c>
      <c r="F162" s="72" t="s">
        <v>157</v>
      </c>
      <c r="G162" s="73" t="s">
        <v>31</v>
      </c>
      <c r="H162" s="74">
        <v>32</v>
      </c>
      <c r="I162" s="72">
        <v>12.5</v>
      </c>
      <c r="J162" s="72">
        <v>5</v>
      </c>
      <c r="K162" s="75">
        <v>213</v>
      </c>
      <c r="L162" s="93">
        <v>196</v>
      </c>
      <c r="M162" s="75">
        <f>+Tabla1[[#This Row],[Rasimos Cosechados]]-Tabla1[[#This Row],[Rasimos Prosesados]]</f>
        <v>17</v>
      </c>
      <c r="N162" s="77">
        <f>+Tabla1[[#This Row],[Rasimos Cosechados]]/Tabla1[[#This Row],[Cajas Elaboradas]]</f>
        <v>6.65625</v>
      </c>
      <c r="O162" s="78">
        <f>+Tabla1[[#This Row],[Rasimos Prosesados]]/Tabla1[[#This Row],[Cajas Elaboradas]]</f>
        <v>6.125</v>
      </c>
      <c r="P162" s="66">
        <v>3000</v>
      </c>
      <c r="Q162" s="65">
        <f>IF(I162,'DATOS PARA CALCULO'!D$22,0)</f>
        <v>500</v>
      </c>
      <c r="R162" s="66">
        <f t="shared" si="32"/>
        <v>96000</v>
      </c>
      <c r="S162" s="65">
        <f t="shared" si="33"/>
        <v>6250</v>
      </c>
      <c r="T162" s="66">
        <f t="shared" si="34"/>
        <v>102250</v>
      </c>
      <c r="U162" s="65">
        <f>IF('CAJAS ELABORADAS'!$J162&gt;0,'CAJAS ELABORADAS'!$Y162*'CAJAS ELABORADAS'!$J162,0)</f>
        <v>150000</v>
      </c>
      <c r="V162" s="67">
        <f>'CAJAS ELABORADAS'!$Y162/'DATOS PARA CALCULO'!$D$27</f>
        <v>1</v>
      </c>
      <c r="W162" s="64">
        <f>(Tabla1[[#This Row],[Valor Pagado]]-Tabla1[[#This Row],[PRODUCIDO BOLSAS]])/Tabla1[[#This Row],[Cajas Elaboradas]]</f>
        <v>4492.1875</v>
      </c>
      <c r="X162" s="83">
        <f t="shared" si="35"/>
        <v>20450</v>
      </c>
      <c r="Y162" s="84">
        <f>IF('CAJAS ELABORADAS'!$X162&lt;'DATOS PARA CALCULO'!$D$27,'DATOS PARA CALCULO'!$D$27,'CAJAS ELABORADAS'!$X162)</f>
        <v>30000</v>
      </c>
      <c r="Z162" s="94">
        <f>Tabla1[[#This Row],[VALOR  A PAGAR]]-Tabla1[[#This Row],[VALOR GANADO]]</f>
        <v>9550</v>
      </c>
      <c r="AA162" s="64"/>
    </row>
    <row r="163" spans="3:27" ht="18.75" x14ac:dyDescent="0.25">
      <c r="C163" s="71">
        <v>44531</v>
      </c>
      <c r="D163" s="507">
        <f>YEAR(Tabla1[[#This Row],[FECHA]])</f>
        <v>2021</v>
      </c>
      <c r="E163" s="72">
        <f>_xlfn.ISOWEEKNUM(Tabla1[[#This Row],[FECHA]])</f>
        <v>48</v>
      </c>
      <c r="F163" s="57" t="s">
        <v>155</v>
      </c>
      <c r="G163" s="73" t="s">
        <v>28</v>
      </c>
      <c r="H163" s="74">
        <f>70+51</f>
        <v>121</v>
      </c>
      <c r="I163" s="72">
        <f>990/25</f>
        <v>39.6</v>
      </c>
      <c r="J163" s="72">
        <v>9</v>
      </c>
      <c r="K163" s="75">
        <f>236+160</f>
        <v>396</v>
      </c>
      <c r="L163" s="93">
        <f>147+221</f>
        <v>368</v>
      </c>
      <c r="M163" s="75">
        <f>+Tabla1[[#This Row],[Rasimos Cosechados]]-Tabla1[[#This Row],[Rasimos Prosesados]]</f>
        <v>28</v>
      </c>
      <c r="N163" s="77">
        <f>+Tabla1[[#This Row],[Rasimos Cosechados]]/Tabla1[[#This Row],[Cajas Elaboradas]]</f>
        <v>3.2727272727272729</v>
      </c>
      <c r="O163" s="78">
        <f>+Tabla1[[#This Row],[Rasimos Prosesados]]/Tabla1[[#This Row],[Cajas Elaboradas]]</f>
        <v>3.0413223140495869</v>
      </c>
      <c r="P163" s="66">
        <f>IF(H163,'DATOS PARA CALCULO'!D$18,0)</f>
        <v>1500</v>
      </c>
      <c r="Q163" s="65">
        <f>IF(I163,'DATOS PARA CALCULO'!D$22,0)</f>
        <v>500</v>
      </c>
      <c r="R163" s="66">
        <f t="shared" si="32"/>
        <v>181500</v>
      </c>
      <c r="S163" s="65">
        <f t="shared" si="33"/>
        <v>19800</v>
      </c>
      <c r="T163" s="66">
        <f t="shared" si="34"/>
        <v>201300</v>
      </c>
      <c r="U163" s="65">
        <f>IF('CAJAS ELABORADAS'!$J163&gt;0,'CAJAS ELABORADAS'!$Y163*'CAJAS ELABORADAS'!$J163,0)</f>
        <v>270000</v>
      </c>
      <c r="V163" s="67">
        <f>'CAJAS ELABORADAS'!$Y163/'DATOS PARA CALCULO'!$D$27</f>
        <v>1</v>
      </c>
      <c r="W163" s="64">
        <f>(Tabla1[[#This Row],[Valor Pagado]]-Tabla1[[#This Row],[PRODUCIDO BOLSAS]])/Tabla1[[#This Row],[Cajas Elaboradas]]</f>
        <v>2067.7685950413224</v>
      </c>
      <c r="X163" s="83">
        <f t="shared" si="35"/>
        <v>22366.666666666668</v>
      </c>
      <c r="Y163" s="84">
        <f>IF('CAJAS ELABORADAS'!$X163&lt;'DATOS PARA CALCULO'!$D$27,'DATOS PARA CALCULO'!$D$27,'CAJAS ELABORADAS'!$X163)</f>
        <v>30000</v>
      </c>
      <c r="Z163" s="94">
        <f>Tabla1[[#This Row],[VALOR  A PAGAR]]-Tabla1[[#This Row],[VALOR GANADO]]</f>
        <v>7633.3333333333321</v>
      </c>
      <c r="AA163" s="64"/>
    </row>
    <row r="164" spans="3:27" ht="18.75" x14ac:dyDescent="0.25">
      <c r="C164" s="71">
        <v>44537</v>
      </c>
      <c r="D164" s="507">
        <f>YEAR(Tabla1[[#This Row],[FECHA]])</f>
        <v>2021</v>
      </c>
      <c r="E164" s="72">
        <f>_xlfn.ISOWEEKNUM(Tabla1[[#This Row],[FECHA]])</f>
        <v>49</v>
      </c>
      <c r="F164" s="72" t="s">
        <v>153</v>
      </c>
      <c r="G164" s="73" t="s">
        <v>30</v>
      </c>
      <c r="H164" s="74">
        <v>77</v>
      </c>
      <c r="I164" s="72">
        <v>1</v>
      </c>
      <c r="J164" s="72">
        <v>4</v>
      </c>
      <c r="K164" s="75">
        <f>182+156</f>
        <v>338</v>
      </c>
      <c r="L164" s="93">
        <f>6+51</f>
        <v>57</v>
      </c>
      <c r="M164" s="75">
        <f>+Tabla1[[#This Row],[Rasimos Cosechados]]-Tabla1[[#This Row],[Rasimos Prosesados]]</f>
        <v>281</v>
      </c>
      <c r="N164" s="77">
        <f>+Tabla1[[#This Row],[Rasimos Cosechados]]/Tabla1[[#This Row],[Cajas Elaboradas]]</f>
        <v>4.3896103896103895</v>
      </c>
      <c r="O164" s="78">
        <f>+Tabla1[[#This Row],[Rasimos Prosesados]]/Tabla1[[#This Row],[Cajas Elaboradas]]</f>
        <v>0.74025974025974028</v>
      </c>
      <c r="P164" s="66">
        <f>IF(H164,'DATOS PARA CALCULO'!D$18,0)</f>
        <v>1500</v>
      </c>
      <c r="Q164" s="65">
        <f>IF(I164,'DATOS PARA CALCULO'!D$22,0)</f>
        <v>500</v>
      </c>
      <c r="R164" s="66">
        <f t="shared" si="32"/>
        <v>115500</v>
      </c>
      <c r="S164" s="65">
        <f t="shared" si="33"/>
        <v>500</v>
      </c>
      <c r="T164" s="66">
        <f t="shared" si="34"/>
        <v>116000</v>
      </c>
      <c r="U164" s="65">
        <f>IF('CAJAS ELABORADAS'!$J164&gt;0,'CAJAS ELABORADAS'!$Y164*'CAJAS ELABORADAS'!$J164,0)</f>
        <v>120000</v>
      </c>
      <c r="V164" s="67">
        <f>'CAJAS ELABORADAS'!$Y164/'DATOS PARA CALCULO'!$D$27</f>
        <v>1</v>
      </c>
      <c r="W164" s="64">
        <f>(Tabla1[[#This Row],[Valor Pagado]]-Tabla1[[#This Row],[PRODUCIDO BOLSAS]])/Tabla1[[#This Row],[Cajas Elaboradas]]</f>
        <v>1551.9480519480519</v>
      </c>
      <c r="X164" s="83">
        <f t="shared" si="35"/>
        <v>29000</v>
      </c>
      <c r="Y164" s="84">
        <f>IF('CAJAS ELABORADAS'!$X164&lt;'DATOS PARA CALCULO'!$D$27,'DATOS PARA CALCULO'!$D$27,'CAJAS ELABORADAS'!$X164)</f>
        <v>30000</v>
      </c>
      <c r="Z164" s="94">
        <f>Tabla1[[#This Row],[VALOR  A PAGAR]]-Tabla1[[#This Row],[VALOR GANADO]]</f>
        <v>1000</v>
      </c>
      <c r="AA164" s="64"/>
    </row>
    <row r="165" spans="3:27" ht="18.75" x14ac:dyDescent="0.25">
      <c r="C165" s="71">
        <v>44537</v>
      </c>
      <c r="D165" s="507">
        <f>YEAR(Tabla1[[#This Row],[FECHA]])</f>
        <v>2021</v>
      </c>
      <c r="E165" s="72">
        <f>_xlfn.ISOWEEKNUM(Tabla1[[#This Row],[FECHA]])</f>
        <v>49</v>
      </c>
      <c r="F165" s="72" t="s">
        <v>152</v>
      </c>
      <c r="G165" s="73" t="s">
        <v>29</v>
      </c>
      <c r="H165" s="74">
        <v>406</v>
      </c>
      <c r="I165" s="72">
        <v>45</v>
      </c>
      <c r="J165" s="72">
        <v>18</v>
      </c>
      <c r="K165" s="75">
        <v>771</v>
      </c>
      <c r="L165" s="93">
        <f>192+145+171+218</f>
        <v>726</v>
      </c>
      <c r="M165" s="75">
        <f>+Tabla1[[#This Row],[Rasimos Cosechados]]-Tabla1[[#This Row],[Rasimos Prosesados]]</f>
        <v>45</v>
      </c>
      <c r="N165" s="77">
        <f>+Tabla1[[#This Row],[Rasimos Cosechados]]/Tabla1[[#This Row],[Cajas Elaboradas]]</f>
        <v>1.8990147783251232</v>
      </c>
      <c r="O165" s="78">
        <f>+Tabla1[[#This Row],[Rasimos Prosesados]]/Tabla1[[#This Row],[Cajas Elaboradas]]</f>
        <v>1.7881773399014778</v>
      </c>
      <c r="P165" s="66">
        <f>IF(H165,'DATOS PARA CALCULO'!D$18,0)</f>
        <v>1500</v>
      </c>
      <c r="Q165" s="65">
        <f>IF(I165,'DATOS PARA CALCULO'!D$22,0)</f>
        <v>500</v>
      </c>
      <c r="R165" s="66">
        <f t="shared" si="32"/>
        <v>609000</v>
      </c>
      <c r="S165" s="65">
        <f t="shared" si="33"/>
        <v>22500</v>
      </c>
      <c r="T165" s="66">
        <f t="shared" si="34"/>
        <v>631500</v>
      </c>
      <c r="U165" s="65">
        <f>IF('CAJAS ELABORADAS'!$J165&gt;0,'CAJAS ELABORADAS'!$Y165*'CAJAS ELABORADAS'!$J165,0)</f>
        <v>631500</v>
      </c>
      <c r="V165" s="67">
        <f>'CAJAS ELABORADAS'!$Y165/'DATOS PARA CALCULO'!$D$27</f>
        <v>1.1694444444444445</v>
      </c>
      <c r="W165" s="64">
        <f>(Tabla1[[#This Row],[Valor Pagado]]-Tabla1[[#This Row],[PRODUCIDO BOLSAS]])/Tabla1[[#This Row],[Cajas Elaboradas]]</f>
        <v>1500</v>
      </c>
      <c r="X165" s="83">
        <f t="shared" si="35"/>
        <v>35083.333333333336</v>
      </c>
      <c r="Y165" s="84">
        <f>IF('CAJAS ELABORADAS'!$X165&lt;'DATOS PARA CALCULO'!$D$27,'DATOS PARA CALCULO'!$D$27,'CAJAS ELABORADAS'!$X165)</f>
        <v>35083.333333333336</v>
      </c>
      <c r="Z165" s="94">
        <f>Tabla1[[#This Row],[VALOR  A PAGAR]]-Tabla1[[#This Row],[VALOR GANADO]]</f>
        <v>0</v>
      </c>
      <c r="AA165" s="64"/>
    </row>
    <row r="166" spans="3:27" ht="18.75" x14ac:dyDescent="0.25">
      <c r="C166" s="71">
        <v>44538</v>
      </c>
      <c r="D166" s="507">
        <f>YEAR(Tabla1[[#This Row],[FECHA]])</f>
        <v>2021</v>
      </c>
      <c r="E166" s="72">
        <f>_xlfn.ISOWEEKNUM(Tabla1[[#This Row],[FECHA]])</f>
        <v>49</v>
      </c>
      <c r="F166" s="57" t="s">
        <v>155</v>
      </c>
      <c r="G166" s="73" t="s">
        <v>28</v>
      </c>
      <c r="H166" s="74">
        <v>71</v>
      </c>
      <c r="I166" s="72">
        <v>6.4</v>
      </c>
      <c r="J166" s="72">
        <v>4</v>
      </c>
      <c r="K166" s="75">
        <v>617</v>
      </c>
      <c r="L166" s="93">
        <v>617</v>
      </c>
      <c r="M166" s="75">
        <f>+Tabla1[[#This Row],[Rasimos Cosechados]]-Tabla1[[#This Row],[Rasimos Prosesados]]</f>
        <v>0</v>
      </c>
      <c r="N166" s="77">
        <f>+Tabla1[[#This Row],[Rasimos Cosechados]]/Tabla1[[#This Row],[Cajas Elaboradas]]</f>
        <v>8.6901408450704221</v>
      </c>
      <c r="O166" s="78">
        <f>+Tabla1[[#This Row],[Rasimos Prosesados]]/Tabla1[[#This Row],[Cajas Elaboradas]]</f>
        <v>8.6901408450704221</v>
      </c>
      <c r="P166" s="66">
        <f>IF(H166,'DATOS PARA CALCULO'!D$18,0)</f>
        <v>1500</v>
      </c>
      <c r="Q166" s="65">
        <f>IF(I166,'DATOS PARA CALCULO'!D$22,0)</f>
        <v>500</v>
      </c>
      <c r="R166" s="66">
        <f t="shared" si="32"/>
        <v>106500</v>
      </c>
      <c r="S166" s="65">
        <f t="shared" si="33"/>
        <v>3200</v>
      </c>
      <c r="T166" s="66">
        <f t="shared" si="34"/>
        <v>109700</v>
      </c>
      <c r="U166" s="65">
        <f>IF('CAJAS ELABORADAS'!$J166&gt;0,'CAJAS ELABORADAS'!$Y166*'CAJAS ELABORADAS'!$J166,0)</f>
        <v>120000</v>
      </c>
      <c r="V166" s="67">
        <f>'CAJAS ELABORADAS'!$Y166/'DATOS PARA CALCULO'!$D$27</f>
        <v>1</v>
      </c>
      <c r="W166" s="64">
        <f>(Tabla1[[#This Row],[Valor Pagado]]-Tabla1[[#This Row],[PRODUCIDO BOLSAS]])/Tabla1[[#This Row],[Cajas Elaboradas]]</f>
        <v>1645.0704225352113</v>
      </c>
      <c r="X166" s="83">
        <f t="shared" si="35"/>
        <v>27425</v>
      </c>
      <c r="Y166" s="84">
        <f>IF('CAJAS ELABORADAS'!$X166&lt;'DATOS PARA CALCULO'!$D$27,'DATOS PARA CALCULO'!$D$27,'CAJAS ELABORADAS'!$X166)</f>
        <v>30000</v>
      </c>
      <c r="Z166" s="94">
        <f>Tabla1[[#This Row],[VALOR  A PAGAR]]-Tabla1[[#This Row],[VALOR GANADO]]</f>
        <v>2575</v>
      </c>
      <c r="AA166" s="64"/>
    </row>
    <row r="167" spans="3:27" ht="18.75" x14ac:dyDescent="0.25">
      <c r="C167" s="71">
        <v>44544</v>
      </c>
      <c r="D167" s="507">
        <f>YEAR(Tabla1[[#This Row],[FECHA]])</f>
        <v>2021</v>
      </c>
      <c r="E167" s="72">
        <f>_xlfn.ISOWEEKNUM(Tabla1[[#This Row],[FECHA]])</f>
        <v>50</v>
      </c>
      <c r="F167" s="72" t="s">
        <v>152</v>
      </c>
      <c r="G167" s="73" t="s">
        <v>29</v>
      </c>
      <c r="H167" s="74">
        <v>218</v>
      </c>
      <c r="I167" s="72">
        <v>52.7</v>
      </c>
      <c r="J167" s="72">
        <v>13</v>
      </c>
      <c r="K167" s="75">
        <f>304+335+189</f>
        <v>828</v>
      </c>
      <c r="L167" s="93">
        <f>20+37+34</f>
        <v>91</v>
      </c>
      <c r="M167" s="75">
        <f>+Tabla1[[#This Row],[Rasimos Cosechados]]-Tabla1[[#This Row],[Rasimos Prosesados]]</f>
        <v>737</v>
      </c>
      <c r="N167" s="77">
        <f>+Tabla1[[#This Row],[Rasimos Cosechados]]/Tabla1[[#This Row],[Cajas Elaboradas]]</f>
        <v>3.7981651376146788</v>
      </c>
      <c r="O167" s="78">
        <f>+Tabla1[[#This Row],[Rasimos Prosesados]]/Tabla1[[#This Row],[Cajas Elaboradas]]</f>
        <v>0.41743119266055045</v>
      </c>
      <c r="P167" s="66">
        <f>IF(H167,'DATOS PARA CALCULO'!D$18,0)</f>
        <v>1500</v>
      </c>
      <c r="Q167" s="65">
        <f>IF(I167,'DATOS PARA CALCULO'!D$22,0)</f>
        <v>500</v>
      </c>
      <c r="R167" s="66">
        <f t="shared" si="32"/>
        <v>327000</v>
      </c>
      <c r="S167" s="65">
        <f t="shared" si="33"/>
        <v>26350</v>
      </c>
      <c r="T167" s="66">
        <f t="shared" si="34"/>
        <v>353350</v>
      </c>
      <c r="U167" s="65">
        <f>IF('CAJAS ELABORADAS'!$J167&gt;0,'CAJAS ELABORADAS'!$Y167*'CAJAS ELABORADAS'!$J167,0)</f>
        <v>390000</v>
      </c>
      <c r="V167" s="67">
        <f>'CAJAS ELABORADAS'!$Y167/'DATOS PARA CALCULO'!$D$27</f>
        <v>1</v>
      </c>
      <c r="W167" s="64">
        <f>(Tabla1[[#This Row],[Valor Pagado]]-Tabla1[[#This Row],[PRODUCIDO BOLSAS]])/Tabla1[[#This Row],[Cajas Elaboradas]]</f>
        <v>1668.119266055046</v>
      </c>
      <c r="X167" s="83">
        <f t="shared" si="35"/>
        <v>27180.76923076923</v>
      </c>
      <c r="Y167" s="84">
        <f>IF('CAJAS ELABORADAS'!$X167&lt;'DATOS PARA CALCULO'!$D$27,'DATOS PARA CALCULO'!$D$27,'CAJAS ELABORADAS'!$X167)</f>
        <v>30000</v>
      </c>
      <c r="Z167" s="94">
        <f>Tabla1[[#This Row],[VALOR  A PAGAR]]-Tabla1[[#This Row],[VALOR GANADO]]</f>
        <v>2819.2307692307695</v>
      </c>
      <c r="AA167" s="64"/>
    </row>
    <row r="168" spans="3:27" ht="18.75" x14ac:dyDescent="0.25">
      <c r="C168" s="71">
        <v>44545</v>
      </c>
      <c r="D168" s="507">
        <f>YEAR(Tabla1[[#This Row],[FECHA]])</f>
        <v>2021</v>
      </c>
      <c r="E168" s="72">
        <f>_xlfn.ISOWEEKNUM(Tabla1[[#This Row],[FECHA]])</f>
        <v>50</v>
      </c>
      <c r="F168" s="72" t="s">
        <v>152</v>
      </c>
      <c r="G168" s="73" t="s">
        <v>29</v>
      </c>
      <c r="H168" s="74">
        <v>318</v>
      </c>
      <c r="I168" s="72">
        <v>12</v>
      </c>
      <c r="J168" s="72">
        <v>14</v>
      </c>
      <c r="K168" s="75">
        <f>108+181+180+81+185+145+121</f>
        <v>1001</v>
      </c>
      <c r="L168" s="93">
        <v>886</v>
      </c>
      <c r="M168" s="75">
        <f>+Tabla1[[#This Row],[Rasimos Cosechados]]-Tabla1[[#This Row],[Rasimos Prosesados]]</f>
        <v>115</v>
      </c>
      <c r="N168" s="77">
        <f>+Tabla1[[#This Row],[Rasimos Cosechados]]/Tabla1[[#This Row],[Cajas Elaboradas]]</f>
        <v>3.1477987421383649</v>
      </c>
      <c r="O168" s="78">
        <f>+Tabla1[[#This Row],[Rasimos Prosesados]]/Tabla1[[#This Row],[Cajas Elaboradas]]</f>
        <v>2.7861635220125787</v>
      </c>
      <c r="P168" s="66">
        <f>IF(H168,'DATOS PARA CALCULO'!D$18,0)</f>
        <v>1500</v>
      </c>
      <c r="Q168" s="65">
        <f>IF(I168,'DATOS PARA CALCULO'!D$22,0)</f>
        <v>500</v>
      </c>
      <c r="R168" s="66">
        <f t="shared" si="32"/>
        <v>477000</v>
      </c>
      <c r="S168" s="65">
        <f t="shared" si="33"/>
        <v>6000</v>
      </c>
      <c r="T168" s="66">
        <f t="shared" si="34"/>
        <v>483000</v>
      </c>
      <c r="U168" s="65">
        <f>IF('CAJAS ELABORADAS'!$J168&gt;0,'CAJAS ELABORADAS'!$Y168*'CAJAS ELABORADAS'!$J168,0)</f>
        <v>483000</v>
      </c>
      <c r="V168" s="67">
        <f>'CAJAS ELABORADAS'!$Y168/'DATOS PARA CALCULO'!$D$27</f>
        <v>1.1499999999999999</v>
      </c>
      <c r="W168" s="64">
        <f>(Tabla1[[#This Row],[Valor Pagado]]-Tabla1[[#This Row],[PRODUCIDO BOLSAS]])/Tabla1[[#This Row],[Cajas Elaboradas]]</f>
        <v>1500</v>
      </c>
      <c r="X168" s="83">
        <f t="shared" si="35"/>
        <v>34500</v>
      </c>
      <c r="Y168" s="84">
        <f>IF('CAJAS ELABORADAS'!$X168&lt;'DATOS PARA CALCULO'!$D$27,'DATOS PARA CALCULO'!$D$27,'CAJAS ELABORADAS'!$X168)</f>
        <v>34500</v>
      </c>
      <c r="Z168" s="94">
        <f>Tabla1[[#This Row],[VALOR  A PAGAR]]-Tabla1[[#This Row],[VALOR GANADO]]</f>
        <v>0</v>
      </c>
      <c r="AA168" s="64"/>
    </row>
    <row r="169" spans="3:27" ht="18.75" x14ac:dyDescent="0.25">
      <c r="C169" s="71">
        <v>44544</v>
      </c>
      <c r="D169" s="507">
        <f>YEAR(Tabla1[[#This Row],[FECHA]])</f>
        <v>2021</v>
      </c>
      <c r="E169" s="72">
        <f>_xlfn.ISOWEEKNUM(Tabla1[[#This Row],[FECHA]])</f>
        <v>50</v>
      </c>
      <c r="F169" s="72" t="s">
        <v>153</v>
      </c>
      <c r="G169" s="73" t="s">
        <v>30</v>
      </c>
      <c r="H169" s="74">
        <f>13.5*4</f>
        <v>54</v>
      </c>
      <c r="I169" s="72">
        <v>10</v>
      </c>
      <c r="J169" s="72">
        <v>4</v>
      </c>
      <c r="K169" s="75">
        <f>163+194</f>
        <v>357</v>
      </c>
      <c r="L169" s="93">
        <f>147+182</f>
        <v>329</v>
      </c>
      <c r="M169" s="75">
        <f>+Tabla1[[#This Row],[Rasimos Cosechados]]-Tabla1[[#This Row],[Rasimos Prosesados]]</f>
        <v>28</v>
      </c>
      <c r="N169" s="77">
        <f>+Tabla1[[#This Row],[Rasimos Cosechados]]/Tabla1[[#This Row],[Cajas Elaboradas]]</f>
        <v>6.6111111111111107</v>
      </c>
      <c r="O169" s="78">
        <f>+Tabla1[[#This Row],[Rasimos Prosesados]]/Tabla1[[#This Row],[Cajas Elaboradas]]</f>
        <v>6.0925925925925926</v>
      </c>
      <c r="P169" s="66">
        <f>IF(H169,'DATOS PARA CALCULO'!D$18,0)</f>
        <v>1500</v>
      </c>
      <c r="Q169" s="65">
        <f>IF(I169,'DATOS PARA CALCULO'!D$22,0)</f>
        <v>500</v>
      </c>
      <c r="R169" s="66">
        <f t="shared" si="32"/>
        <v>81000</v>
      </c>
      <c r="S169" s="65">
        <f t="shared" si="33"/>
        <v>5000</v>
      </c>
      <c r="T169" s="66">
        <f t="shared" si="34"/>
        <v>86000</v>
      </c>
      <c r="U169" s="65">
        <f>IF('CAJAS ELABORADAS'!$J169&gt;0,'CAJAS ELABORADAS'!$Y169*'CAJAS ELABORADAS'!$J169,0)</f>
        <v>120000</v>
      </c>
      <c r="V169" s="67">
        <f>'CAJAS ELABORADAS'!$Y169/'DATOS PARA CALCULO'!$D$27</f>
        <v>1</v>
      </c>
      <c r="W169" s="64">
        <f>(Tabla1[[#This Row],[Valor Pagado]]-Tabla1[[#This Row],[PRODUCIDO BOLSAS]])/Tabla1[[#This Row],[Cajas Elaboradas]]</f>
        <v>2129.6296296296296</v>
      </c>
      <c r="X169" s="83">
        <f t="shared" si="35"/>
        <v>21500</v>
      </c>
      <c r="Y169" s="84">
        <f>IF('CAJAS ELABORADAS'!$X169&lt;'DATOS PARA CALCULO'!$D$27,'DATOS PARA CALCULO'!$D$27,'CAJAS ELABORADAS'!$X169)</f>
        <v>30000</v>
      </c>
      <c r="Z169" s="94">
        <f>Tabla1[[#This Row],[VALOR  A PAGAR]]-Tabla1[[#This Row],[VALOR GANADO]]</f>
        <v>8500</v>
      </c>
      <c r="AA169" s="64"/>
    </row>
    <row r="170" spans="3:27" ht="18.75" x14ac:dyDescent="0.25">
      <c r="C170" s="71">
        <v>44546</v>
      </c>
      <c r="D170" s="507">
        <f>YEAR(Tabla1[[#This Row],[FECHA]])</f>
        <v>2021</v>
      </c>
      <c r="E170" s="72">
        <f>_xlfn.ISOWEEKNUM(Tabla1[[#This Row],[FECHA]])</f>
        <v>50</v>
      </c>
      <c r="F170" s="72" t="s">
        <v>157</v>
      </c>
      <c r="G170" s="73" t="s">
        <v>31</v>
      </c>
      <c r="H170" s="74">
        <v>103</v>
      </c>
      <c r="I170" s="72">
        <f>10.2*6</f>
        <v>61.199999999999996</v>
      </c>
      <c r="J170" s="72">
        <v>6</v>
      </c>
      <c r="K170" s="75">
        <v>688</v>
      </c>
      <c r="L170" s="93">
        <v>585</v>
      </c>
      <c r="M170" s="75">
        <f>+Tabla1[[#This Row],[Rasimos Cosechados]]-Tabla1[[#This Row],[Rasimos Prosesados]]</f>
        <v>103</v>
      </c>
      <c r="N170" s="77">
        <f>+Tabla1[[#This Row],[Rasimos Cosechados]]/Tabla1[[#This Row],[Cajas Elaboradas]]</f>
        <v>6.6796116504854366</v>
      </c>
      <c r="O170" s="78">
        <f>+Tabla1[[#This Row],[Rasimos Prosesados]]/Tabla1[[#This Row],[Cajas Elaboradas]]</f>
        <v>5.6796116504854366</v>
      </c>
      <c r="P170" s="66">
        <v>2100</v>
      </c>
      <c r="Q170" s="65">
        <f>IF(I170,'DATOS PARA CALCULO'!D$22,0)</f>
        <v>500</v>
      </c>
      <c r="R170" s="66">
        <f t="shared" si="32"/>
        <v>216300</v>
      </c>
      <c r="S170" s="65">
        <f t="shared" si="33"/>
        <v>30599.999999999996</v>
      </c>
      <c r="T170" s="66">
        <f t="shared" si="34"/>
        <v>246900</v>
      </c>
      <c r="U170" s="65">
        <f>IF('CAJAS ELABORADAS'!$J170&gt;0,'CAJAS ELABORADAS'!$Y170*'CAJAS ELABORADAS'!$J170,0)</f>
        <v>246900</v>
      </c>
      <c r="V170" s="67">
        <f>'CAJAS ELABORADAS'!$Y170/'DATOS PARA CALCULO'!$D$27</f>
        <v>1.3716666666666666</v>
      </c>
      <c r="W170" s="64">
        <f>(Tabla1[[#This Row],[Valor Pagado]]-Tabla1[[#This Row],[PRODUCIDO BOLSAS]])/Tabla1[[#This Row],[Cajas Elaboradas]]</f>
        <v>2100</v>
      </c>
      <c r="X170" s="83">
        <f t="shared" si="35"/>
        <v>41150</v>
      </c>
      <c r="Y170" s="84">
        <f>IF('CAJAS ELABORADAS'!$X170&lt;'DATOS PARA CALCULO'!$D$27,'DATOS PARA CALCULO'!$D$27,'CAJAS ELABORADAS'!$X170)</f>
        <v>41150</v>
      </c>
      <c r="Z170" s="94">
        <f>Tabla1[[#This Row],[VALOR  A PAGAR]]-Tabla1[[#This Row],[VALOR GANADO]]</f>
        <v>0</v>
      </c>
      <c r="AA170" s="64"/>
    </row>
    <row r="171" spans="3:27" ht="18.75" x14ac:dyDescent="0.25">
      <c r="C171" s="71">
        <v>44545</v>
      </c>
      <c r="D171" s="507">
        <f>YEAR(Tabla1[[#This Row],[FECHA]])</f>
        <v>2021</v>
      </c>
      <c r="E171" s="72">
        <f>_xlfn.ISOWEEKNUM(Tabla1[[#This Row],[FECHA]])</f>
        <v>50</v>
      </c>
      <c r="F171" s="57" t="s">
        <v>155</v>
      </c>
      <c r="G171" s="73" t="s">
        <v>28</v>
      </c>
      <c r="H171" s="74">
        <v>51</v>
      </c>
      <c r="I171" s="72">
        <v>9</v>
      </c>
      <c r="J171" s="72">
        <v>5</v>
      </c>
      <c r="K171" s="75">
        <f>155+187+205+230</f>
        <v>777</v>
      </c>
      <c r="L171" s="93">
        <v>727</v>
      </c>
      <c r="M171" s="75">
        <f>+Tabla1[[#This Row],[Rasimos Cosechados]]-Tabla1[[#This Row],[Rasimos Prosesados]]</f>
        <v>50</v>
      </c>
      <c r="N171" s="77">
        <f>+Tabla1[[#This Row],[Rasimos Cosechados]]/Tabla1[[#This Row],[Cajas Elaboradas]]</f>
        <v>15.235294117647058</v>
      </c>
      <c r="O171" s="78">
        <f>+Tabla1[[#This Row],[Rasimos Prosesados]]/Tabla1[[#This Row],[Cajas Elaboradas]]</f>
        <v>14.254901960784315</v>
      </c>
      <c r="P171" s="66">
        <f>IF(H171,'DATOS PARA CALCULO'!D$18,0)</f>
        <v>1500</v>
      </c>
      <c r="Q171" s="65">
        <f>IF(I171,'DATOS PARA CALCULO'!D$22,0)</f>
        <v>500</v>
      </c>
      <c r="R171" s="66">
        <f t="shared" si="32"/>
        <v>76500</v>
      </c>
      <c r="S171" s="65">
        <f t="shared" si="33"/>
        <v>4500</v>
      </c>
      <c r="T171" s="66">
        <f t="shared" si="34"/>
        <v>81000</v>
      </c>
      <c r="U171" s="65">
        <f>IF('CAJAS ELABORADAS'!$J171&gt;0,'CAJAS ELABORADAS'!$Y171*'CAJAS ELABORADAS'!$J171,0)</f>
        <v>150000</v>
      </c>
      <c r="V171" s="67">
        <f>'CAJAS ELABORADAS'!$Y171/'DATOS PARA CALCULO'!$D$27</f>
        <v>1</v>
      </c>
      <c r="W171" s="64">
        <f>(Tabla1[[#This Row],[Valor Pagado]]-Tabla1[[#This Row],[PRODUCIDO BOLSAS]])/Tabla1[[#This Row],[Cajas Elaboradas]]</f>
        <v>2852.9411764705883</v>
      </c>
      <c r="X171" s="83">
        <f t="shared" si="35"/>
        <v>16200</v>
      </c>
      <c r="Y171" s="84">
        <f>IF('CAJAS ELABORADAS'!$X171&lt;'DATOS PARA CALCULO'!$D$27,'DATOS PARA CALCULO'!$D$27,'CAJAS ELABORADAS'!$X171)</f>
        <v>30000</v>
      </c>
      <c r="Z171" s="94">
        <f>Tabla1[[#This Row],[VALOR  A PAGAR]]-Tabla1[[#This Row],[VALOR GANADO]]</f>
        <v>13800</v>
      </c>
      <c r="AA171" s="64"/>
    </row>
    <row r="172" spans="3:27" ht="18.75" x14ac:dyDescent="0.25">
      <c r="C172" s="71">
        <v>44551</v>
      </c>
      <c r="D172" s="507">
        <f>YEAR(Tabla1[[#This Row],[FECHA]])</f>
        <v>2021</v>
      </c>
      <c r="E172" s="72">
        <f>_xlfn.ISOWEEKNUM(Tabla1[[#This Row],[FECHA]])</f>
        <v>51</v>
      </c>
      <c r="F172" s="72" t="s">
        <v>152</v>
      </c>
      <c r="G172" s="73" t="s">
        <v>29</v>
      </c>
      <c r="H172" s="74">
        <v>377</v>
      </c>
      <c r="I172" s="72">
        <v>25.5</v>
      </c>
      <c r="J172" s="72">
        <v>19</v>
      </c>
      <c r="K172" s="75">
        <v>1398</v>
      </c>
      <c r="L172" s="93">
        <f>197+242+234+171+187+80+98</f>
        <v>1209</v>
      </c>
      <c r="M172" s="75">
        <f>+Tabla1[[#This Row],[Rasimos Cosechados]]-Tabla1[[#This Row],[Rasimos Prosesados]]</f>
        <v>189</v>
      </c>
      <c r="N172" s="77">
        <f>+Tabla1[[#This Row],[Rasimos Cosechados]]/Tabla1[[#This Row],[Cajas Elaboradas]]</f>
        <v>3.7082228116710874</v>
      </c>
      <c r="O172" s="78">
        <f>+Tabla1[[#This Row],[Rasimos Prosesados]]/Tabla1[[#This Row],[Cajas Elaboradas]]</f>
        <v>3.2068965517241379</v>
      </c>
      <c r="P172" s="66">
        <f>IF(H172,'DATOS PARA CALCULO'!D$18,0)</f>
        <v>1500</v>
      </c>
      <c r="Q172" s="65">
        <f>IF(I172,'DATOS PARA CALCULO'!D$22,0)</f>
        <v>500</v>
      </c>
      <c r="R172" s="66">
        <f t="shared" si="32"/>
        <v>565500</v>
      </c>
      <c r="S172" s="65">
        <f t="shared" si="33"/>
        <v>12750</v>
      </c>
      <c r="T172" s="66">
        <f t="shared" si="34"/>
        <v>578250</v>
      </c>
      <c r="U172" s="65">
        <f>IF('CAJAS ELABORADAS'!$J172&gt;0,'CAJAS ELABORADAS'!$Y172*'CAJAS ELABORADAS'!$J172,0)</f>
        <v>578250</v>
      </c>
      <c r="V172" s="67">
        <f>'CAJAS ELABORADAS'!$Y172/'DATOS PARA CALCULO'!$D$27</f>
        <v>1.0144736842105264</v>
      </c>
      <c r="W172" s="64">
        <f>(Tabla1[[#This Row],[Valor Pagado]]-Tabla1[[#This Row],[PRODUCIDO BOLSAS]])/Tabla1[[#This Row],[Cajas Elaboradas]]</f>
        <v>1500</v>
      </c>
      <c r="X172" s="83">
        <f t="shared" si="35"/>
        <v>30434.21052631579</v>
      </c>
      <c r="Y172" s="84">
        <f>IF('CAJAS ELABORADAS'!$X172&lt;'DATOS PARA CALCULO'!$D$27,'DATOS PARA CALCULO'!$D$27,'CAJAS ELABORADAS'!$X172)</f>
        <v>30434.21052631579</v>
      </c>
      <c r="Z172" s="94">
        <f>Tabla1[[#This Row],[VALOR  A PAGAR]]-Tabla1[[#This Row],[VALOR GANADO]]</f>
        <v>0</v>
      </c>
      <c r="AA172" s="64"/>
    </row>
    <row r="173" spans="3:27" ht="18.75" x14ac:dyDescent="0.25">
      <c r="C173" s="71">
        <v>44558</v>
      </c>
      <c r="D173" s="507">
        <f>YEAR(Tabla1[[#This Row],[FECHA]])</f>
        <v>2021</v>
      </c>
      <c r="E173" s="72">
        <f>_xlfn.ISOWEEKNUM(Tabla1[[#This Row],[FECHA]])</f>
        <v>52</v>
      </c>
      <c r="F173" s="72" t="s">
        <v>152</v>
      </c>
      <c r="G173" s="73" t="s">
        <v>29</v>
      </c>
      <c r="H173" s="74">
        <f>250+62</f>
        <v>312</v>
      </c>
      <c r="I173" s="72">
        <f>6*3.4</f>
        <v>20.399999999999999</v>
      </c>
      <c r="J173" s="72">
        <v>15</v>
      </c>
      <c r="K173" s="75">
        <f>242+158+148+228+202</f>
        <v>978</v>
      </c>
      <c r="L173" s="93">
        <f>206+137+130+198+178</f>
        <v>849</v>
      </c>
      <c r="M173" s="60">
        <f>+Tabla1[[#This Row],[Rasimos Cosechados]]-Tabla1[[#This Row],[Rasimos Prosesados]]</f>
        <v>129</v>
      </c>
      <c r="N173" s="62">
        <f>+Tabla1[[#This Row],[Rasimos Cosechados]]/Tabla1[[#This Row],[Cajas Elaboradas]]</f>
        <v>3.1346153846153846</v>
      </c>
      <c r="O173" s="63">
        <f>+Tabla1[[#This Row],[Rasimos Prosesados]]/Tabla1[[#This Row],[Cajas Elaboradas]]</f>
        <v>2.7211538461538463</v>
      </c>
      <c r="P173" s="66">
        <f>IF(H173,'DATOS PARA CALCULO'!D$18,0)</f>
        <v>1500</v>
      </c>
      <c r="Q173" s="65">
        <f>IF(I173,'DATOS PARA CALCULO'!D$22,0)</f>
        <v>500</v>
      </c>
      <c r="R173" s="66">
        <f t="shared" si="32"/>
        <v>468000</v>
      </c>
      <c r="S173" s="65">
        <f t="shared" si="33"/>
        <v>10200</v>
      </c>
      <c r="T173" s="66">
        <f t="shared" si="34"/>
        <v>478200</v>
      </c>
      <c r="U173" s="65">
        <f>IF('CAJAS ELABORADAS'!$J173&gt;0,'CAJAS ELABORADAS'!$Y173*'CAJAS ELABORADAS'!$J173,0)</f>
        <v>478200</v>
      </c>
      <c r="V173" s="67">
        <f>'CAJAS ELABORADAS'!$Y173/'DATOS PARA CALCULO'!$D$27</f>
        <v>1.0626666666666666</v>
      </c>
      <c r="W173" s="64">
        <f>(Tabla1[[#This Row],[Valor Pagado]]-Tabla1[[#This Row],[PRODUCIDO BOLSAS]])/Tabla1[[#This Row],[Cajas Elaboradas]]</f>
        <v>1500</v>
      </c>
      <c r="X173" s="83">
        <f t="shared" si="35"/>
        <v>31880</v>
      </c>
      <c r="Y173" s="84">
        <f>IF('CAJAS ELABORADAS'!$X173&lt;'DATOS PARA CALCULO'!$D$27,'DATOS PARA CALCULO'!$D$27,'CAJAS ELABORADAS'!$X173)</f>
        <v>31880</v>
      </c>
      <c r="Z173" s="94">
        <f>Tabla1[[#This Row],[VALOR  A PAGAR]]-Tabla1[[#This Row],[VALOR GANADO]]</f>
        <v>0</v>
      </c>
      <c r="AA173" s="64"/>
    </row>
    <row r="174" spans="3:27" ht="18.75" x14ac:dyDescent="0.25">
      <c r="C174" s="71">
        <v>44558</v>
      </c>
      <c r="D174" s="507">
        <f>YEAR(Tabla1[[#This Row],[FECHA]])</f>
        <v>2021</v>
      </c>
      <c r="E174" s="72">
        <f>_xlfn.ISOWEEKNUM(Tabla1[[#This Row],[FECHA]])</f>
        <v>52</v>
      </c>
      <c r="F174" s="72" t="s">
        <v>153</v>
      </c>
      <c r="G174" s="73" t="s">
        <v>30</v>
      </c>
      <c r="H174" s="74">
        <f>60+20</f>
        <v>80</v>
      </c>
      <c r="I174" s="72">
        <f>85*0.12</f>
        <v>10.199999999999999</v>
      </c>
      <c r="J174" s="72">
        <v>4</v>
      </c>
      <c r="K174" s="75">
        <v>331</v>
      </c>
      <c r="L174" s="93">
        <v>322</v>
      </c>
      <c r="M174" s="60">
        <f>+Tabla1[[#This Row],[Rasimos Cosechados]]-Tabla1[[#This Row],[Rasimos Prosesados]]</f>
        <v>9</v>
      </c>
      <c r="N174" s="62">
        <f>+Tabla1[[#This Row],[Rasimos Cosechados]]/Tabla1[[#This Row],[Cajas Elaboradas]]</f>
        <v>4.1375000000000002</v>
      </c>
      <c r="O174" s="63">
        <f>+Tabla1[[#This Row],[Rasimos Prosesados]]/Tabla1[[#This Row],[Cajas Elaboradas]]</f>
        <v>4.0250000000000004</v>
      </c>
      <c r="P174" s="66">
        <f>IF(H174,'DATOS PARA CALCULO'!D$18,0)</f>
        <v>1500</v>
      </c>
      <c r="Q174" s="65">
        <f>IF(I174,'DATOS PARA CALCULO'!D$22,0)</f>
        <v>500</v>
      </c>
      <c r="R174" s="66">
        <f t="shared" si="32"/>
        <v>120000</v>
      </c>
      <c r="S174" s="65">
        <f t="shared" si="33"/>
        <v>5100</v>
      </c>
      <c r="T174" s="66">
        <f t="shared" si="34"/>
        <v>125100</v>
      </c>
      <c r="U174" s="65">
        <f>IF('CAJAS ELABORADAS'!$J174&gt;0,'CAJAS ELABORADAS'!$Y174*'CAJAS ELABORADAS'!$J174,0)</f>
        <v>125100</v>
      </c>
      <c r="V174" s="67">
        <f>'CAJAS ELABORADAS'!$Y174/'DATOS PARA CALCULO'!$D$27</f>
        <v>1.0425</v>
      </c>
      <c r="W174" s="64">
        <f>(Tabla1[[#This Row],[Valor Pagado]]-Tabla1[[#This Row],[PRODUCIDO BOLSAS]])/Tabla1[[#This Row],[Cajas Elaboradas]]</f>
        <v>1500</v>
      </c>
      <c r="X174" s="83">
        <f t="shared" si="35"/>
        <v>31275</v>
      </c>
      <c r="Y174" s="84">
        <f>IF('CAJAS ELABORADAS'!$X174&lt;'DATOS PARA CALCULO'!$D$27,'DATOS PARA CALCULO'!$D$27,'CAJAS ELABORADAS'!$X174)</f>
        <v>31275</v>
      </c>
      <c r="Z174" s="94">
        <f>Tabla1[[#This Row],[VALOR  A PAGAR]]-Tabla1[[#This Row],[VALOR GANADO]]</f>
        <v>0</v>
      </c>
      <c r="AA174" s="64"/>
    </row>
    <row r="175" spans="3:27" ht="18.75" x14ac:dyDescent="0.25">
      <c r="C175" s="71">
        <v>44559</v>
      </c>
      <c r="D175" s="507">
        <f>YEAR(Tabla1[[#This Row],[FECHA]])</f>
        <v>2021</v>
      </c>
      <c r="E175" s="72">
        <f>_xlfn.ISOWEEKNUM(Tabla1[[#This Row],[FECHA]])</f>
        <v>52</v>
      </c>
      <c r="F175" s="72" t="s">
        <v>152</v>
      </c>
      <c r="G175" s="73" t="s">
        <v>29</v>
      </c>
      <c r="H175" s="74">
        <v>221</v>
      </c>
      <c r="I175" s="72">
        <v>6</v>
      </c>
      <c r="J175" s="72">
        <v>12</v>
      </c>
      <c r="K175" s="75">
        <f>242+158+148+228+202</f>
        <v>978</v>
      </c>
      <c r="L175" s="93">
        <f>206+137+130+198+178</f>
        <v>849</v>
      </c>
      <c r="M175" s="60">
        <f>+Tabla1[[#This Row],[Rasimos Cosechados]]-Tabla1[[#This Row],[Rasimos Prosesados]]</f>
        <v>129</v>
      </c>
      <c r="N175" s="62">
        <f>+Tabla1[[#This Row],[Rasimos Cosechados]]/Tabla1[[#This Row],[Cajas Elaboradas]]</f>
        <v>4.4253393665158374</v>
      </c>
      <c r="O175" s="63">
        <f>+Tabla1[[#This Row],[Rasimos Prosesados]]/Tabla1[[#This Row],[Cajas Elaboradas]]</f>
        <v>3.8416289592760182</v>
      </c>
      <c r="P175" s="66">
        <f>IF(H175,'DATOS PARA CALCULO'!D$18,0)</f>
        <v>1500</v>
      </c>
      <c r="Q175" s="65">
        <f>IF(I175,'DATOS PARA CALCULO'!D$22,0)</f>
        <v>500</v>
      </c>
      <c r="R175" s="66">
        <f t="shared" si="32"/>
        <v>331500</v>
      </c>
      <c r="S175" s="65">
        <f t="shared" si="33"/>
        <v>3000</v>
      </c>
      <c r="T175" s="66">
        <f t="shared" si="34"/>
        <v>334500</v>
      </c>
      <c r="U175" s="65">
        <f>IF('CAJAS ELABORADAS'!$J175&gt;0,'CAJAS ELABORADAS'!$Y175*'CAJAS ELABORADAS'!$J175,0)</f>
        <v>360000</v>
      </c>
      <c r="V175" s="67">
        <f>'CAJAS ELABORADAS'!$Y175/'DATOS PARA CALCULO'!$D$27</f>
        <v>1</v>
      </c>
      <c r="W175" s="64">
        <f>(Tabla1[[#This Row],[Valor Pagado]]-Tabla1[[#This Row],[PRODUCIDO BOLSAS]])/Tabla1[[#This Row],[Cajas Elaboradas]]</f>
        <v>1615.3846153846155</v>
      </c>
      <c r="X175" s="83">
        <f t="shared" si="35"/>
        <v>27875</v>
      </c>
      <c r="Y175" s="84">
        <f>IF('CAJAS ELABORADAS'!$X175&lt;'DATOS PARA CALCULO'!$D$27,'DATOS PARA CALCULO'!$D$27,'CAJAS ELABORADAS'!$X175)</f>
        <v>30000</v>
      </c>
      <c r="Z175" s="94">
        <f>Tabla1[[#This Row],[VALOR  A PAGAR]]-Tabla1[[#This Row],[VALOR GANADO]]</f>
        <v>2125</v>
      </c>
      <c r="AA175" s="64"/>
    </row>
    <row r="176" spans="3:27" ht="18.75" x14ac:dyDescent="0.25">
      <c r="C176" s="71">
        <v>44559</v>
      </c>
      <c r="D176" s="507">
        <f>YEAR(Tabla1[[#This Row],[FECHA]])</f>
        <v>2021</v>
      </c>
      <c r="E176" s="72">
        <f>_xlfn.ISOWEEKNUM(Tabla1[[#This Row],[FECHA]])</f>
        <v>52</v>
      </c>
      <c r="F176" s="57" t="s">
        <v>155</v>
      </c>
      <c r="G176" s="73" t="s">
        <v>28</v>
      </c>
      <c r="H176" s="74">
        <v>120</v>
      </c>
      <c r="I176" s="72">
        <f>10*3.6</f>
        <v>36</v>
      </c>
      <c r="J176" s="72">
        <v>5</v>
      </c>
      <c r="K176" s="75">
        <f>204+233+112+186</f>
        <v>735</v>
      </c>
      <c r="L176" s="93">
        <v>689</v>
      </c>
      <c r="M176" s="60">
        <f>+Tabla1[[#This Row],[Rasimos Cosechados]]-Tabla1[[#This Row],[Rasimos Prosesados]]</f>
        <v>46</v>
      </c>
      <c r="N176" s="62">
        <f>+Tabla1[[#This Row],[Rasimos Cosechados]]/Tabla1[[#This Row],[Cajas Elaboradas]]</f>
        <v>6.125</v>
      </c>
      <c r="O176" s="63">
        <f>+Tabla1[[#This Row],[Rasimos Prosesados]]/Tabla1[[#This Row],[Cajas Elaboradas]]</f>
        <v>5.7416666666666663</v>
      </c>
      <c r="P176" s="66">
        <f>IF(H176,'DATOS PARA CALCULO'!D$18,0)</f>
        <v>1500</v>
      </c>
      <c r="Q176" s="65">
        <f>IF(I176,'DATOS PARA CALCULO'!D$22,0)</f>
        <v>500</v>
      </c>
      <c r="R176" s="66">
        <f t="shared" si="32"/>
        <v>180000</v>
      </c>
      <c r="S176" s="65">
        <f t="shared" si="33"/>
        <v>18000</v>
      </c>
      <c r="T176" s="66">
        <f t="shared" si="34"/>
        <v>198000</v>
      </c>
      <c r="U176" s="65">
        <f>IF('CAJAS ELABORADAS'!$J176&gt;0,'CAJAS ELABORADAS'!$Y176*'CAJAS ELABORADAS'!$J176,0)</f>
        <v>198000</v>
      </c>
      <c r="V176" s="67">
        <f>'CAJAS ELABORADAS'!$Y176/'DATOS PARA CALCULO'!$D$27</f>
        <v>1.32</v>
      </c>
      <c r="W176" s="64">
        <f>(Tabla1[[#This Row],[Valor Pagado]]-Tabla1[[#This Row],[PRODUCIDO BOLSAS]])/Tabla1[[#This Row],[Cajas Elaboradas]]</f>
        <v>1500</v>
      </c>
      <c r="X176" s="83">
        <f t="shared" si="35"/>
        <v>39600</v>
      </c>
      <c r="Y176" s="84">
        <f>IF('CAJAS ELABORADAS'!$X176&lt;'DATOS PARA CALCULO'!$D$27,'DATOS PARA CALCULO'!$D$27,'CAJAS ELABORADAS'!$X176)</f>
        <v>39600</v>
      </c>
      <c r="Z176" s="94">
        <f>Tabla1[[#This Row],[VALOR  A PAGAR]]-Tabla1[[#This Row],[VALOR GANADO]]</f>
        <v>0</v>
      </c>
      <c r="AA176" s="64"/>
    </row>
    <row r="177" spans="3:27" ht="18.75" x14ac:dyDescent="0.25">
      <c r="C177" s="71">
        <v>44559</v>
      </c>
      <c r="D177" s="507">
        <f>YEAR(Tabla1[[#This Row],[FECHA]])</f>
        <v>2021</v>
      </c>
      <c r="E177" s="72">
        <f>_xlfn.ISOWEEKNUM(Tabla1[[#This Row],[FECHA]])</f>
        <v>52</v>
      </c>
      <c r="F177" s="72" t="s">
        <v>157</v>
      </c>
      <c r="G177" s="73" t="s">
        <v>31</v>
      </c>
      <c r="H177" s="74">
        <v>81</v>
      </c>
      <c r="I177" s="72">
        <v>11</v>
      </c>
      <c r="J177" s="72">
        <v>7</v>
      </c>
      <c r="K177" s="75">
        <v>523</v>
      </c>
      <c r="L177" s="93">
        <v>498</v>
      </c>
      <c r="M177" s="60">
        <f>+Tabla1[[#This Row],[Rasimos Cosechados]]-Tabla1[[#This Row],[Rasimos Prosesados]]</f>
        <v>25</v>
      </c>
      <c r="N177" s="62">
        <f>+Tabla1[[#This Row],[Rasimos Cosechados]]/Tabla1[[#This Row],[Cajas Elaboradas]]</f>
        <v>6.4567901234567904</v>
      </c>
      <c r="O177" s="63">
        <f>+Tabla1[[#This Row],[Rasimos Prosesados]]/Tabla1[[#This Row],[Cajas Elaboradas]]</f>
        <v>6.1481481481481479</v>
      </c>
      <c r="P177" s="66">
        <v>2100</v>
      </c>
      <c r="Q177" s="65">
        <f>IF(I177,'DATOS PARA CALCULO'!D$22,0)</f>
        <v>500</v>
      </c>
      <c r="R177" s="66">
        <f t="shared" si="32"/>
        <v>170100</v>
      </c>
      <c r="S177" s="65">
        <f t="shared" si="33"/>
        <v>5500</v>
      </c>
      <c r="T177" s="66">
        <f t="shared" si="34"/>
        <v>175600</v>
      </c>
      <c r="U177" s="65">
        <f>IF('CAJAS ELABORADAS'!$J177&gt;0,'CAJAS ELABORADAS'!$Y177*'CAJAS ELABORADAS'!$J177,0)</f>
        <v>210000</v>
      </c>
      <c r="V177" s="67">
        <f>'CAJAS ELABORADAS'!$Y177/'DATOS PARA CALCULO'!$D$27</f>
        <v>1</v>
      </c>
      <c r="W177" s="64">
        <f>(Tabla1[[#This Row],[Valor Pagado]]-Tabla1[[#This Row],[PRODUCIDO BOLSAS]])/Tabla1[[#This Row],[Cajas Elaboradas]]</f>
        <v>2524.6913580246915</v>
      </c>
      <c r="X177" s="83">
        <f t="shared" si="35"/>
        <v>25085.714285714286</v>
      </c>
      <c r="Y177" s="84">
        <f>IF('CAJAS ELABORADAS'!$X177&lt;'DATOS PARA CALCULO'!$D$27,'DATOS PARA CALCULO'!$D$27,'CAJAS ELABORADAS'!$X177)</f>
        <v>30000</v>
      </c>
      <c r="Z177" s="94">
        <f>Tabla1[[#This Row],[VALOR  A PAGAR]]-Tabla1[[#This Row],[VALOR GANADO]]</f>
        <v>4914.2857142857138</v>
      </c>
      <c r="AA177" s="64"/>
    </row>
    <row r="178" spans="3:27" ht="18.75" x14ac:dyDescent="0.25">
      <c r="C178" s="71">
        <v>44565</v>
      </c>
      <c r="D178" s="507">
        <f>YEAR(Tabla1[[#This Row],[FECHA]])</f>
        <v>2022</v>
      </c>
      <c r="E178" s="72">
        <f>_xlfn.ISOWEEKNUM(Tabla1[[#This Row],[FECHA]])</f>
        <v>1</v>
      </c>
      <c r="F178" s="72" t="s">
        <v>152</v>
      </c>
      <c r="G178" s="73" t="s">
        <v>29</v>
      </c>
      <c r="H178" s="74">
        <f>251+79</f>
        <v>330</v>
      </c>
      <c r="I178" s="72">
        <v>21</v>
      </c>
      <c r="J178" s="72">
        <v>13</v>
      </c>
      <c r="K178" s="75">
        <v>1091</v>
      </c>
      <c r="L178" s="93">
        <f>205+302+112+472-58-15-36-20</f>
        <v>962</v>
      </c>
      <c r="M178" s="60">
        <f>+Tabla1[[#This Row],[Rasimos Cosechados]]-Tabla1[[#This Row],[Rasimos Prosesados]]</f>
        <v>129</v>
      </c>
      <c r="N178" s="62">
        <f>+Tabla1[[#This Row],[Rasimos Cosechados]]/Tabla1[[#This Row],[Cajas Elaboradas]]</f>
        <v>3.3060606060606061</v>
      </c>
      <c r="O178" s="63">
        <f>+Tabla1[[#This Row],[Rasimos Prosesados]]/Tabla1[[#This Row],[Cajas Elaboradas]]</f>
        <v>2.915151515151515</v>
      </c>
      <c r="P178" s="66">
        <f>IF(H178,'DATOS PARA CALCULO'!D$18,0)</f>
        <v>1500</v>
      </c>
      <c r="Q178" s="65">
        <f>IF(I178,'DATOS PARA CALCULO'!D$22,0)</f>
        <v>500</v>
      </c>
      <c r="R178" s="66">
        <f t="shared" si="32"/>
        <v>495000</v>
      </c>
      <c r="S178" s="65">
        <f t="shared" si="33"/>
        <v>10500</v>
      </c>
      <c r="T178" s="66">
        <f t="shared" si="34"/>
        <v>505500</v>
      </c>
      <c r="U178" s="65">
        <f>IF('CAJAS ELABORADAS'!$J178&gt;0,'CAJAS ELABORADAS'!$Y178*'CAJAS ELABORADAS'!$J178,0)</f>
        <v>505500</v>
      </c>
      <c r="V178" s="67">
        <f>'CAJAS ELABORADAS'!$Y178/'DATOS PARA CALCULO'!$D$27</f>
        <v>1.296153846153846</v>
      </c>
      <c r="W178" s="64">
        <f>(Tabla1[[#This Row],[Valor Pagado]]-Tabla1[[#This Row],[PRODUCIDO BOLSAS]])/Tabla1[[#This Row],[Cajas Elaboradas]]</f>
        <v>1500</v>
      </c>
      <c r="X178" s="83">
        <f t="shared" si="35"/>
        <v>38884.615384615383</v>
      </c>
      <c r="Y178" s="84">
        <f>IF('CAJAS ELABORADAS'!$X178&lt;'DATOS PARA CALCULO'!$D$27,'DATOS PARA CALCULO'!$D$27,'CAJAS ELABORADAS'!$X178)</f>
        <v>38884.615384615383</v>
      </c>
      <c r="Z178" s="94">
        <f>Tabla1[[#This Row],[VALOR  A PAGAR]]-Tabla1[[#This Row],[VALOR GANADO]]</f>
        <v>0</v>
      </c>
      <c r="AA178" s="64"/>
    </row>
    <row r="179" spans="3:27" ht="18.75" x14ac:dyDescent="0.25">
      <c r="C179" s="71">
        <v>44565</v>
      </c>
      <c r="D179" s="507">
        <f>YEAR(Tabla1[[#This Row],[FECHA]])</f>
        <v>2022</v>
      </c>
      <c r="E179" s="72">
        <f>_xlfn.ISOWEEKNUM(Tabla1[[#This Row],[FECHA]])</f>
        <v>1</v>
      </c>
      <c r="F179" s="72" t="s">
        <v>153</v>
      </c>
      <c r="G179" s="73" t="s">
        <v>30</v>
      </c>
      <c r="H179" s="74">
        <f>60+22</f>
        <v>82</v>
      </c>
      <c r="I179" s="72">
        <v>3.4</v>
      </c>
      <c r="J179" s="72">
        <v>4</v>
      </c>
      <c r="K179" s="75">
        <f>206+156</f>
        <v>362</v>
      </c>
      <c r="L179" s="93"/>
      <c r="M179" s="60">
        <f>+Tabla1[[#This Row],[Rasimos Cosechados]]-Tabla1[[#This Row],[Rasimos Prosesados]]</f>
        <v>362</v>
      </c>
      <c r="N179" s="62">
        <f>+Tabla1[[#This Row],[Rasimos Cosechados]]/Tabla1[[#This Row],[Cajas Elaboradas]]</f>
        <v>4.4146341463414638</v>
      </c>
      <c r="O179" s="63">
        <f>+Tabla1[[#This Row],[Rasimos Prosesados]]/Tabla1[[#This Row],[Cajas Elaboradas]]</f>
        <v>0</v>
      </c>
      <c r="P179" s="66">
        <f>IF(H179,'DATOS PARA CALCULO'!D$18,0)</f>
        <v>1500</v>
      </c>
      <c r="Q179" s="65">
        <f>IF(I179,'DATOS PARA CALCULO'!D$22,0)</f>
        <v>500</v>
      </c>
      <c r="R179" s="66">
        <f t="shared" si="32"/>
        <v>123000</v>
      </c>
      <c r="S179" s="65">
        <f t="shared" si="33"/>
        <v>1700</v>
      </c>
      <c r="T179" s="66">
        <f t="shared" si="34"/>
        <v>124700</v>
      </c>
      <c r="U179" s="65">
        <f>IF('CAJAS ELABORADAS'!$J179&gt;0,'CAJAS ELABORADAS'!$Y179*'CAJAS ELABORADAS'!$J179,0)</f>
        <v>124700</v>
      </c>
      <c r="V179" s="67">
        <f>'CAJAS ELABORADAS'!$Y179/'DATOS PARA CALCULO'!$D$27</f>
        <v>1.0391666666666666</v>
      </c>
      <c r="W179" s="64">
        <f>(Tabla1[[#This Row],[Valor Pagado]]-Tabla1[[#This Row],[PRODUCIDO BOLSAS]])/Tabla1[[#This Row],[Cajas Elaboradas]]</f>
        <v>1500</v>
      </c>
      <c r="X179" s="83">
        <f t="shared" si="35"/>
        <v>31175</v>
      </c>
      <c r="Y179" s="84">
        <f>IF('CAJAS ELABORADAS'!$X179&lt;'DATOS PARA CALCULO'!$D$27,'DATOS PARA CALCULO'!$D$27,'CAJAS ELABORADAS'!$X179)</f>
        <v>31175</v>
      </c>
      <c r="Z179" s="94">
        <f>Tabla1[[#This Row],[VALOR  A PAGAR]]-Tabla1[[#This Row],[VALOR GANADO]]</f>
        <v>0</v>
      </c>
      <c r="AA179" s="64"/>
    </row>
    <row r="180" spans="3:27" ht="18.75" x14ac:dyDescent="0.25">
      <c r="C180" s="71">
        <v>44566</v>
      </c>
      <c r="D180" s="507">
        <f>YEAR(Tabla1[[#This Row],[FECHA]])</f>
        <v>2022</v>
      </c>
      <c r="E180" s="72">
        <f>_xlfn.ISOWEEKNUM(Tabla1[[#This Row],[FECHA]])</f>
        <v>1</v>
      </c>
      <c r="F180" s="72" t="s">
        <v>152</v>
      </c>
      <c r="G180" s="73" t="s">
        <v>29</v>
      </c>
      <c r="H180" s="74">
        <f>202+101</f>
        <v>303</v>
      </c>
      <c r="I180" s="72">
        <v>13</v>
      </c>
      <c r="J180" s="72">
        <v>14</v>
      </c>
      <c r="K180" s="75">
        <v>917</v>
      </c>
      <c r="L180" s="93">
        <f>119+201+238+209+150-16-20-27-23-17</f>
        <v>814</v>
      </c>
      <c r="M180" s="60">
        <f>+Tabla1[[#This Row],[Rasimos Cosechados]]-Tabla1[[#This Row],[Rasimos Prosesados]]</f>
        <v>103</v>
      </c>
      <c r="N180" s="62">
        <f>+Tabla1[[#This Row],[Rasimos Cosechados]]/Tabla1[[#This Row],[Cajas Elaboradas]]</f>
        <v>3.0264026402640263</v>
      </c>
      <c r="O180" s="63">
        <f>+Tabla1[[#This Row],[Rasimos Prosesados]]/Tabla1[[#This Row],[Cajas Elaboradas]]</f>
        <v>2.6864686468646863</v>
      </c>
      <c r="P180" s="66">
        <f>IF(H180,'DATOS PARA CALCULO'!D$18,0)</f>
        <v>1500</v>
      </c>
      <c r="Q180" s="65">
        <f>IF(I180,'DATOS PARA CALCULO'!D$22,0)</f>
        <v>500</v>
      </c>
      <c r="R180" s="66">
        <f t="shared" si="32"/>
        <v>454500</v>
      </c>
      <c r="S180" s="65">
        <f t="shared" si="33"/>
        <v>6500</v>
      </c>
      <c r="T180" s="66">
        <f t="shared" si="34"/>
        <v>461000</v>
      </c>
      <c r="U180" s="65">
        <f>IF('CAJAS ELABORADAS'!$J180&gt;0,'CAJAS ELABORADAS'!$Y180*'CAJAS ELABORADAS'!$J180,0)</f>
        <v>461000</v>
      </c>
      <c r="V180" s="67">
        <f>'CAJAS ELABORADAS'!$Y180/'DATOS PARA CALCULO'!$D$27</f>
        <v>1.0976190476190475</v>
      </c>
      <c r="W180" s="64">
        <f>(Tabla1[[#This Row],[Valor Pagado]]-Tabla1[[#This Row],[PRODUCIDO BOLSAS]])/Tabla1[[#This Row],[Cajas Elaboradas]]</f>
        <v>1500</v>
      </c>
      <c r="X180" s="83">
        <f t="shared" si="35"/>
        <v>32928.571428571428</v>
      </c>
      <c r="Y180" s="84">
        <f>IF('CAJAS ELABORADAS'!$X180&lt;'DATOS PARA CALCULO'!$D$27,'DATOS PARA CALCULO'!$D$27,'CAJAS ELABORADAS'!$X180)</f>
        <v>32928.571428571428</v>
      </c>
      <c r="Z180" s="94">
        <f>Tabla1[[#This Row],[VALOR  A PAGAR]]-Tabla1[[#This Row],[VALOR GANADO]]</f>
        <v>0</v>
      </c>
      <c r="AA180" s="64"/>
    </row>
    <row r="181" spans="3:27" ht="18.75" x14ac:dyDescent="0.25">
      <c r="C181" s="71">
        <v>44566</v>
      </c>
      <c r="D181" s="507">
        <f>YEAR(Tabla1[[#This Row],[FECHA]])</f>
        <v>2022</v>
      </c>
      <c r="E181" s="72">
        <f>_xlfn.ISOWEEKNUM(Tabla1[[#This Row],[FECHA]])</f>
        <v>1</v>
      </c>
      <c r="F181" s="72" t="s">
        <v>157</v>
      </c>
      <c r="G181" s="73" t="s">
        <v>31</v>
      </c>
      <c r="H181" s="74">
        <v>77</v>
      </c>
      <c r="I181" s="72">
        <v>49</v>
      </c>
      <c r="J181" s="72">
        <v>6</v>
      </c>
      <c r="K181" s="75">
        <v>434</v>
      </c>
      <c r="L181" s="93">
        <v>364</v>
      </c>
      <c r="M181" s="60">
        <f>+Tabla1[[#This Row],[Rasimos Cosechados]]-Tabla1[[#This Row],[Rasimos Prosesados]]</f>
        <v>70</v>
      </c>
      <c r="N181" s="62">
        <f>+Tabla1[[#This Row],[Rasimos Cosechados]]/Tabla1[[#This Row],[Cajas Elaboradas]]</f>
        <v>5.6363636363636367</v>
      </c>
      <c r="O181" s="63">
        <f>+Tabla1[[#This Row],[Rasimos Prosesados]]/Tabla1[[#This Row],[Cajas Elaboradas]]</f>
        <v>4.7272727272727275</v>
      </c>
      <c r="P181" s="66">
        <v>2100</v>
      </c>
      <c r="Q181" s="65">
        <f>IF(I181,'DATOS PARA CALCULO'!D$22,0)</f>
        <v>500</v>
      </c>
      <c r="R181" s="66">
        <f t="shared" si="32"/>
        <v>161700</v>
      </c>
      <c r="S181" s="65">
        <f t="shared" si="33"/>
        <v>24500</v>
      </c>
      <c r="T181" s="66">
        <f t="shared" si="34"/>
        <v>186200</v>
      </c>
      <c r="U181" s="65">
        <f>IF('CAJAS ELABORADAS'!$J181&gt;0,'CAJAS ELABORADAS'!$Y181*'CAJAS ELABORADAS'!$J181,0)</f>
        <v>186200</v>
      </c>
      <c r="V181" s="67">
        <f>'CAJAS ELABORADAS'!$Y181/'DATOS PARA CALCULO'!$D$27</f>
        <v>1.0344444444444445</v>
      </c>
      <c r="W181" s="64">
        <f>(Tabla1[[#This Row],[Valor Pagado]]-Tabla1[[#This Row],[PRODUCIDO BOLSAS]])/Tabla1[[#This Row],[Cajas Elaboradas]]</f>
        <v>2100</v>
      </c>
      <c r="X181" s="83">
        <f t="shared" si="35"/>
        <v>31033.333333333332</v>
      </c>
      <c r="Y181" s="84">
        <f>IF('CAJAS ELABORADAS'!$X181&lt;'DATOS PARA CALCULO'!$D$27,'DATOS PARA CALCULO'!$D$27,'CAJAS ELABORADAS'!$X181)</f>
        <v>31033.333333333332</v>
      </c>
      <c r="Z181" s="94">
        <f>Tabla1[[#This Row],[VALOR  A PAGAR]]-Tabla1[[#This Row],[VALOR GANADO]]</f>
        <v>0</v>
      </c>
      <c r="AA181" s="64"/>
    </row>
    <row r="182" spans="3:27" ht="18.75" x14ac:dyDescent="0.25">
      <c r="C182" s="71">
        <v>44566</v>
      </c>
      <c r="D182" s="507">
        <f>YEAR(Tabla1[[#This Row],[FECHA]])</f>
        <v>2022</v>
      </c>
      <c r="E182" s="72">
        <f>_xlfn.ISOWEEKNUM(Tabla1[[#This Row],[FECHA]])</f>
        <v>1</v>
      </c>
      <c r="F182" s="57" t="s">
        <v>155</v>
      </c>
      <c r="G182" s="73" t="s">
        <v>28</v>
      </c>
      <c r="H182" s="74">
        <v>100</v>
      </c>
      <c r="I182" s="72">
        <v>10.199999999999999</v>
      </c>
      <c r="J182" s="72">
        <v>5</v>
      </c>
      <c r="K182" s="75">
        <v>606</v>
      </c>
      <c r="L182" s="93">
        <v>602</v>
      </c>
      <c r="M182" s="60">
        <f>+Tabla1[[#This Row],[Rasimos Cosechados]]-Tabla1[[#This Row],[Rasimos Prosesados]]</f>
        <v>4</v>
      </c>
      <c r="N182" s="62">
        <f>+Tabla1[[#This Row],[Rasimos Cosechados]]/Tabla1[[#This Row],[Cajas Elaboradas]]</f>
        <v>6.06</v>
      </c>
      <c r="O182" s="63">
        <f>+Tabla1[[#This Row],[Rasimos Prosesados]]/Tabla1[[#This Row],[Cajas Elaboradas]]</f>
        <v>6.02</v>
      </c>
      <c r="P182" s="66">
        <f>IF(H182,'DATOS PARA CALCULO'!D$18,0)</f>
        <v>1500</v>
      </c>
      <c r="Q182" s="65">
        <f>IF(I182,'DATOS PARA CALCULO'!D$22,0)</f>
        <v>500</v>
      </c>
      <c r="R182" s="66">
        <f t="shared" si="32"/>
        <v>150000</v>
      </c>
      <c r="S182" s="65">
        <f t="shared" si="33"/>
        <v>5100</v>
      </c>
      <c r="T182" s="66">
        <f t="shared" si="34"/>
        <v>155100</v>
      </c>
      <c r="U182" s="65">
        <f>IF('CAJAS ELABORADAS'!$J182&gt;0,'CAJAS ELABORADAS'!$Y182*'CAJAS ELABORADAS'!$J182,0)</f>
        <v>155100</v>
      </c>
      <c r="V182" s="67">
        <f>'CAJAS ELABORADAS'!$Y182/'DATOS PARA CALCULO'!$D$27</f>
        <v>1.034</v>
      </c>
      <c r="W182" s="64">
        <f>(Tabla1[[#This Row],[Valor Pagado]]-Tabla1[[#This Row],[PRODUCIDO BOLSAS]])/Tabla1[[#This Row],[Cajas Elaboradas]]</f>
        <v>1500</v>
      </c>
      <c r="X182" s="83">
        <f t="shared" si="35"/>
        <v>31020</v>
      </c>
      <c r="Y182" s="84">
        <f>IF('CAJAS ELABORADAS'!$X182&lt;'DATOS PARA CALCULO'!$D$27,'DATOS PARA CALCULO'!$D$27,'CAJAS ELABORADAS'!$X182)</f>
        <v>31020</v>
      </c>
      <c r="Z182" s="94">
        <f>Tabla1[[#This Row],[VALOR  A PAGAR]]-Tabla1[[#This Row],[VALOR GANADO]]</f>
        <v>0</v>
      </c>
      <c r="AA182" s="64"/>
    </row>
    <row r="183" spans="3:27" ht="18.75" x14ac:dyDescent="0.25">
      <c r="C183" s="71">
        <v>44572</v>
      </c>
      <c r="D183" s="507">
        <f>YEAR(Tabla1[[#This Row],[FECHA]])</f>
        <v>2022</v>
      </c>
      <c r="E183" s="72">
        <f>_xlfn.ISOWEEKNUM(Tabla1[[#This Row],[FECHA]])</f>
        <v>2</v>
      </c>
      <c r="F183" s="72" t="s">
        <v>152</v>
      </c>
      <c r="G183" s="73" t="s">
        <v>29</v>
      </c>
      <c r="H183" s="74">
        <f>252+81</f>
        <v>333</v>
      </c>
      <c r="I183" s="72">
        <f>297.5/25</f>
        <v>11.9</v>
      </c>
      <c r="J183" s="72">
        <v>13</v>
      </c>
      <c r="K183" s="75">
        <v>1132</v>
      </c>
      <c r="L183" s="93">
        <f>267+215+190+246+113</f>
        <v>1031</v>
      </c>
      <c r="M183" s="60">
        <f>+Tabla1[[#This Row],[Rasimos Cosechados]]-Tabla1[[#This Row],[Rasimos Prosesados]]</f>
        <v>101</v>
      </c>
      <c r="N183" s="62">
        <f>+Tabla1[[#This Row],[Rasimos Cosechados]]/Tabla1[[#This Row],[Cajas Elaboradas]]</f>
        <v>3.3993993993993996</v>
      </c>
      <c r="O183" s="63">
        <f>+Tabla1[[#This Row],[Rasimos Prosesados]]/Tabla1[[#This Row],[Cajas Elaboradas]]</f>
        <v>3.0960960960960962</v>
      </c>
      <c r="P183" s="66">
        <f>IF(H183,'DATOS PARA CALCULO'!D$18,0)</f>
        <v>1500</v>
      </c>
      <c r="Q183" s="65">
        <f>IF(I183,'DATOS PARA CALCULO'!D$22,0)</f>
        <v>500</v>
      </c>
      <c r="R183" s="66">
        <f t="shared" si="32"/>
        <v>499500</v>
      </c>
      <c r="S183" s="65">
        <f t="shared" si="33"/>
        <v>5950</v>
      </c>
      <c r="T183" s="66">
        <f t="shared" si="34"/>
        <v>505450</v>
      </c>
      <c r="U183" s="65">
        <f>IF('CAJAS ELABORADAS'!$J183&gt;0,'CAJAS ELABORADAS'!$Y183*'CAJAS ELABORADAS'!$J183,0)</f>
        <v>505450.00000000006</v>
      </c>
      <c r="V183" s="67">
        <f>'CAJAS ELABORADAS'!$Y183/'DATOS PARA CALCULO'!$D$27</f>
        <v>1.2960256410256412</v>
      </c>
      <c r="W183" s="64">
        <f>(Tabla1[[#This Row],[Valor Pagado]]-Tabla1[[#This Row],[PRODUCIDO BOLSAS]])/Tabla1[[#This Row],[Cajas Elaboradas]]</f>
        <v>1500.0000000000002</v>
      </c>
      <c r="X183" s="83">
        <f t="shared" si="35"/>
        <v>38880.769230769234</v>
      </c>
      <c r="Y183" s="84">
        <f>IF('CAJAS ELABORADAS'!$X183&lt;'DATOS PARA CALCULO'!$D$27,'DATOS PARA CALCULO'!$D$27,'CAJAS ELABORADAS'!$X183)</f>
        <v>38880.769230769234</v>
      </c>
      <c r="Z183" s="94">
        <f>Tabla1[[#This Row],[VALOR  A PAGAR]]-Tabla1[[#This Row],[VALOR GANADO]]</f>
        <v>0</v>
      </c>
      <c r="AA183" s="64"/>
    </row>
    <row r="184" spans="3:27" ht="18.75" x14ac:dyDescent="0.25">
      <c r="C184" s="71">
        <v>44572</v>
      </c>
      <c r="D184" s="507">
        <f>YEAR(Tabla1[[#This Row],[FECHA]])</f>
        <v>2022</v>
      </c>
      <c r="E184" s="72">
        <f>_xlfn.ISOWEEKNUM(Tabla1[[#This Row],[FECHA]])</f>
        <v>2</v>
      </c>
      <c r="F184" s="72" t="s">
        <v>153</v>
      </c>
      <c r="G184" s="73" t="s">
        <v>30</v>
      </c>
      <c r="H184" s="74">
        <f>48+17</f>
        <v>65</v>
      </c>
      <c r="I184" s="72">
        <v>4</v>
      </c>
      <c r="J184" s="72">
        <v>4</v>
      </c>
      <c r="K184" s="75">
        <v>283</v>
      </c>
      <c r="L184" s="93"/>
      <c r="M184" s="60">
        <f>+Tabla1[[#This Row],[Rasimos Cosechados]]-Tabla1[[#This Row],[Rasimos Prosesados]]</f>
        <v>283</v>
      </c>
      <c r="N184" s="62">
        <f>+Tabla1[[#This Row],[Rasimos Cosechados]]/Tabla1[[#This Row],[Cajas Elaboradas]]</f>
        <v>4.3538461538461535</v>
      </c>
      <c r="O184" s="63">
        <f>+Tabla1[[#This Row],[Rasimos Prosesados]]/Tabla1[[#This Row],[Cajas Elaboradas]]</f>
        <v>0</v>
      </c>
      <c r="P184" s="66">
        <f>IF(H184,'DATOS PARA CALCULO'!D$18,0)</f>
        <v>1500</v>
      </c>
      <c r="Q184" s="65">
        <f>IF(I184,'DATOS PARA CALCULO'!D$22,0)</f>
        <v>500</v>
      </c>
      <c r="R184" s="66">
        <f t="shared" si="32"/>
        <v>97500</v>
      </c>
      <c r="S184" s="65">
        <f t="shared" si="33"/>
        <v>2000</v>
      </c>
      <c r="T184" s="66">
        <f t="shared" si="34"/>
        <v>99500</v>
      </c>
      <c r="U184" s="65">
        <f>IF('CAJAS ELABORADAS'!$J184&gt;0,'CAJAS ELABORADAS'!$Y184*'CAJAS ELABORADAS'!$J184,0)</f>
        <v>120000</v>
      </c>
      <c r="V184" s="67">
        <f>'CAJAS ELABORADAS'!$Y184/'DATOS PARA CALCULO'!$D$27</f>
        <v>1</v>
      </c>
      <c r="W184" s="64">
        <f>(Tabla1[[#This Row],[Valor Pagado]]-Tabla1[[#This Row],[PRODUCIDO BOLSAS]])/Tabla1[[#This Row],[Cajas Elaboradas]]</f>
        <v>1815.3846153846155</v>
      </c>
      <c r="X184" s="83">
        <f t="shared" si="35"/>
        <v>24875</v>
      </c>
      <c r="Y184" s="84">
        <f>IF('CAJAS ELABORADAS'!$X184&lt;'DATOS PARA CALCULO'!$D$27,'DATOS PARA CALCULO'!$D$27,'CAJAS ELABORADAS'!$X184)</f>
        <v>30000</v>
      </c>
      <c r="Z184" s="94">
        <f>Tabla1[[#This Row],[VALOR  A PAGAR]]-Tabla1[[#This Row],[VALOR GANADO]]</f>
        <v>5125</v>
      </c>
      <c r="AA184" s="64"/>
    </row>
    <row r="185" spans="3:27" ht="18.75" x14ac:dyDescent="0.25">
      <c r="C185" s="71">
        <v>44573</v>
      </c>
      <c r="D185" s="507">
        <f>YEAR(Tabla1[[#This Row],[FECHA]])</f>
        <v>2022</v>
      </c>
      <c r="E185" s="72">
        <f>_xlfn.ISOWEEKNUM(Tabla1[[#This Row],[FECHA]])</f>
        <v>2</v>
      </c>
      <c r="F185" s="72" t="s">
        <v>152</v>
      </c>
      <c r="G185" s="73" t="s">
        <v>29</v>
      </c>
      <c r="H185" s="74">
        <f>200+96</f>
        <v>296</v>
      </c>
      <c r="I185" s="72">
        <v>13.6</v>
      </c>
      <c r="J185" s="72">
        <v>14</v>
      </c>
      <c r="K185" s="75">
        <v>1086</v>
      </c>
      <c r="L185" s="93"/>
      <c r="M185" s="60">
        <f>+Tabla1[[#This Row],[Rasimos Cosechados]]-Tabla1[[#This Row],[Rasimos Prosesados]]</f>
        <v>1086</v>
      </c>
      <c r="N185" s="62">
        <f>+Tabla1[[#This Row],[Rasimos Cosechados]]/Tabla1[[#This Row],[Cajas Elaboradas]]</f>
        <v>3.6689189189189189</v>
      </c>
      <c r="O185" s="63">
        <f>+Tabla1[[#This Row],[Rasimos Prosesados]]/Tabla1[[#This Row],[Cajas Elaboradas]]</f>
        <v>0</v>
      </c>
      <c r="P185" s="66">
        <f>IF(H185,'DATOS PARA CALCULO'!D$18,0)</f>
        <v>1500</v>
      </c>
      <c r="Q185" s="65">
        <f>IF(I185,'DATOS PARA CALCULO'!D$22,0)</f>
        <v>500</v>
      </c>
      <c r="R185" s="66">
        <f t="shared" si="32"/>
        <v>444000</v>
      </c>
      <c r="S185" s="65">
        <f t="shared" si="33"/>
        <v>6800</v>
      </c>
      <c r="T185" s="66">
        <f t="shared" si="34"/>
        <v>450800</v>
      </c>
      <c r="U185" s="65">
        <f>IF('CAJAS ELABORADAS'!$J185&gt;0,'CAJAS ELABORADAS'!$Y185*'CAJAS ELABORADAS'!$J185,0)</f>
        <v>450800</v>
      </c>
      <c r="V185" s="67">
        <f>'CAJAS ELABORADAS'!$Y185/'DATOS PARA CALCULO'!$D$27</f>
        <v>1.0733333333333333</v>
      </c>
      <c r="W185" s="64">
        <f>(Tabla1[[#This Row],[Valor Pagado]]-Tabla1[[#This Row],[PRODUCIDO BOLSAS]])/Tabla1[[#This Row],[Cajas Elaboradas]]</f>
        <v>1500</v>
      </c>
      <c r="X185" s="233">
        <f t="shared" si="35"/>
        <v>32200</v>
      </c>
      <c r="Y185" s="84">
        <f>IF('CAJAS ELABORADAS'!$X185&lt;'DATOS PARA CALCULO'!$D$27,'DATOS PARA CALCULO'!$D$27,'CAJAS ELABORADAS'!$X185)</f>
        <v>32200</v>
      </c>
      <c r="Z185" s="94">
        <f>Tabla1[[#This Row],[VALOR  A PAGAR]]-Tabla1[[#This Row],[VALOR GANADO]]</f>
        <v>0</v>
      </c>
      <c r="AA185" s="64"/>
    </row>
    <row r="186" spans="3:27" ht="18.75" x14ac:dyDescent="0.25">
      <c r="C186" s="71">
        <v>44573</v>
      </c>
      <c r="D186" s="507">
        <f>YEAR(Tabla1[[#This Row],[FECHA]])</f>
        <v>2022</v>
      </c>
      <c r="E186" s="72">
        <f>_xlfn.ISOWEEKNUM(Tabla1[[#This Row],[FECHA]])</f>
        <v>2</v>
      </c>
      <c r="F186" s="57" t="s">
        <v>155</v>
      </c>
      <c r="G186" s="73" t="s">
        <v>28</v>
      </c>
      <c r="H186" s="74">
        <v>81</v>
      </c>
      <c r="I186" s="72">
        <v>10.199999999999999</v>
      </c>
      <c r="J186" s="72">
        <v>5</v>
      </c>
      <c r="K186" s="75">
        <v>461</v>
      </c>
      <c r="L186" s="93">
        <f>86+93+133+146</f>
        <v>458</v>
      </c>
      <c r="M186" s="60">
        <f>+Tabla1[[#This Row],[Rasimos Cosechados]]-Tabla1[[#This Row],[Rasimos Prosesados]]</f>
        <v>3</v>
      </c>
      <c r="N186" s="62">
        <f>+Tabla1[[#This Row],[Rasimos Cosechados]]/Tabla1[[#This Row],[Cajas Elaboradas]]</f>
        <v>5.6913580246913584</v>
      </c>
      <c r="O186" s="63">
        <f>+Tabla1[[#This Row],[Rasimos Prosesados]]/Tabla1[[#This Row],[Cajas Elaboradas]]</f>
        <v>5.6543209876543212</v>
      </c>
      <c r="P186" s="66">
        <f>IF(H186,'DATOS PARA CALCULO'!D$18,0)</f>
        <v>1500</v>
      </c>
      <c r="Q186" s="65">
        <f>IF(I186,'DATOS PARA CALCULO'!D$22,0)</f>
        <v>500</v>
      </c>
      <c r="R186" s="66">
        <f t="shared" si="32"/>
        <v>121500</v>
      </c>
      <c r="S186" s="65">
        <f t="shared" si="33"/>
        <v>5100</v>
      </c>
      <c r="T186" s="66">
        <f t="shared" si="34"/>
        <v>126600</v>
      </c>
      <c r="U186" s="65">
        <f>IF('CAJAS ELABORADAS'!$J186&gt;0,'CAJAS ELABORADAS'!$Y186*'CAJAS ELABORADAS'!$J186,0)</f>
        <v>150000</v>
      </c>
      <c r="V186" s="67">
        <f>'CAJAS ELABORADAS'!$Y186/'DATOS PARA CALCULO'!$D$27</f>
        <v>1</v>
      </c>
      <c r="W186" s="64">
        <f>(Tabla1[[#This Row],[Valor Pagado]]-Tabla1[[#This Row],[PRODUCIDO BOLSAS]])/Tabla1[[#This Row],[Cajas Elaboradas]]</f>
        <v>1788.8888888888889</v>
      </c>
      <c r="X186" s="83">
        <f t="shared" si="35"/>
        <v>25320</v>
      </c>
      <c r="Y186" s="84">
        <f>IF('CAJAS ELABORADAS'!$X186&lt;'DATOS PARA CALCULO'!$D$27,'DATOS PARA CALCULO'!$D$27,'CAJAS ELABORADAS'!$X186)</f>
        <v>30000</v>
      </c>
      <c r="Z186" s="94">
        <f>Tabla1[[#This Row],[VALOR  A PAGAR]]-Tabla1[[#This Row],[VALOR GANADO]]</f>
        <v>4680</v>
      </c>
      <c r="AA186" s="64"/>
    </row>
    <row r="187" spans="3:27" ht="18.75" x14ac:dyDescent="0.25">
      <c r="C187" s="71">
        <v>44579</v>
      </c>
      <c r="D187" s="507">
        <f>YEAR(Tabla1[[#This Row],[FECHA]])</f>
        <v>2022</v>
      </c>
      <c r="E187" s="72">
        <f>_xlfn.ISOWEEKNUM(Tabla1[[#This Row],[FECHA]])</f>
        <v>3</v>
      </c>
      <c r="F187" s="72" t="s">
        <v>157</v>
      </c>
      <c r="G187" s="73" t="s">
        <v>31</v>
      </c>
      <c r="H187" s="74">
        <v>87</v>
      </c>
      <c r="I187" s="72">
        <v>37.4</v>
      </c>
      <c r="J187" s="72">
        <v>7</v>
      </c>
      <c r="K187" s="75">
        <v>522</v>
      </c>
      <c r="L187" s="93">
        <v>438</v>
      </c>
      <c r="M187" s="60">
        <f>+Tabla1[[#This Row],[Rasimos Cosechados]]-Tabla1[[#This Row],[Rasimos Prosesados]]</f>
        <v>84</v>
      </c>
      <c r="N187" s="62">
        <f>+Tabla1[[#This Row],[Rasimos Cosechados]]/Tabla1[[#This Row],[Cajas Elaboradas]]</f>
        <v>6</v>
      </c>
      <c r="O187" s="63">
        <f>+Tabla1[[#This Row],[Rasimos Prosesados]]/Tabla1[[#This Row],[Cajas Elaboradas]]</f>
        <v>5.0344827586206895</v>
      </c>
      <c r="P187" s="66">
        <v>2100</v>
      </c>
      <c r="Q187" s="65">
        <f>IF(I187,'DATOS PARA CALCULO'!D$22,0)</f>
        <v>500</v>
      </c>
      <c r="R187" s="66">
        <f t="shared" si="32"/>
        <v>182700</v>
      </c>
      <c r="S187" s="65">
        <f t="shared" si="33"/>
        <v>18700</v>
      </c>
      <c r="T187" s="66">
        <f t="shared" si="34"/>
        <v>201400</v>
      </c>
      <c r="U187" s="65">
        <f>IF('CAJAS ELABORADAS'!$J187&gt;0,'CAJAS ELABORADAS'!$Y187*'CAJAS ELABORADAS'!$J187,0)</f>
        <v>210000</v>
      </c>
      <c r="V187" s="67">
        <f>'CAJAS ELABORADAS'!$Y187/'DATOS PARA CALCULO'!$D$27</f>
        <v>1</v>
      </c>
      <c r="W187" s="64">
        <f>(Tabla1[[#This Row],[Valor Pagado]]-Tabla1[[#This Row],[PRODUCIDO BOLSAS]])/Tabla1[[#This Row],[Cajas Elaboradas]]</f>
        <v>2198.8505747126437</v>
      </c>
      <c r="X187" s="83">
        <f t="shared" si="35"/>
        <v>28771.428571428572</v>
      </c>
      <c r="Y187" s="84">
        <f>IF('CAJAS ELABORADAS'!$X187&lt;'DATOS PARA CALCULO'!$D$27,'DATOS PARA CALCULO'!$D$27,'CAJAS ELABORADAS'!$X187)</f>
        <v>30000</v>
      </c>
      <c r="Z187" s="94">
        <f>Tabla1[[#This Row],[VALOR  A PAGAR]]-Tabla1[[#This Row],[VALOR GANADO]]</f>
        <v>1228.5714285714275</v>
      </c>
      <c r="AA187" s="64"/>
    </row>
    <row r="188" spans="3:27" ht="18.75" x14ac:dyDescent="0.25">
      <c r="C188" s="71">
        <v>44579</v>
      </c>
      <c r="D188" s="507">
        <f>YEAR(Tabla1[[#This Row],[FECHA]])</f>
        <v>2022</v>
      </c>
      <c r="E188" s="72">
        <f>_xlfn.ISOWEEKNUM(Tabla1[[#This Row],[FECHA]])</f>
        <v>3</v>
      </c>
      <c r="F188" s="57" t="s">
        <v>155</v>
      </c>
      <c r="G188" s="73" t="s">
        <v>28</v>
      </c>
      <c r="H188" s="74">
        <v>162</v>
      </c>
      <c r="I188" s="72">
        <v>18</v>
      </c>
      <c r="J188" s="72">
        <v>7</v>
      </c>
      <c r="K188" s="75">
        <v>735</v>
      </c>
      <c r="L188" s="93">
        <f>243+180+127+185</f>
        <v>735</v>
      </c>
      <c r="M188" s="60">
        <f>+Tabla1[[#This Row],[Rasimos Cosechados]]-Tabla1[[#This Row],[Rasimos Prosesados]]</f>
        <v>0</v>
      </c>
      <c r="N188" s="62">
        <f>+Tabla1[[#This Row],[Rasimos Cosechados]]/Tabla1[[#This Row],[Cajas Elaboradas]]</f>
        <v>4.5370370370370372</v>
      </c>
      <c r="O188" s="63">
        <f>+Tabla1[[#This Row],[Rasimos Prosesados]]/Tabla1[[#This Row],[Cajas Elaboradas]]</f>
        <v>4.5370370370370372</v>
      </c>
      <c r="P188" s="66">
        <f>IF(H188,'DATOS PARA CALCULO'!D$18,0)</f>
        <v>1500</v>
      </c>
      <c r="Q188" s="65">
        <f>IF(I188,'DATOS PARA CALCULO'!D$22,0)</f>
        <v>500</v>
      </c>
      <c r="R188" s="66">
        <f t="shared" si="32"/>
        <v>243000</v>
      </c>
      <c r="S188" s="65">
        <f t="shared" si="33"/>
        <v>9000</v>
      </c>
      <c r="T188" s="66">
        <f t="shared" si="34"/>
        <v>252000</v>
      </c>
      <c r="U188" s="65">
        <f>IF('CAJAS ELABORADAS'!$J188&gt;0,'CAJAS ELABORADAS'!$Y188*'CAJAS ELABORADAS'!$J188,0)</f>
        <v>252000</v>
      </c>
      <c r="V188" s="67">
        <f>'CAJAS ELABORADAS'!$Y188/'DATOS PARA CALCULO'!$D$27</f>
        <v>1.2</v>
      </c>
      <c r="W188" s="64">
        <f>(Tabla1[[#This Row],[Valor Pagado]]-Tabla1[[#This Row],[PRODUCIDO BOLSAS]])/Tabla1[[#This Row],[Cajas Elaboradas]]</f>
        <v>1500</v>
      </c>
      <c r="X188" s="83">
        <f t="shared" si="35"/>
        <v>36000</v>
      </c>
      <c r="Y188" s="84">
        <f>IF('CAJAS ELABORADAS'!$X188&lt;'DATOS PARA CALCULO'!$D$27,'DATOS PARA CALCULO'!$D$27,'CAJAS ELABORADAS'!$X188)</f>
        <v>36000</v>
      </c>
      <c r="Z188" s="94">
        <f>Tabla1[[#This Row],[VALOR  A PAGAR]]-Tabla1[[#This Row],[VALOR GANADO]]</f>
        <v>0</v>
      </c>
      <c r="AA188" s="64"/>
    </row>
    <row r="189" spans="3:27" ht="18.75" x14ac:dyDescent="0.25">
      <c r="C189" s="71">
        <v>44580</v>
      </c>
      <c r="D189" s="507">
        <f>YEAR(Tabla1[[#This Row],[FECHA]])</f>
        <v>2022</v>
      </c>
      <c r="E189" s="72">
        <f>_xlfn.ISOWEEKNUM(Tabla1[[#This Row],[FECHA]])</f>
        <v>3</v>
      </c>
      <c r="F189" s="72" t="s">
        <v>152</v>
      </c>
      <c r="G189" s="73" t="s">
        <v>29</v>
      </c>
      <c r="H189" s="74">
        <f>320+92</f>
        <v>412</v>
      </c>
      <c r="I189" s="72">
        <v>17</v>
      </c>
      <c r="J189" s="72">
        <v>15</v>
      </c>
      <c r="K189" s="75">
        <v>1287</v>
      </c>
      <c r="L189" s="93">
        <f>175+126+150+224+297+124</f>
        <v>1096</v>
      </c>
      <c r="M189" s="60">
        <f>+Tabla1[[#This Row],[Rasimos Cosechados]]-Tabla1[[#This Row],[Rasimos Prosesados]]</f>
        <v>191</v>
      </c>
      <c r="N189" s="62">
        <f>+Tabla1[[#This Row],[Rasimos Cosechados]]/Tabla1[[#This Row],[Cajas Elaboradas]]</f>
        <v>3.1237864077669903</v>
      </c>
      <c r="O189" s="63">
        <f>+Tabla1[[#This Row],[Rasimos Prosesados]]/Tabla1[[#This Row],[Cajas Elaboradas]]</f>
        <v>2.6601941747572817</v>
      </c>
      <c r="P189" s="66">
        <f>IF(H189,'DATOS PARA CALCULO'!D$18,0)</f>
        <v>1500</v>
      </c>
      <c r="Q189" s="65">
        <f>IF(I189,'DATOS PARA CALCULO'!D$22,0)</f>
        <v>500</v>
      </c>
      <c r="R189" s="66">
        <f t="shared" si="32"/>
        <v>618000</v>
      </c>
      <c r="S189" s="65">
        <f t="shared" si="33"/>
        <v>8500</v>
      </c>
      <c r="T189" s="66">
        <f t="shared" si="34"/>
        <v>626500</v>
      </c>
      <c r="U189" s="65">
        <f>IF('CAJAS ELABORADAS'!$J189&gt;0,'CAJAS ELABORADAS'!$Y189*'CAJAS ELABORADAS'!$J189,0)</f>
        <v>626500</v>
      </c>
      <c r="V189" s="67">
        <f>'CAJAS ELABORADAS'!$Y189/'DATOS PARA CALCULO'!$D$27</f>
        <v>1.3922222222222222</v>
      </c>
      <c r="W189" s="64">
        <f>(Tabla1[[#This Row],[Valor Pagado]]-Tabla1[[#This Row],[PRODUCIDO BOLSAS]])/Tabla1[[#This Row],[Cajas Elaboradas]]</f>
        <v>1500</v>
      </c>
      <c r="X189" s="233">
        <f t="shared" si="35"/>
        <v>41766.666666666664</v>
      </c>
      <c r="Y189" s="84">
        <f>IF('CAJAS ELABORADAS'!$X189&lt;'DATOS PARA CALCULO'!$D$27,'DATOS PARA CALCULO'!$D$27,'CAJAS ELABORADAS'!$X189)</f>
        <v>41766.666666666664</v>
      </c>
      <c r="Z189" s="94">
        <f>Tabla1[[#This Row],[VALOR  A PAGAR]]-Tabla1[[#This Row],[VALOR GANADO]]</f>
        <v>0</v>
      </c>
      <c r="AA189" s="64"/>
    </row>
    <row r="190" spans="3:27" ht="18.75" x14ac:dyDescent="0.25">
      <c r="C190" s="71">
        <v>44586</v>
      </c>
      <c r="D190" s="507">
        <f>YEAR(Tabla1[[#This Row],[FECHA]])</f>
        <v>2022</v>
      </c>
      <c r="E190" s="72">
        <f>_xlfn.ISOWEEKNUM(Tabla1[[#This Row],[FECHA]])</f>
        <v>4</v>
      </c>
      <c r="F190" s="72" t="s">
        <v>152</v>
      </c>
      <c r="G190" s="73" t="s">
        <v>29</v>
      </c>
      <c r="H190" s="74">
        <f>106+233</f>
        <v>339</v>
      </c>
      <c r="I190" s="72">
        <v>17</v>
      </c>
      <c r="J190" s="72">
        <v>11</v>
      </c>
      <c r="K190" s="75">
        <v>1029</v>
      </c>
      <c r="L190" s="93">
        <f>176+110+122+120+112+246</f>
        <v>886</v>
      </c>
      <c r="M190" s="60">
        <f>+Tabla1[[#This Row],[Rasimos Cosechados]]-Tabla1[[#This Row],[Rasimos Prosesados]]</f>
        <v>143</v>
      </c>
      <c r="N190" s="62">
        <f>+Tabla1[[#This Row],[Rasimos Cosechados]]/Tabla1[[#This Row],[Cajas Elaboradas]]</f>
        <v>3.0353982300884956</v>
      </c>
      <c r="O190" s="63">
        <f>+Tabla1[[#This Row],[Rasimos Prosesados]]/Tabla1[[#This Row],[Cajas Elaboradas]]</f>
        <v>2.6135693215339235</v>
      </c>
      <c r="P190" s="66">
        <f>IF(H190,'DATOS PARA CALCULO'!D$18,0)</f>
        <v>1500</v>
      </c>
      <c r="Q190" s="65">
        <f>IF(I190,'DATOS PARA CALCULO'!D$22,0)</f>
        <v>500</v>
      </c>
      <c r="R190" s="66">
        <f t="shared" si="32"/>
        <v>508500</v>
      </c>
      <c r="S190" s="65">
        <f t="shared" si="33"/>
        <v>8500</v>
      </c>
      <c r="T190" s="66">
        <f t="shared" si="34"/>
        <v>517000</v>
      </c>
      <c r="U190" s="65">
        <f>IF('CAJAS ELABORADAS'!$J190&gt;0,'CAJAS ELABORADAS'!$Y190*'CAJAS ELABORADAS'!$J190,0)</f>
        <v>517000</v>
      </c>
      <c r="V190" s="67">
        <f>'CAJAS ELABORADAS'!$Y190/'DATOS PARA CALCULO'!$D$27</f>
        <v>1.5666666666666667</v>
      </c>
      <c r="W190" s="64">
        <f>(Tabla1[[#This Row],[Valor Pagado]]-Tabla1[[#This Row],[PRODUCIDO BOLSAS]])/Tabla1[[#This Row],[Cajas Elaboradas]]</f>
        <v>1500</v>
      </c>
      <c r="X190" s="83">
        <f t="shared" si="35"/>
        <v>47000</v>
      </c>
      <c r="Y190" s="84">
        <f>IF('CAJAS ELABORADAS'!$X190&lt;'DATOS PARA CALCULO'!$D$27,'DATOS PARA CALCULO'!$D$27,'CAJAS ELABORADAS'!$X190)</f>
        <v>47000</v>
      </c>
      <c r="Z190" s="94">
        <f>Tabla1[[#This Row],[VALOR  A PAGAR]]-Tabla1[[#This Row],[VALOR GANADO]]</f>
        <v>0</v>
      </c>
      <c r="AA190" s="64"/>
    </row>
    <row r="191" spans="3:27" ht="18.75" x14ac:dyDescent="0.25">
      <c r="C191" s="71">
        <v>44586</v>
      </c>
      <c r="D191" s="507">
        <f>YEAR(Tabla1[[#This Row],[FECHA]])</f>
        <v>2022</v>
      </c>
      <c r="E191" s="72">
        <f>_xlfn.ISOWEEKNUM(Tabla1[[#This Row],[FECHA]])</f>
        <v>4</v>
      </c>
      <c r="F191" s="72" t="s">
        <v>153</v>
      </c>
      <c r="G191" s="73" t="s">
        <v>30</v>
      </c>
      <c r="H191" s="74">
        <f>65+12</f>
        <v>77</v>
      </c>
      <c r="I191" s="72">
        <v>3.4</v>
      </c>
      <c r="J191" s="72">
        <v>3</v>
      </c>
      <c r="K191" s="75">
        <v>309</v>
      </c>
      <c r="L191" s="93">
        <f>158+151</f>
        <v>309</v>
      </c>
      <c r="M191" s="60">
        <f>+Tabla1[[#This Row],[Rasimos Cosechados]]-Tabla1[[#This Row],[Rasimos Prosesados]]</f>
        <v>0</v>
      </c>
      <c r="N191" s="62">
        <f>+Tabla1[[#This Row],[Rasimos Cosechados]]/Tabla1[[#This Row],[Cajas Elaboradas]]</f>
        <v>4.0129870129870131</v>
      </c>
      <c r="O191" s="63">
        <f>+Tabla1[[#This Row],[Rasimos Prosesados]]/Tabla1[[#This Row],[Cajas Elaboradas]]</f>
        <v>4.0129870129870131</v>
      </c>
      <c r="P191" s="66">
        <f>IF(H191,'DATOS PARA CALCULO'!D$18,0)</f>
        <v>1500</v>
      </c>
      <c r="Q191" s="65">
        <f>IF(I191,'DATOS PARA CALCULO'!D$22,0)</f>
        <v>500</v>
      </c>
      <c r="R191" s="66">
        <f t="shared" si="32"/>
        <v>115500</v>
      </c>
      <c r="S191" s="65">
        <f t="shared" si="33"/>
        <v>1700</v>
      </c>
      <c r="T191" s="66">
        <f t="shared" si="34"/>
        <v>117200</v>
      </c>
      <c r="U191" s="65">
        <f>IF('CAJAS ELABORADAS'!$J191&gt;0,'CAJAS ELABORADAS'!$Y191*'CAJAS ELABORADAS'!$J191,0)</f>
        <v>117200</v>
      </c>
      <c r="V191" s="67">
        <f>'CAJAS ELABORADAS'!$Y191/'DATOS PARA CALCULO'!$D$27</f>
        <v>1.3022222222222222</v>
      </c>
      <c r="W191" s="64">
        <f>(Tabla1[[#This Row],[Valor Pagado]]-Tabla1[[#This Row],[PRODUCIDO BOLSAS]])/Tabla1[[#This Row],[Cajas Elaboradas]]</f>
        <v>1500</v>
      </c>
      <c r="X191" s="83">
        <f t="shared" si="35"/>
        <v>39066.666666666664</v>
      </c>
      <c r="Y191" s="84">
        <f>IF('CAJAS ELABORADAS'!$X191&lt;'DATOS PARA CALCULO'!$D$27,'DATOS PARA CALCULO'!$D$27,'CAJAS ELABORADAS'!$X191)</f>
        <v>39066.666666666664</v>
      </c>
      <c r="Z191" s="94">
        <f>Tabla1[[#This Row],[VALOR  A PAGAR]]-Tabla1[[#This Row],[VALOR GANADO]]</f>
        <v>0</v>
      </c>
      <c r="AA191" s="64"/>
    </row>
    <row r="192" spans="3:27" ht="18.75" x14ac:dyDescent="0.25">
      <c r="C192" s="71">
        <v>44587</v>
      </c>
      <c r="D192" s="507">
        <f>YEAR(Tabla1[[#This Row],[FECHA]])</f>
        <v>2022</v>
      </c>
      <c r="E192" s="72">
        <f>_xlfn.ISOWEEKNUM(Tabla1[[#This Row],[FECHA]])</f>
        <v>4</v>
      </c>
      <c r="F192" s="72" t="s">
        <v>157</v>
      </c>
      <c r="G192" s="73" t="s">
        <v>31</v>
      </c>
      <c r="H192" s="74">
        <f>17.4*5</f>
        <v>87</v>
      </c>
      <c r="I192" s="239">
        <v>42.5</v>
      </c>
      <c r="J192" s="72">
        <v>6</v>
      </c>
      <c r="K192" s="75">
        <v>556</v>
      </c>
      <c r="L192" s="93">
        <v>464</v>
      </c>
      <c r="M192" s="60">
        <f>+Tabla1[[#This Row],[Rasimos Cosechados]]-Tabla1[[#This Row],[Rasimos Prosesados]]</f>
        <v>92</v>
      </c>
      <c r="N192" s="62">
        <f>+Tabla1[[#This Row],[Rasimos Cosechados]]/Tabla1[[#This Row],[Cajas Elaboradas]]</f>
        <v>6.3908045977011492</v>
      </c>
      <c r="O192" s="63">
        <f>+Tabla1[[#This Row],[Rasimos Prosesados]]/Tabla1[[#This Row],[Cajas Elaboradas]]</f>
        <v>5.333333333333333</v>
      </c>
      <c r="P192" s="66">
        <v>2100</v>
      </c>
      <c r="Q192" s="65">
        <f>IF(I192,'DATOS PARA CALCULO'!D$22,0)</f>
        <v>500</v>
      </c>
      <c r="R192" s="66">
        <f t="shared" si="32"/>
        <v>182700</v>
      </c>
      <c r="S192" s="65">
        <f t="shared" si="33"/>
        <v>21250</v>
      </c>
      <c r="T192" s="66">
        <f t="shared" si="34"/>
        <v>203950</v>
      </c>
      <c r="U192" s="65">
        <f>IF('CAJAS ELABORADAS'!$J192&gt;0,'CAJAS ELABORADAS'!$Y192*'CAJAS ELABORADAS'!$J192,0)</f>
        <v>203950</v>
      </c>
      <c r="V192" s="67">
        <f>'CAJAS ELABORADAS'!$Y192/'DATOS PARA CALCULO'!$D$27</f>
        <v>1.1330555555555555</v>
      </c>
      <c r="W192" s="64">
        <f>(Tabla1[[#This Row],[Valor Pagado]]-Tabla1[[#This Row],[PRODUCIDO BOLSAS]])/Tabla1[[#This Row],[Cajas Elaboradas]]</f>
        <v>2100</v>
      </c>
      <c r="X192" s="83">
        <f t="shared" si="35"/>
        <v>33991.666666666664</v>
      </c>
      <c r="Y192" s="84">
        <f>IF('CAJAS ELABORADAS'!$X192&lt;'DATOS PARA CALCULO'!$D$27,'DATOS PARA CALCULO'!$D$27,'CAJAS ELABORADAS'!$X192)</f>
        <v>33991.666666666664</v>
      </c>
      <c r="Z192" s="94">
        <f>Tabla1[[#This Row],[VALOR  A PAGAR]]-Tabla1[[#This Row],[VALOR GANADO]]</f>
        <v>0</v>
      </c>
      <c r="AA192" s="64"/>
    </row>
    <row r="193" spans="3:27" ht="18.75" x14ac:dyDescent="0.25">
      <c r="C193" s="71">
        <v>44587</v>
      </c>
      <c r="D193" s="507">
        <f>YEAR(Tabla1[[#This Row],[FECHA]])</f>
        <v>2022</v>
      </c>
      <c r="E193" s="72">
        <f>_xlfn.ISOWEEKNUM(Tabla1[[#This Row],[FECHA]])</f>
        <v>4</v>
      </c>
      <c r="F193" s="57" t="s">
        <v>155</v>
      </c>
      <c r="G193" s="73" t="s">
        <v>28</v>
      </c>
      <c r="H193" s="74">
        <v>120</v>
      </c>
      <c r="I193" s="99">
        <v>14.4</v>
      </c>
      <c r="J193" s="72">
        <v>6</v>
      </c>
      <c r="K193" s="75">
        <v>681</v>
      </c>
      <c r="L193" s="93">
        <f>121+124+157+91</f>
        <v>493</v>
      </c>
      <c r="M193" s="60">
        <f>+Tabla1[[#This Row],[Rasimos Cosechados]]-Tabla1[[#This Row],[Rasimos Prosesados]]</f>
        <v>188</v>
      </c>
      <c r="N193" s="62">
        <f>+Tabla1[[#This Row],[Rasimos Cosechados]]/Tabla1[[#This Row],[Cajas Elaboradas]]</f>
        <v>5.6749999999999998</v>
      </c>
      <c r="O193" s="63">
        <f>+Tabla1[[#This Row],[Rasimos Prosesados]]/Tabla1[[#This Row],[Cajas Elaboradas]]</f>
        <v>4.1083333333333334</v>
      </c>
      <c r="P193" s="66">
        <f>IF(H193,'DATOS PARA CALCULO'!D$18,0)</f>
        <v>1500</v>
      </c>
      <c r="Q193" s="65">
        <f>IF(I193,'DATOS PARA CALCULO'!D$22,0)</f>
        <v>500</v>
      </c>
      <c r="R193" s="66">
        <f t="shared" si="32"/>
        <v>180000</v>
      </c>
      <c r="S193" s="65">
        <f t="shared" si="33"/>
        <v>7200</v>
      </c>
      <c r="T193" s="66">
        <f t="shared" si="34"/>
        <v>187200</v>
      </c>
      <c r="U193" s="65">
        <f>IF('CAJAS ELABORADAS'!$J193&gt;0,'CAJAS ELABORADAS'!$Y193*'CAJAS ELABORADAS'!$J193,0)</f>
        <v>187200</v>
      </c>
      <c r="V193" s="67">
        <f>'CAJAS ELABORADAS'!$Y193/'DATOS PARA CALCULO'!$D$27</f>
        <v>1.04</v>
      </c>
      <c r="W193" s="64">
        <f>(Tabla1[[#This Row],[Valor Pagado]]-Tabla1[[#This Row],[PRODUCIDO BOLSAS]])/Tabla1[[#This Row],[Cajas Elaboradas]]</f>
        <v>1500</v>
      </c>
      <c r="X193" s="83">
        <f t="shared" si="35"/>
        <v>31200</v>
      </c>
      <c r="Y193" s="84">
        <f>IF('CAJAS ELABORADAS'!$X193&lt;'DATOS PARA CALCULO'!$D$27,'DATOS PARA CALCULO'!$D$27,'CAJAS ELABORADAS'!$X193)</f>
        <v>31200</v>
      </c>
      <c r="Z193" s="94">
        <f>Tabla1[[#This Row],[VALOR  A PAGAR]]-Tabla1[[#This Row],[VALOR GANADO]]</f>
        <v>0</v>
      </c>
      <c r="AA193" s="64"/>
    </row>
    <row r="194" spans="3:27" ht="18.75" x14ac:dyDescent="0.25">
      <c r="C194" s="71">
        <v>44588</v>
      </c>
      <c r="D194" s="507">
        <f>YEAR(Tabla1[[#This Row],[FECHA]])</f>
        <v>2022</v>
      </c>
      <c r="E194" s="72">
        <f>_xlfn.ISOWEEKNUM(Tabla1[[#This Row],[FECHA]])</f>
        <v>4</v>
      </c>
      <c r="F194" s="72" t="s">
        <v>152</v>
      </c>
      <c r="G194" s="73" t="s">
        <v>29</v>
      </c>
      <c r="H194" s="74">
        <v>273</v>
      </c>
      <c r="I194" s="72">
        <v>51</v>
      </c>
      <c r="J194" s="72">
        <v>12</v>
      </c>
      <c r="K194" s="75">
        <v>979</v>
      </c>
      <c r="L194" s="93">
        <f>321+283+50+200</f>
        <v>854</v>
      </c>
      <c r="M194" s="60">
        <f>+Tabla1[[#This Row],[Rasimos Cosechados]]-Tabla1[[#This Row],[Rasimos Prosesados]]</f>
        <v>125</v>
      </c>
      <c r="N194" s="62">
        <f>+Tabla1[[#This Row],[Rasimos Cosechados]]/Tabla1[[#This Row],[Cajas Elaboradas]]</f>
        <v>3.5860805860805862</v>
      </c>
      <c r="O194" s="63">
        <f>+Tabla1[[#This Row],[Rasimos Prosesados]]/Tabla1[[#This Row],[Cajas Elaboradas]]</f>
        <v>3.1282051282051282</v>
      </c>
      <c r="P194" s="66">
        <f>IF(H194,'DATOS PARA CALCULO'!D$18,0)</f>
        <v>1500</v>
      </c>
      <c r="Q194" s="65">
        <f>IF(I194,'DATOS PARA CALCULO'!D$22,0)</f>
        <v>500</v>
      </c>
      <c r="R194" s="66">
        <f t="shared" si="32"/>
        <v>409500</v>
      </c>
      <c r="S194" s="65">
        <f t="shared" si="33"/>
        <v>25500</v>
      </c>
      <c r="T194" s="66">
        <f t="shared" si="34"/>
        <v>435000</v>
      </c>
      <c r="U194" s="65">
        <f>IF('CAJAS ELABORADAS'!$J194&gt;0,'CAJAS ELABORADAS'!$Y194*'CAJAS ELABORADAS'!$J194,0)</f>
        <v>435000</v>
      </c>
      <c r="V194" s="67">
        <f>'CAJAS ELABORADAS'!$Y194/'DATOS PARA CALCULO'!$D$27</f>
        <v>1.2083333333333333</v>
      </c>
      <c r="W194" s="64">
        <f>(Tabla1[[#This Row],[Valor Pagado]]-Tabla1[[#This Row],[PRODUCIDO BOLSAS]])/Tabla1[[#This Row],[Cajas Elaboradas]]</f>
        <v>1500</v>
      </c>
      <c r="X194" s="83">
        <f t="shared" si="35"/>
        <v>36250</v>
      </c>
      <c r="Y194" s="84">
        <f>IF('CAJAS ELABORADAS'!$X194&lt;'DATOS PARA CALCULO'!$D$27,'DATOS PARA CALCULO'!$D$27,'CAJAS ELABORADAS'!$X194)</f>
        <v>36250</v>
      </c>
      <c r="Z194" s="94">
        <f>Tabla1[[#This Row],[VALOR  A PAGAR]]-Tabla1[[#This Row],[VALOR GANADO]]</f>
        <v>0</v>
      </c>
      <c r="AA194" s="64"/>
    </row>
    <row r="195" spans="3:27" ht="18.75" x14ac:dyDescent="0.25">
      <c r="C195" s="71">
        <v>44593</v>
      </c>
      <c r="D195" s="507">
        <f>YEAR(Tabla1[[#This Row],[FECHA]])</f>
        <v>2022</v>
      </c>
      <c r="E195" s="72">
        <f>_xlfn.ISOWEEKNUM(Tabla1[[#This Row],[FECHA]])</f>
        <v>5</v>
      </c>
      <c r="F195" s="72" t="s">
        <v>152</v>
      </c>
      <c r="G195" s="73" t="s">
        <v>29</v>
      </c>
      <c r="H195" s="104">
        <f>319+116</f>
        <v>435</v>
      </c>
      <c r="I195" s="102">
        <v>27.2</v>
      </c>
      <c r="J195" s="102">
        <v>22</v>
      </c>
      <c r="K195" s="105">
        <v>1389</v>
      </c>
      <c r="L195" s="106">
        <f>103+101+96+149+111+197+243</f>
        <v>1000</v>
      </c>
      <c r="M195" s="60">
        <f>+Tabla1[[#This Row],[Rasimos Cosechados]]-Tabla1[[#This Row],[Rasimos Prosesados]]</f>
        <v>389</v>
      </c>
      <c r="N195" s="62">
        <f>+Tabla1[[#This Row],[Rasimos Cosechados]]/Tabla1[[#This Row],[Cajas Elaboradas]]</f>
        <v>3.193103448275862</v>
      </c>
      <c r="O195" s="63">
        <f>+Tabla1[[#This Row],[Rasimos Prosesados]]/Tabla1[[#This Row],[Cajas Elaboradas]]</f>
        <v>2.2988505747126435</v>
      </c>
      <c r="P195" s="246">
        <f>IF(H195,'DATOS PARA CALCULO'!D$18,0)</f>
        <v>1500</v>
      </c>
      <c r="Q195" s="247">
        <f>IF(I195,'DATOS PARA CALCULO'!D$22,0)</f>
        <v>500</v>
      </c>
      <c r="R195" s="246">
        <f t="shared" si="32"/>
        <v>652500</v>
      </c>
      <c r="S195" s="247">
        <f t="shared" si="33"/>
        <v>13600</v>
      </c>
      <c r="T195" s="246">
        <f t="shared" si="34"/>
        <v>666100</v>
      </c>
      <c r="U195" s="247">
        <f>IF('CAJAS ELABORADAS'!$J195&gt;0,'CAJAS ELABORADAS'!$Y195*'CAJAS ELABORADAS'!$J195,0)</f>
        <v>666100</v>
      </c>
      <c r="V195" s="248">
        <f>'CAJAS ELABORADAS'!$Y195/'DATOS PARA CALCULO'!$D$27</f>
        <v>1.0092424242424243</v>
      </c>
      <c r="W195" s="249">
        <f>(Tabla1[[#This Row],[Valor Pagado]]-Tabla1[[#This Row],[PRODUCIDO BOLSAS]])/Tabla1[[#This Row],[Cajas Elaboradas]]</f>
        <v>1500</v>
      </c>
      <c r="X195" s="113">
        <f t="shared" si="35"/>
        <v>30277.272727272728</v>
      </c>
      <c r="Y195" s="114">
        <f>IF('CAJAS ELABORADAS'!$X195&lt;'DATOS PARA CALCULO'!$D$27,'DATOS PARA CALCULO'!$D$27,'CAJAS ELABORADAS'!$X195)</f>
        <v>30277.272727272728</v>
      </c>
      <c r="Z195" s="94">
        <f>Tabla1[[#This Row],[VALOR  A PAGAR]]-Tabla1[[#This Row],[VALOR GANADO]]</f>
        <v>0</v>
      </c>
      <c r="AA195" s="64"/>
    </row>
    <row r="196" spans="3:27" ht="18.75" x14ac:dyDescent="0.25">
      <c r="C196" s="71">
        <v>44593</v>
      </c>
      <c r="D196" s="507">
        <f>YEAR(Tabla1[[#This Row],[FECHA]])</f>
        <v>2022</v>
      </c>
      <c r="E196" s="72">
        <f>_xlfn.ISOWEEKNUM(Tabla1[[#This Row],[FECHA]])</f>
        <v>5</v>
      </c>
      <c r="F196" s="72" t="s">
        <v>153</v>
      </c>
      <c r="G196" s="73" t="s">
        <v>35</v>
      </c>
      <c r="H196" s="74">
        <f>100+10</f>
        <v>110</v>
      </c>
      <c r="I196" s="72">
        <v>3.4</v>
      </c>
      <c r="J196" s="72">
        <v>5</v>
      </c>
      <c r="K196" s="75">
        <v>440</v>
      </c>
      <c r="L196" s="93">
        <f>248+191</f>
        <v>439</v>
      </c>
      <c r="M196" s="60">
        <f>+Tabla1[[#This Row],[Rasimos Cosechados]]-Tabla1[[#This Row],[Rasimos Prosesados]]</f>
        <v>1</v>
      </c>
      <c r="N196" s="62">
        <f>+Tabla1[[#This Row],[Rasimos Cosechados]]/Tabla1[[#This Row],[Cajas Elaboradas]]</f>
        <v>4</v>
      </c>
      <c r="O196" s="63">
        <f>+Tabla1[[#This Row],[Rasimos Prosesados]]/Tabla1[[#This Row],[Cajas Elaboradas]]</f>
        <v>3.9909090909090907</v>
      </c>
      <c r="P196" s="66">
        <f>IF(H196,'DATOS PARA CALCULO'!D$18,0)</f>
        <v>1500</v>
      </c>
      <c r="Q196" s="65">
        <f>IF(I196,'DATOS PARA CALCULO'!D$22,0)</f>
        <v>500</v>
      </c>
      <c r="R196" s="66">
        <f t="shared" si="32"/>
        <v>165000</v>
      </c>
      <c r="S196" s="65">
        <f t="shared" si="33"/>
        <v>1700</v>
      </c>
      <c r="T196" s="66">
        <f t="shared" si="34"/>
        <v>166700</v>
      </c>
      <c r="U196" s="65">
        <f>IF('CAJAS ELABORADAS'!$J196&gt;0,'CAJAS ELABORADAS'!$Y196*'CAJAS ELABORADAS'!$J196,0)</f>
        <v>166700</v>
      </c>
      <c r="V196" s="67">
        <f>'CAJAS ELABORADAS'!$Y196/'DATOS PARA CALCULO'!$D$27</f>
        <v>1.1113333333333333</v>
      </c>
      <c r="W196" s="64">
        <f>(Tabla1[[#This Row],[Valor Pagado]]-Tabla1[[#This Row],[PRODUCIDO BOLSAS]])/Tabla1[[#This Row],[Cajas Elaboradas]]</f>
        <v>1500</v>
      </c>
      <c r="X196" s="83">
        <f t="shared" si="35"/>
        <v>33340</v>
      </c>
      <c r="Y196" s="84">
        <f>IF('CAJAS ELABORADAS'!$X196&lt;'DATOS PARA CALCULO'!$D$27,'DATOS PARA CALCULO'!$D$27,'CAJAS ELABORADAS'!$X196)</f>
        <v>33340</v>
      </c>
      <c r="Z196" s="94">
        <f>Tabla1[[#This Row],[VALOR  A PAGAR]]-Tabla1[[#This Row],[VALOR GANADO]]</f>
        <v>0</v>
      </c>
      <c r="AA196" s="64"/>
    </row>
    <row r="197" spans="3:27" ht="18.75" x14ac:dyDescent="0.25">
      <c r="C197" s="71">
        <v>44594</v>
      </c>
      <c r="D197" s="507">
        <f>YEAR(Tabla1[[#This Row],[FECHA]])</f>
        <v>2022</v>
      </c>
      <c r="E197" s="72">
        <f>_xlfn.ISOWEEKNUM(Tabla1[[#This Row],[FECHA]])</f>
        <v>5</v>
      </c>
      <c r="F197" s="72" t="s">
        <v>157</v>
      </c>
      <c r="G197" s="73" t="s">
        <v>31</v>
      </c>
      <c r="H197" s="74">
        <v>92</v>
      </c>
      <c r="I197" s="72">
        <v>61.2</v>
      </c>
      <c r="J197" s="72">
        <v>7</v>
      </c>
      <c r="K197" s="75">
        <v>731</v>
      </c>
      <c r="L197" s="93">
        <v>541</v>
      </c>
      <c r="M197" s="60">
        <f>+Tabla1[[#This Row],[Rasimos Cosechados]]-Tabla1[[#This Row],[Rasimos Prosesados]]</f>
        <v>190</v>
      </c>
      <c r="N197" s="62">
        <f>+Tabla1[[#This Row],[Rasimos Cosechados]]/Tabla1[[#This Row],[Cajas Elaboradas]]</f>
        <v>7.9456521739130439</v>
      </c>
      <c r="O197" s="63">
        <f>+Tabla1[[#This Row],[Rasimos Prosesados]]/Tabla1[[#This Row],[Cajas Elaboradas]]</f>
        <v>5.8804347826086953</v>
      </c>
      <c r="P197" s="66">
        <v>2100</v>
      </c>
      <c r="Q197" s="65">
        <f>IF(I197,'DATOS PARA CALCULO'!D$22,0)</f>
        <v>500</v>
      </c>
      <c r="R197" s="66">
        <f t="shared" si="32"/>
        <v>193200</v>
      </c>
      <c r="S197" s="65">
        <f t="shared" si="33"/>
        <v>30600</v>
      </c>
      <c r="T197" s="66">
        <f t="shared" si="34"/>
        <v>223800</v>
      </c>
      <c r="U197" s="65">
        <f>IF('CAJAS ELABORADAS'!$J197&gt;0,'CAJAS ELABORADAS'!$Y197*'CAJAS ELABORADAS'!$J197,0)</f>
        <v>223800</v>
      </c>
      <c r="V197" s="67">
        <f>'CAJAS ELABORADAS'!$Y197/'DATOS PARA CALCULO'!$D$27</f>
        <v>1.0657142857142858</v>
      </c>
      <c r="W197" s="64">
        <f>(Tabla1[[#This Row],[Valor Pagado]]-Tabla1[[#This Row],[PRODUCIDO BOLSAS]])/Tabla1[[#This Row],[Cajas Elaboradas]]</f>
        <v>2100</v>
      </c>
      <c r="X197" s="83">
        <f t="shared" si="35"/>
        <v>31971.428571428572</v>
      </c>
      <c r="Y197" s="84">
        <f>IF('CAJAS ELABORADAS'!$X197&lt;'DATOS PARA CALCULO'!$D$27,'DATOS PARA CALCULO'!$D$27,'CAJAS ELABORADAS'!$X197)</f>
        <v>31971.428571428572</v>
      </c>
      <c r="Z197" s="94">
        <f>Tabla1[[#This Row],[VALOR  A PAGAR]]-Tabla1[[#This Row],[VALOR GANADO]]</f>
        <v>0</v>
      </c>
      <c r="AA197" s="64"/>
    </row>
    <row r="198" spans="3:27" ht="18.75" x14ac:dyDescent="0.25">
      <c r="C198" s="71">
        <v>44594</v>
      </c>
      <c r="D198" s="507">
        <f>YEAR(Tabla1[[#This Row],[FECHA]])</f>
        <v>2022</v>
      </c>
      <c r="E198" s="72">
        <f>_xlfn.ISOWEEKNUM(Tabla1[[#This Row],[FECHA]])</f>
        <v>5</v>
      </c>
      <c r="F198" s="57" t="s">
        <v>155</v>
      </c>
      <c r="G198" s="73" t="s">
        <v>28</v>
      </c>
      <c r="H198" s="74">
        <v>144</v>
      </c>
      <c r="I198" s="72">
        <v>21.6</v>
      </c>
      <c r="J198" s="72">
        <v>6</v>
      </c>
      <c r="K198" s="86">
        <v>695</v>
      </c>
      <c r="L198" s="87">
        <v>644</v>
      </c>
      <c r="M198" s="60">
        <f>+Tabla1[[#This Row],[Rasimos Cosechados]]-Tabla1[[#This Row],[Rasimos Prosesados]]</f>
        <v>51</v>
      </c>
      <c r="N198" s="62">
        <f>+Tabla1[[#This Row],[Rasimos Cosechados]]/Tabla1[[#This Row],[Cajas Elaboradas]]</f>
        <v>4.8263888888888893</v>
      </c>
      <c r="O198" s="63">
        <f>+Tabla1[[#This Row],[Rasimos Prosesados]]/Tabla1[[#This Row],[Cajas Elaboradas]]</f>
        <v>4.4722222222222223</v>
      </c>
      <c r="P198" s="66">
        <f>IF(H198,'DATOS PARA CALCULO'!D$18,0)</f>
        <v>1500</v>
      </c>
      <c r="Q198" s="65">
        <f>IF(I198,'DATOS PARA CALCULO'!D$22,0)</f>
        <v>500</v>
      </c>
      <c r="R198" s="66">
        <f t="shared" si="32"/>
        <v>216000</v>
      </c>
      <c r="S198" s="65">
        <f t="shared" si="33"/>
        <v>10800</v>
      </c>
      <c r="T198" s="66">
        <f t="shared" si="34"/>
        <v>226800</v>
      </c>
      <c r="U198" s="65">
        <f>IF('CAJAS ELABORADAS'!$J198&gt;0,'CAJAS ELABORADAS'!$Y198*'CAJAS ELABORADAS'!$J198,0)</f>
        <v>226800</v>
      </c>
      <c r="V198" s="67">
        <f>'CAJAS ELABORADAS'!$Y198/'DATOS PARA CALCULO'!$D$27</f>
        <v>1.26</v>
      </c>
      <c r="W198" s="64">
        <f>(Tabla1[[#This Row],[Valor Pagado]]-Tabla1[[#This Row],[PRODUCIDO BOLSAS]])/Tabla1[[#This Row],[Cajas Elaboradas]]</f>
        <v>1500</v>
      </c>
      <c r="X198" s="90">
        <f t="shared" si="35"/>
        <v>37800</v>
      </c>
      <c r="Y198" s="91">
        <f>IF('CAJAS ELABORADAS'!$X198&lt;'DATOS PARA CALCULO'!$D$27,'DATOS PARA CALCULO'!$D$27,'CAJAS ELABORADAS'!$X198)</f>
        <v>37800</v>
      </c>
      <c r="Z198" s="92">
        <f>Tabla1[[#This Row],[VALOR  A PAGAR]]-Tabla1[[#This Row],[VALOR GANADO]]</f>
        <v>0</v>
      </c>
      <c r="AA198" s="64"/>
    </row>
    <row r="199" spans="3:27" ht="18.75" x14ac:dyDescent="0.25">
      <c r="C199" s="71">
        <v>44600</v>
      </c>
      <c r="D199" s="507">
        <f>YEAR(Tabla1[[#This Row],[FECHA]])</f>
        <v>2022</v>
      </c>
      <c r="E199" s="72">
        <f>_xlfn.ISOWEEKNUM(Tabla1[[#This Row],[FECHA]])</f>
        <v>6</v>
      </c>
      <c r="F199" s="72" t="s">
        <v>152</v>
      </c>
      <c r="G199" s="73" t="s">
        <v>29</v>
      </c>
      <c r="H199" s="74">
        <v>353</v>
      </c>
      <c r="I199" s="72">
        <v>64.599999999999994</v>
      </c>
      <c r="J199" s="72">
        <v>17</v>
      </c>
      <c r="K199" s="75">
        <v>1251</v>
      </c>
      <c r="L199" s="93">
        <v>1245</v>
      </c>
      <c r="M199" s="60">
        <f>+Tabla1[[#This Row],[Rasimos Cosechados]]-Tabla1[[#This Row],[Rasimos Prosesados]]</f>
        <v>6</v>
      </c>
      <c r="N199" s="62">
        <f>+Tabla1[[#This Row],[Rasimos Cosechados]]/Tabla1[[#This Row],[Cajas Elaboradas]]</f>
        <v>3.5439093484419262</v>
      </c>
      <c r="O199" s="63">
        <f>+Tabla1[[#This Row],[Rasimos Prosesados]]/Tabla1[[#This Row],[Cajas Elaboradas]]</f>
        <v>3.5269121813031163</v>
      </c>
      <c r="P199" s="81">
        <f>IF(H199,'DATOS PARA CALCULO'!D$18,0)</f>
        <v>1500</v>
      </c>
      <c r="Q199" s="80">
        <f>IF(I199,'DATOS PARA CALCULO'!D$22,0)</f>
        <v>500</v>
      </c>
      <c r="R199" s="81">
        <f t="shared" ref="R199:R212" si="36">IF(P199&gt;0 &amp; H199&gt;0,H199*P199,)</f>
        <v>529500</v>
      </c>
      <c r="S199" s="80">
        <f t="shared" ref="S199:S212" si="37">IF(Q199&gt;0 &amp; I199&gt;0,I199*Q199,0)</f>
        <v>32299.999999999996</v>
      </c>
      <c r="T199" s="81">
        <f t="shared" ref="T199:T212" si="38">S199+R199</f>
        <v>561800</v>
      </c>
      <c r="U199" s="80">
        <f>IF('CAJAS ELABORADAS'!$J199&gt;0,'CAJAS ELABORADAS'!$Y199*'CAJAS ELABORADAS'!$J199,0)</f>
        <v>561800</v>
      </c>
      <c r="V199" s="82">
        <f>'CAJAS ELABORADAS'!$Y199/'DATOS PARA CALCULO'!$D$27</f>
        <v>1.1015686274509804</v>
      </c>
      <c r="W199" s="79">
        <f>(Tabla1[[#This Row],[Valor Pagado]]-Tabla1[[#This Row],[PRODUCIDO BOLSAS]])/Tabla1[[#This Row],[Cajas Elaboradas]]</f>
        <v>1500</v>
      </c>
      <c r="X199" s="83">
        <f t="shared" ref="X199:X212" si="39">IF(J199&gt;0,T199/J199,0)</f>
        <v>33047.058823529413</v>
      </c>
      <c r="Y199" s="84">
        <f>IF('CAJAS ELABORADAS'!$X199&lt;'DATOS PARA CALCULO'!$D$27,'DATOS PARA CALCULO'!$D$27,'CAJAS ELABORADAS'!$X199)</f>
        <v>33047.058823529413</v>
      </c>
      <c r="Z199" s="94">
        <f>Tabla1[[#This Row],[VALOR  A PAGAR]]-Tabla1[[#This Row],[VALOR GANADO]]</f>
        <v>0</v>
      </c>
      <c r="AA199" s="64"/>
    </row>
    <row r="200" spans="3:27" ht="18.75" x14ac:dyDescent="0.25">
      <c r="C200" s="71">
        <v>44600</v>
      </c>
      <c r="D200" s="507">
        <f>YEAR(Tabla1[[#This Row],[FECHA]])</f>
        <v>2022</v>
      </c>
      <c r="E200" s="72">
        <f>_xlfn.ISOWEEKNUM(Tabla1[[#This Row],[FECHA]])</f>
        <v>6</v>
      </c>
      <c r="F200" s="72" t="s">
        <v>153</v>
      </c>
      <c r="G200" s="73" t="s">
        <v>30</v>
      </c>
      <c r="H200" s="74">
        <v>90</v>
      </c>
      <c r="I200" s="72">
        <v>9.6</v>
      </c>
      <c r="J200" s="72">
        <v>5</v>
      </c>
      <c r="K200" s="75">
        <v>367</v>
      </c>
      <c r="L200" s="93">
        <f>207+160</f>
        <v>367</v>
      </c>
      <c r="M200" s="60">
        <f>+Tabla1[[#This Row],[Rasimos Cosechados]]-Tabla1[[#This Row],[Rasimos Prosesados]]</f>
        <v>0</v>
      </c>
      <c r="N200" s="62">
        <f>+Tabla1[[#This Row],[Rasimos Cosechados]]/Tabla1[[#This Row],[Cajas Elaboradas]]</f>
        <v>4.0777777777777775</v>
      </c>
      <c r="O200" s="63">
        <f>+Tabla1[[#This Row],[Rasimos Prosesados]]/Tabla1[[#This Row],[Cajas Elaboradas]]</f>
        <v>4.0777777777777775</v>
      </c>
      <c r="P200" s="66">
        <f>IF(H200,'DATOS PARA CALCULO'!D$18,0)</f>
        <v>1500</v>
      </c>
      <c r="Q200" s="65">
        <f>IF(I200,'DATOS PARA CALCULO'!D$22,0)</f>
        <v>500</v>
      </c>
      <c r="R200" s="66">
        <f t="shared" si="36"/>
        <v>135000</v>
      </c>
      <c r="S200" s="65">
        <f t="shared" si="37"/>
        <v>4800</v>
      </c>
      <c r="T200" s="66">
        <f t="shared" si="38"/>
        <v>139800</v>
      </c>
      <c r="U200" s="65">
        <f>IF('CAJAS ELABORADAS'!$J200&gt;0,'CAJAS ELABORADAS'!$Y200*'CAJAS ELABORADAS'!$J200,0)</f>
        <v>150000</v>
      </c>
      <c r="V200" s="67">
        <f>'CAJAS ELABORADAS'!$Y200/'DATOS PARA CALCULO'!$D$27</f>
        <v>1</v>
      </c>
      <c r="W200" s="64">
        <f>(Tabla1[[#This Row],[Valor Pagado]]-Tabla1[[#This Row],[PRODUCIDO BOLSAS]])/Tabla1[[#This Row],[Cajas Elaboradas]]</f>
        <v>1613.3333333333333</v>
      </c>
      <c r="X200" s="83">
        <f t="shared" si="39"/>
        <v>27960</v>
      </c>
      <c r="Y200" s="84">
        <f>IF('CAJAS ELABORADAS'!$X200&lt;'DATOS PARA CALCULO'!$D$27,'DATOS PARA CALCULO'!$D$27,'CAJAS ELABORADAS'!$X200)</f>
        <v>30000</v>
      </c>
      <c r="Z200" s="94">
        <f>Tabla1[[#This Row],[VALOR  A PAGAR]]-Tabla1[[#This Row],[VALOR GANADO]]</f>
        <v>2040</v>
      </c>
      <c r="AA200" s="64"/>
    </row>
    <row r="201" spans="3:27" ht="18.75" x14ac:dyDescent="0.25">
      <c r="C201" s="71">
        <v>44601</v>
      </c>
      <c r="D201" s="507">
        <f>YEAR(Tabla1[[#This Row],[FECHA]])</f>
        <v>2022</v>
      </c>
      <c r="E201" s="72">
        <f>_xlfn.ISOWEEKNUM(Tabla1[[#This Row],[FECHA]])</f>
        <v>6</v>
      </c>
      <c r="F201" s="72" t="s">
        <v>152</v>
      </c>
      <c r="G201" s="73" t="s">
        <v>29</v>
      </c>
      <c r="H201" s="74">
        <v>300</v>
      </c>
      <c r="I201" s="72">
        <v>40.799999999999997</v>
      </c>
      <c r="J201" s="72">
        <v>13</v>
      </c>
      <c r="K201" s="75">
        <v>979</v>
      </c>
      <c r="L201" s="93">
        <v>976</v>
      </c>
      <c r="M201" s="60">
        <f>+Tabla1[[#This Row],[Rasimos Cosechados]]-Tabla1[[#This Row],[Rasimos Prosesados]]</f>
        <v>3</v>
      </c>
      <c r="N201" s="62">
        <f>+Tabla1[[#This Row],[Rasimos Cosechados]]/Tabla1[[#This Row],[Cajas Elaboradas]]</f>
        <v>3.2633333333333332</v>
      </c>
      <c r="O201" s="63">
        <f>+Tabla1[[#This Row],[Rasimos Prosesados]]/Tabla1[[#This Row],[Cajas Elaboradas]]</f>
        <v>3.2533333333333334</v>
      </c>
      <c r="P201" s="66">
        <f>IF(H201,'DATOS PARA CALCULO'!D$18,0)</f>
        <v>1500</v>
      </c>
      <c r="Q201" s="65">
        <f>IF(I201,'DATOS PARA CALCULO'!D$22,0)</f>
        <v>500</v>
      </c>
      <c r="R201" s="66">
        <f t="shared" si="36"/>
        <v>450000</v>
      </c>
      <c r="S201" s="65">
        <f t="shared" si="37"/>
        <v>20400</v>
      </c>
      <c r="T201" s="66">
        <f t="shared" si="38"/>
        <v>470400</v>
      </c>
      <c r="U201" s="65">
        <f>IF('CAJAS ELABORADAS'!$J201&gt;0,'CAJAS ELABORADAS'!$Y201*'CAJAS ELABORADAS'!$J201,0)</f>
        <v>470400</v>
      </c>
      <c r="V201" s="67">
        <f>'CAJAS ELABORADAS'!$Y201/'DATOS PARA CALCULO'!$D$27</f>
        <v>1.2061538461538461</v>
      </c>
      <c r="W201" s="64">
        <f>(Tabla1[[#This Row],[Valor Pagado]]-Tabla1[[#This Row],[PRODUCIDO BOLSAS]])/Tabla1[[#This Row],[Cajas Elaboradas]]</f>
        <v>1500</v>
      </c>
      <c r="X201" s="83">
        <f t="shared" si="39"/>
        <v>36184.615384615383</v>
      </c>
      <c r="Y201" s="84">
        <f>IF('CAJAS ELABORADAS'!$X201&lt;'DATOS PARA CALCULO'!$D$27,'DATOS PARA CALCULO'!$D$27,'CAJAS ELABORADAS'!$X201)</f>
        <v>36184.615384615383</v>
      </c>
      <c r="Z201" s="94">
        <f>Tabla1[[#This Row],[VALOR  A PAGAR]]-Tabla1[[#This Row],[VALOR GANADO]]</f>
        <v>0</v>
      </c>
      <c r="AA201" s="64"/>
    </row>
    <row r="202" spans="3:27" ht="18.75" x14ac:dyDescent="0.25">
      <c r="C202" s="71">
        <v>44601</v>
      </c>
      <c r="D202" s="507">
        <f>YEAR(Tabla1[[#This Row],[FECHA]])</f>
        <v>2022</v>
      </c>
      <c r="E202" s="72">
        <f>_xlfn.ISOWEEKNUM(Tabla1[[#This Row],[FECHA]])</f>
        <v>6</v>
      </c>
      <c r="F202" s="57" t="s">
        <v>155</v>
      </c>
      <c r="G202" s="73" t="s">
        <v>28</v>
      </c>
      <c r="H202" s="74">
        <v>156</v>
      </c>
      <c r="I202" s="72">
        <v>36</v>
      </c>
      <c r="J202" s="72">
        <v>10</v>
      </c>
      <c r="K202" s="75">
        <f>160+207</f>
        <v>367</v>
      </c>
      <c r="L202" s="93"/>
      <c r="M202" s="60">
        <f>+Tabla1[[#This Row],[Rasimos Cosechados]]-Tabla1[[#This Row],[Rasimos Prosesados]]</f>
        <v>367</v>
      </c>
      <c r="N202" s="62">
        <f>+Tabla1[[#This Row],[Rasimos Cosechados]]/Tabla1[[#This Row],[Cajas Elaboradas]]</f>
        <v>2.3525641025641026</v>
      </c>
      <c r="O202" s="63">
        <f>+Tabla1[[#This Row],[Rasimos Prosesados]]/Tabla1[[#This Row],[Cajas Elaboradas]]</f>
        <v>0</v>
      </c>
      <c r="P202" s="66">
        <f>IF(H202,'DATOS PARA CALCULO'!D$18,0)</f>
        <v>1500</v>
      </c>
      <c r="Q202" s="65">
        <f>IF(I202,'DATOS PARA CALCULO'!D$22,0)</f>
        <v>500</v>
      </c>
      <c r="R202" s="66">
        <f t="shared" si="36"/>
        <v>234000</v>
      </c>
      <c r="S202" s="65">
        <f t="shared" si="37"/>
        <v>18000</v>
      </c>
      <c r="T202" s="66">
        <f t="shared" si="38"/>
        <v>252000</v>
      </c>
      <c r="U202" s="65">
        <f>IF('CAJAS ELABORADAS'!$J202&gt;0,'CAJAS ELABORADAS'!$Y202*'CAJAS ELABORADAS'!$J202,0)</f>
        <v>300000</v>
      </c>
      <c r="V202" s="67">
        <f>'CAJAS ELABORADAS'!$Y202/'DATOS PARA CALCULO'!$D$27</f>
        <v>1</v>
      </c>
      <c r="W202" s="64">
        <f>(Tabla1[[#This Row],[Valor Pagado]]-Tabla1[[#This Row],[PRODUCIDO BOLSAS]])/Tabla1[[#This Row],[Cajas Elaboradas]]</f>
        <v>1807.6923076923076</v>
      </c>
      <c r="X202" s="83">
        <f t="shared" si="39"/>
        <v>25200</v>
      </c>
      <c r="Y202" s="84">
        <f>IF('CAJAS ELABORADAS'!$X202&lt;'DATOS PARA CALCULO'!$D$27,'DATOS PARA CALCULO'!$D$27,'CAJAS ELABORADAS'!$X202)</f>
        <v>30000</v>
      </c>
      <c r="Z202" s="94">
        <f>Tabla1[[#This Row],[VALOR  A PAGAR]]-Tabla1[[#This Row],[VALOR GANADO]]</f>
        <v>4800</v>
      </c>
      <c r="AA202" s="64"/>
    </row>
    <row r="203" spans="3:27" ht="18.75" x14ac:dyDescent="0.25">
      <c r="C203" s="71">
        <v>44601</v>
      </c>
      <c r="D203" s="507">
        <f>YEAR(Tabla1[[#This Row],[FECHA]])</f>
        <v>2022</v>
      </c>
      <c r="E203" s="72">
        <f>_xlfn.ISOWEEKNUM(Tabla1[[#This Row],[FECHA]])</f>
        <v>6</v>
      </c>
      <c r="F203" s="72" t="s">
        <v>157</v>
      </c>
      <c r="G203" s="73" t="s">
        <v>31</v>
      </c>
      <c r="H203" s="74">
        <v>78</v>
      </c>
      <c r="I203" s="72"/>
      <c r="J203" s="72">
        <v>6</v>
      </c>
      <c r="K203" s="75">
        <v>592</v>
      </c>
      <c r="L203" s="93">
        <v>516</v>
      </c>
      <c r="M203" s="60">
        <f>+Tabla1[[#This Row],[Rasimos Cosechados]]-Tabla1[[#This Row],[Rasimos Prosesados]]</f>
        <v>76</v>
      </c>
      <c r="N203" s="62">
        <f>+Tabla1[[#This Row],[Rasimos Cosechados]]/Tabla1[[#This Row],[Cajas Elaboradas]]</f>
        <v>7.5897435897435894</v>
      </c>
      <c r="O203" s="63">
        <f>+Tabla1[[#This Row],[Rasimos Prosesados]]/Tabla1[[#This Row],[Cajas Elaboradas]]</f>
        <v>6.615384615384615</v>
      </c>
      <c r="P203" s="81">
        <f>IF(H203,'DATOS PARA CALCULO'!D$18,0)</f>
        <v>1500</v>
      </c>
      <c r="Q203" s="80">
        <f>IF(I203,'DATOS PARA CALCULO'!D$22,0)</f>
        <v>0</v>
      </c>
      <c r="R203" s="81">
        <f t="shared" si="36"/>
        <v>117000</v>
      </c>
      <c r="S203" s="80">
        <f t="shared" si="37"/>
        <v>0</v>
      </c>
      <c r="T203" s="81">
        <f t="shared" si="38"/>
        <v>117000</v>
      </c>
      <c r="U203" s="80">
        <f>IF('CAJAS ELABORADAS'!$J203&gt;0,'CAJAS ELABORADAS'!$Y203*'CAJAS ELABORADAS'!$J203,0)</f>
        <v>180000</v>
      </c>
      <c r="V203" s="82">
        <f>'CAJAS ELABORADAS'!$Y203/'DATOS PARA CALCULO'!$D$27</f>
        <v>1</v>
      </c>
      <c r="W203" s="79">
        <f>(Tabla1[[#This Row],[Valor Pagado]]-Tabla1[[#This Row],[PRODUCIDO BOLSAS]])/Tabla1[[#This Row],[Cajas Elaboradas]]</f>
        <v>2307.6923076923076</v>
      </c>
      <c r="X203" s="83">
        <f t="shared" si="39"/>
        <v>19500</v>
      </c>
      <c r="Y203" s="84">
        <f>IF('CAJAS ELABORADAS'!$X203&lt;'DATOS PARA CALCULO'!$D$27,'DATOS PARA CALCULO'!$D$27,'CAJAS ELABORADAS'!$X203)</f>
        <v>30000</v>
      </c>
      <c r="Z203" s="94">
        <f>Tabla1[[#This Row],[VALOR  A PAGAR]]-Tabla1[[#This Row],[VALOR GANADO]]</f>
        <v>10500</v>
      </c>
      <c r="AA203" s="64"/>
    </row>
    <row r="204" spans="3:27" ht="18.75" x14ac:dyDescent="0.25">
      <c r="C204" s="71">
        <v>44607</v>
      </c>
      <c r="D204" s="507">
        <f>YEAR(Tabla1[[#This Row],[FECHA]])</f>
        <v>2022</v>
      </c>
      <c r="E204" s="72">
        <f>_xlfn.ISOWEEKNUM(Tabla1[[#This Row],[FECHA]])</f>
        <v>7</v>
      </c>
      <c r="F204" s="72" t="s">
        <v>152</v>
      </c>
      <c r="G204" s="73" t="s">
        <v>29</v>
      </c>
      <c r="H204" s="74">
        <v>300</v>
      </c>
      <c r="I204" s="72">
        <v>56.12</v>
      </c>
      <c r="J204" s="72">
        <v>15</v>
      </c>
      <c r="K204" s="75">
        <v>1126</v>
      </c>
      <c r="L204" s="93">
        <f>308+260+218+173+64</f>
        <v>1023</v>
      </c>
      <c r="M204" s="60">
        <f>+Tabla1[[#This Row],[Rasimos Cosechados]]-Tabla1[[#This Row],[Rasimos Prosesados]]</f>
        <v>103</v>
      </c>
      <c r="N204" s="62">
        <f>+Tabla1[[#This Row],[Rasimos Cosechados]]/Tabla1[[#This Row],[Cajas Elaboradas]]</f>
        <v>3.7533333333333334</v>
      </c>
      <c r="O204" s="63">
        <f>+Tabla1[[#This Row],[Rasimos Prosesados]]/Tabla1[[#This Row],[Cajas Elaboradas]]</f>
        <v>3.41</v>
      </c>
      <c r="P204" s="66">
        <f>IF(H204,'DATOS PARA CALCULO'!D$18,0)</f>
        <v>1500</v>
      </c>
      <c r="Q204" s="65">
        <f>IF(I204,'DATOS PARA CALCULO'!D$22,0)</f>
        <v>500</v>
      </c>
      <c r="R204" s="66">
        <f t="shared" si="36"/>
        <v>450000</v>
      </c>
      <c r="S204" s="65">
        <f t="shared" si="37"/>
        <v>28060</v>
      </c>
      <c r="T204" s="66">
        <f t="shared" si="38"/>
        <v>478060</v>
      </c>
      <c r="U204" s="65">
        <f>IF('CAJAS ELABORADAS'!$J204&gt;0,'CAJAS ELABORADAS'!$Y204*'CAJAS ELABORADAS'!$J204,0)</f>
        <v>478060</v>
      </c>
      <c r="V204" s="67">
        <f>'CAJAS ELABORADAS'!$Y204/'DATOS PARA CALCULO'!$D$27</f>
        <v>1.0623555555555555</v>
      </c>
      <c r="W204" s="64">
        <f>(Tabla1[[#This Row],[Valor Pagado]]-Tabla1[[#This Row],[PRODUCIDO BOLSAS]])/Tabla1[[#This Row],[Cajas Elaboradas]]</f>
        <v>1500</v>
      </c>
      <c r="X204" s="83">
        <f t="shared" si="39"/>
        <v>31870.666666666668</v>
      </c>
      <c r="Y204" s="84">
        <f>IF('CAJAS ELABORADAS'!$X204&lt;'DATOS PARA CALCULO'!$D$27,'DATOS PARA CALCULO'!$D$27,'CAJAS ELABORADAS'!$X204)</f>
        <v>31870.666666666668</v>
      </c>
      <c r="Z204" s="94">
        <f>Tabla1[[#This Row],[VALOR  A PAGAR]]-Tabla1[[#This Row],[VALOR GANADO]]</f>
        <v>0</v>
      </c>
      <c r="AA204" s="64"/>
    </row>
    <row r="205" spans="3:27" ht="18.75" x14ac:dyDescent="0.25">
      <c r="C205" s="71">
        <v>44607</v>
      </c>
      <c r="D205" s="507">
        <f>YEAR(Tabla1[[#This Row],[FECHA]])</f>
        <v>2022</v>
      </c>
      <c r="E205" s="72">
        <f>_xlfn.ISOWEEKNUM(Tabla1[[#This Row],[FECHA]])</f>
        <v>7</v>
      </c>
      <c r="F205" s="72" t="s">
        <v>153</v>
      </c>
      <c r="G205" s="73" t="s">
        <v>30</v>
      </c>
      <c r="H205" s="74">
        <v>90</v>
      </c>
      <c r="I205" s="72">
        <v>10.8</v>
      </c>
      <c r="J205" s="72">
        <v>5</v>
      </c>
      <c r="K205" s="75">
        <f>178+214</f>
        <v>392</v>
      </c>
      <c r="L205" s="93">
        <v>377</v>
      </c>
      <c r="M205" s="60">
        <f>+Tabla1[[#This Row],[Rasimos Cosechados]]-Tabla1[[#This Row],[Rasimos Prosesados]]</f>
        <v>15</v>
      </c>
      <c r="N205" s="62">
        <f>+Tabla1[[#This Row],[Rasimos Cosechados]]/Tabla1[[#This Row],[Cajas Elaboradas]]</f>
        <v>4.3555555555555552</v>
      </c>
      <c r="O205" s="63">
        <f>+Tabla1[[#This Row],[Rasimos Prosesados]]/Tabla1[[#This Row],[Cajas Elaboradas]]</f>
        <v>4.1888888888888891</v>
      </c>
      <c r="P205" s="66">
        <f>IF(H205,'DATOS PARA CALCULO'!D$18,0)</f>
        <v>1500</v>
      </c>
      <c r="Q205" s="65">
        <f>IF(I205,'DATOS PARA CALCULO'!D$22,0)</f>
        <v>500</v>
      </c>
      <c r="R205" s="66">
        <f t="shared" si="36"/>
        <v>135000</v>
      </c>
      <c r="S205" s="65">
        <f t="shared" si="37"/>
        <v>5400</v>
      </c>
      <c r="T205" s="66">
        <f t="shared" si="38"/>
        <v>140400</v>
      </c>
      <c r="U205" s="65">
        <f>IF('CAJAS ELABORADAS'!$J205&gt;0,'CAJAS ELABORADAS'!$Y205*'CAJAS ELABORADAS'!$J205,0)</f>
        <v>150000</v>
      </c>
      <c r="V205" s="67">
        <f>'CAJAS ELABORADAS'!$Y205/'DATOS PARA CALCULO'!$D$27</f>
        <v>1</v>
      </c>
      <c r="W205" s="64">
        <f>(Tabla1[[#This Row],[Valor Pagado]]-Tabla1[[#This Row],[PRODUCIDO BOLSAS]])/Tabla1[[#This Row],[Cajas Elaboradas]]</f>
        <v>1606.6666666666667</v>
      </c>
      <c r="X205" s="83">
        <f t="shared" si="39"/>
        <v>28080</v>
      </c>
      <c r="Y205" s="84">
        <f>IF('CAJAS ELABORADAS'!$X205&lt;'DATOS PARA CALCULO'!$D$27,'DATOS PARA CALCULO'!$D$27,'CAJAS ELABORADAS'!$X205)</f>
        <v>30000</v>
      </c>
      <c r="Z205" s="94">
        <f>Tabla1[[#This Row],[VALOR  A PAGAR]]-Tabla1[[#This Row],[VALOR GANADO]]</f>
        <v>1920</v>
      </c>
      <c r="AA205" s="64"/>
    </row>
    <row r="206" spans="3:27" ht="18.75" x14ac:dyDescent="0.25">
      <c r="C206" s="71">
        <v>44608</v>
      </c>
      <c r="D206" s="507">
        <f>YEAR(Tabla1[[#This Row],[FECHA]])</f>
        <v>2022</v>
      </c>
      <c r="E206" s="72">
        <f>_xlfn.ISOWEEKNUM(Tabla1[[#This Row],[FECHA]])</f>
        <v>7</v>
      </c>
      <c r="F206" s="72" t="s">
        <v>152</v>
      </c>
      <c r="G206" s="73" t="s">
        <v>29</v>
      </c>
      <c r="H206" s="74">
        <v>307</v>
      </c>
      <c r="I206" s="72">
        <v>20.399999999999999</v>
      </c>
      <c r="J206" s="72">
        <v>15</v>
      </c>
      <c r="K206" s="75">
        <v>1266</v>
      </c>
      <c r="L206" s="93">
        <f>180+202+331+212+312</f>
        <v>1237</v>
      </c>
      <c r="M206" s="60">
        <f>+Tabla1[[#This Row],[Rasimos Cosechados]]-Tabla1[[#This Row],[Rasimos Prosesados]]</f>
        <v>29</v>
      </c>
      <c r="N206" s="62">
        <f>+Tabla1[[#This Row],[Rasimos Cosechados]]/Tabla1[[#This Row],[Cajas Elaboradas]]</f>
        <v>4.1237785016286646</v>
      </c>
      <c r="O206" s="63">
        <f>+Tabla1[[#This Row],[Rasimos Prosesados]]/Tabla1[[#This Row],[Cajas Elaboradas]]</f>
        <v>4.0293159609120517</v>
      </c>
      <c r="P206" s="66">
        <f>IF(H206,'DATOS PARA CALCULO'!D$18,0)</f>
        <v>1500</v>
      </c>
      <c r="Q206" s="65">
        <f>IF(I206,'DATOS PARA CALCULO'!D$22,0)</f>
        <v>500</v>
      </c>
      <c r="R206" s="66">
        <f t="shared" si="36"/>
        <v>460500</v>
      </c>
      <c r="S206" s="65">
        <f t="shared" si="37"/>
        <v>10200</v>
      </c>
      <c r="T206" s="66">
        <f t="shared" si="38"/>
        <v>470700</v>
      </c>
      <c r="U206" s="65">
        <f>IF('CAJAS ELABORADAS'!$J206&gt;0,'CAJAS ELABORADAS'!$Y206*'CAJAS ELABORADAS'!$J206,0)</f>
        <v>470700</v>
      </c>
      <c r="V206" s="67">
        <f>'CAJAS ELABORADAS'!$Y206/'DATOS PARA CALCULO'!$D$27</f>
        <v>1.046</v>
      </c>
      <c r="W206" s="64">
        <f>(Tabla1[[#This Row],[Valor Pagado]]-Tabla1[[#This Row],[PRODUCIDO BOLSAS]])/Tabla1[[#This Row],[Cajas Elaboradas]]</f>
        <v>1500</v>
      </c>
      <c r="X206" s="83">
        <f t="shared" si="39"/>
        <v>31380</v>
      </c>
      <c r="Y206" s="84">
        <f>IF('CAJAS ELABORADAS'!$X206&lt;'DATOS PARA CALCULO'!$D$27,'DATOS PARA CALCULO'!$D$27,'CAJAS ELABORADAS'!$X206)</f>
        <v>31380</v>
      </c>
      <c r="Z206" s="94">
        <f>Tabla1[[#This Row],[VALOR  A PAGAR]]-Tabla1[[#This Row],[VALOR GANADO]]</f>
        <v>0</v>
      </c>
      <c r="AA206" s="64"/>
    </row>
    <row r="207" spans="3:27" ht="18.75" x14ac:dyDescent="0.25">
      <c r="C207" s="71">
        <v>44608</v>
      </c>
      <c r="D207" s="507">
        <f>YEAR(Tabla1[[#This Row],[FECHA]])</f>
        <v>2022</v>
      </c>
      <c r="E207" s="72">
        <f>_xlfn.ISOWEEKNUM(Tabla1[[#This Row],[FECHA]])</f>
        <v>7</v>
      </c>
      <c r="F207" s="57" t="s">
        <v>155</v>
      </c>
      <c r="G207" s="73" t="s">
        <v>28</v>
      </c>
      <c r="H207" s="74">
        <v>168</v>
      </c>
      <c r="I207" s="72">
        <v>57.8</v>
      </c>
      <c r="J207" s="72">
        <v>10</v>
      </c>
      <c r="K207" s="75">
        <f>207+296+230+195</f>
        <v>928</v>
      </c>
      <c r="L207" s="93">
        <f>201+267+213+175</f>
        <v>856</v>
      </c>
      <c r="M207" s="60">
        <f>+Tabla1[[#This Row],[Rasimos Cosechados]]-Tabla1[[#This Row],[Rasimos Prosesados]]</f>
        <v>72</v>
      </c>
      <c r="N207" s="62">
        <f>+Tabla1[[#This Row],[Rasimos Cosechados]]/Tabla1[[#This Row],[Cajas Elaboradas]]</f>
        <v>5.5238095238095237</v>
      </c>
      <c r="O207" s="63">
        <f>+Tabla1[[#This Row],[Rasimos Prosesados]]/Tabla1[[#This Row],[Cajas Elaboradas]]</f>
        <v>5.0952380952380949</v>
      </c>
      <c r="P207" s="81">
        <f>IF(H207,'DATOS PARA CALCULO'!D$18,0)</f>
        <v>1500</v>
      </c>
      <c r="Q207" s="80">
        <f>IF(I207,'DATOS PARA CALCULO'!D$22,0)</f>
        <v>500</v>
      </c>
      <c r="R207" s="81">
        <f t="shared" si="36"/>
        <v>252000</v>
      </c>
      <c r="S207" s="80">
        <f t="shared" si="37"/>
        <v>28900</v>
      </c>
      <c r="T207" s="81">
        <f t="shared" si="38"/>
        <v>280900</v>
      </c>
      <c r="U207" s="80">
        <f>IF('CAJAS ELABORADAS'!$J207&gt;0,'CAJAS ELABORADAS'!$Y207*'CAJAS ELABORADAS'!$J207,0)</f>
        <v>300000</v>
      </c>
      <c r="V207" s="82">
        <f>'CAJAS ELABORADAS'!$Y207/'DATOS PARA CALCULO'!$D$27</f>
        <v>1</v>
      </c>
      <c r="W207" s="79">
        <f>(Tabla1[[#This Row],[Valor Pagado]]-Tabla1[[#This Row],[PRODUCIDO BOLSAS]])/Tabla1[[#This Row],[Cajas Elaboradas]]</f>
        <v>1613.6904761904761</v>
      </c>
      <c r="X207" s="83">
        <f t="shared" si="39"/>
        <v>28090</v>
      </c>
      <c r="Y207" s="84">
        <f>IF('CAJAS ELABORADAS'!$X207&lt;'DATOS PARA CALCULO'!$D$27,'DATOS PARA CALCULO'!$D$27,'CAJAS ELABORADAS'!$X207)</f>
        <v>30000</v>
      </c>
      <c r="Z207" s="94">
        <f>Tabla1[[#This Row],[VALOR  A PAGAR]]-Tabla1[[#This Row],[VALOR GANADO]]</f>
        <v>1910</v>
      </c>
      <c r="AA207" s="64"/>
    </row>
    <row r="208" spans="3:27" ht="18.75" x14ac:dyDescent="0.25">
      <c r="C208" s="71">
        <v>44608</v>
      </c>
      <c r="D208" s="507">
        <f>YEAR(Tabla1[[#This Row],[FECHA]])</f>
        <v>2022</v>
      </c>
      <c r="E208" s="72">
        <f>_xlfn.ISOWEEKNUM(Tabla1[[#This Row],[FECHA]])</f>
        <v>7</v>
      </c>
      <c r="F208" s="72" t="s">
        <v>152</v>
      </c>
      <c r="G208" s="73" t="s">
        <v>29</v>
      </c>
      <c r="H208" s="74">
        <v>77</v>
      </c>
      <c r="I208" s="72"/>
      <c r="J208" s="72">
        <v>15</v>
      </c>
      <c r="K208" s="75"/>
      <c r="L208" s="93"/>
      <c r="M208" s="60">
        <f>+Tabla1[[#This Row],[Rasimos Cosechados]]-Tabla1[[#This Row],[Rasimos Prosesados]]</f>
        <v>0</v>
      </c>
      <c r="N208" s="62">
        <f>+Tabla1[[#This Row],[Rasimos Cosechados]]/Tabla1[[#This Row],[Cajas Elaboradas]]</f>
        <v>0</v>
      </c>
      <c r="O208" s="63">
        <f>+Tabla1[[#This Row],[Rasimos Prosesados]]/Tabla1[[#This Row],[Cajas Elaboradas]]</f>
        <v>0</v>
      </c>
      <c r="P208" s="66">
        <f>IF(H208,'DATOS PARA CALCULO'!D$18,0)</f>
        <v>1500</v>
      </c>
      <c r="Q208" s="65">
        <f>IF(I208,'DATOS PARA CALCULO'!D$22,0)</f>
        <v>0</v>
      </c>
      <c r="R208" s="66">
        <f t="shared" si="36"/>
        <v>115500</v>
      </c>
      <c r="S208" s="65">
        <f t="shared" si="37"/>
        <v>0</v>
      </c>
      <c r="T208" s="66">
        <f t="shared" si="38"/>
        <v>115500</v>
      </c>
      <c r="U208" s="65">
        <f>IF('CAJAS ELABORADAS'!$J208&gt;0,'CAJAS ELABORADAS'!$Y208*'CAJAS ELABORADAS'!$J208,0)</f>
        <v>450000</v>
      </c>
      <c r="V208" s="67">
        <f>'CAJAS ELABORADAS'!$Y208/'DATOS PARA CALCULO'!$D$27</f>
        <v>1</v>
      </c>
      <c r="W208" s="64">
        <f>(Tabla1[[#This Row],[Valor Pagado]]-Tabla1[[#This Row],[PRODUCIDO BOLSAS]])/Tabla1[[#This Row],[Cajas Elaboradas]]</f>
        <v>5844.1558441558445</v>
      </c>
      <c r="X208" s="83">
        <f t="shared" si="39"/>
        <v>7700</v>
      </c>
      <c r="Y208" s="84">
        <f>IF('CAJAS ELABORADAS'!$X208&lt;'DATOS PARA CALCULO'!$D$27,'DATOS PARA CALCULO'!$D$27,'CAJAS ELABORADAS'!$X208)</f>
        <v>30000</v>
      </c>
      <c r="Z208" s="94">
        <f>Tabla1[[#This Row],[VALOR  A PAGAR]]-Tabla1[[#This Row],[VALOR GANADO]]</f>
        <v>22300</v>
      </c>
      <c r="AA208" s="64"/>
    </row>
    <row r="209" spans="3:27" ht="18.75" x14ac:dyDescent="0.25">
      <c r="C209" s="71">
        <v>44608</v>
      </c>
      <c r="D209" s="507">
        <f>YEAR(Tabla1[[#This Row],[FECHA]])</f>
        <v>2022</v>
      </c>
      <c r="E209" s="72">
        <f>_xlfn.ISOWEEKNUM(Tabla1[[#This Row],[FECHA]])</f>
        <v>7</v>
      </c>
      <c r="F209" s="72" t="s">
        <v>157</v>
      </c>
      <c r="G209" s="73" t="s">
        <v>31</v>
      </c>
      <c r="H209" s="74">
        <v>154</v>
      </c>
      <c r="I209" s="72">
        <v>39.119999999999997</v>
      </c>
      <c r="J209" s="72">
        <v>8</v>
      </c>
      <c r="K209" s="86">
        <v>668</v>
      </c>
      <c r="L209" s="87">
        <v>663</v>
      </c>
      <c r="M209" s="60">
        <f>+Tabla1[[#This Row],[Rasimos Cosechados]]-Tabla1[[#This Row],[Rasimos Prosesados]]</f>
        <v>5</v>
      </c>
      <c r="N209" s="62">
        <f>+Tabla1[[#This Row],[Rasimos Cosechados]]/Tabla1[[#This Row],[Cajas Elaboradas]]</f>
        <v>4.337662337662338</v>
      </c>
      <c r="O209" s="63">
        <f>+Tabla1[[#This Row],[Rasimos Prosesados]]/Tabla1[[#This Row],[Cajas Elaboradas]]</f>
        <v>4.3051948051948052</v>
      </c>
      <c r="P209" s="81">
        <v>2100</v>
      </c>
      <c r="Q209" s="80">
        <f>IF(I209,'DATOS PARA CALCULO'!D$22,0)</f>
        <v>500</v>
      </c>
      <c r="R209" s="81">
        <f t="shared" si="36"/>
        <v>323400</v>
      </c>
      <c r="S209" s="80">
        <f t="shared" si="37"/>
        <v>19560</v>
      </c>
      <c r="T209" s="81">
        <f t="shared" si="38"/>
        <v>342960</v>
      </c>
      <c r="U209" s="80">
        <f>IF('CAJAS ELABORADAS'!$J209&gt;0,'CAJAS ELABORADAS'!$Y209*'CAJAS ELABORADAS'!$J209,0)</f>
        <v>342960</v>
      </c>
      <c r="V209" s="82">
        <f>'CAJAS ELABORADAS'!$Y209/'DATOS PARA CALCULO'!$D$27</f>
        <v>1.429</v>
      </c>
      <c r="W209" s="79">
        <f>(Tabla1[[#This Row],[Valor Pagado]]-Tabla1[[#This Row],[PRODUCIDO BOLSAS]])/Tabla1[[#This Row],[Cajas Elaboradas]]</f>
        <v>2100</v>
      </c>
      <c r="X209" s="90">
        <f t="shared" si="39"/>
        <v>42870</v>
      </c>
      <c r="Y209" s="91">
        <f>IF('CAJAS ELABORADAS'!$X209&lt;'DATOS PARA CALCULO'!$D$27,'DATOS PARA CALCULO'!$D$27,'CAJAS ELABORADAS'!$X209)</f>
        <v>42870</v>
      </c>
      <c r="Z209" s="92">
        <f>Tabla1[[#This Row],[VALOR  A PAGAR]]-Tabla1[[#This Row],[VALOR GANADO]]</f>
        <v>0</v>
      </c>
      <c r="AA209" s="64"/>
    </row>
    <row r="210" spans="3:27" ht="18.75" x14ac:dyDescent="0.25">
      <c r="C210" s="71">
        <v>44609</v>
      </c>
      <c r="D210" s="507">
        <f>YEAR(Tabla1[[#This Row],[FECHA]])</f>
        <v>2022</v>
      </c>
      <c r="E210" s="72">
        <f>_xlfn.ISOWEEKNUM(Tabla1[[#This Row],[FECHA]])</f>
        <v>7</v>
      </c>
      <c r="F210" s="57" t="s">
        <v>155</v>
      </c>
      <c r="G210" s="73" t="s">
        <v>28</v>
      </c>
      <c r="H210" s="74">
        <v>55</v>
      </c>
      <c r="I210" s="72">
        <f>4.6*4</f>
        <v>18.399999999999999</v>
      </c>
      <c r="J210" s="72">
        <v>4</v>
      </c>
      <c r="K210" s="86"/>
      <c r="L210" s="87"/>
      <c r="M210" s="60">
        <f>+Tabla1[[#This Row],[Rasimos Cosechados]]-Tabla1[[#This Row],[Rasimos Prosesados]]</f>
        <v>0</v>
      </c>
      <c r="N210" s="62">
        <f>+Tabla1[[#This Row],[Rasimos Cosechados]]/Tabla1[[#This Row],[Cajas Elaboradas]]</f>
        <v>0</v>
      </c>
      <c r="O210" s="63">
        <f>+Tabla1[[#This Row],[Rasimos Prosesados]]/Tabla1[[#This Row],[Cajas Elaboradas]]</f>
        <v>0</v>
      </c>
      <c r="P210" s="81">
        <f>IF(H210,'DATOS PARA CALCULO'!D$18,0)</f>
        <v>1500</v>
      </c>
      <c r="Q210" s="80">
        <f>IF(I210,'DATOS PARA CALCULO'!D$22,0)</f>
        <v>500</v>
      </c>
      <c r="R210" s="81">
        <f t="shared" si="36"/>
        <v>82500</v>
      </c>
      <c r="S210" s="80">
        <f t="shared" si="37"/>
        <v>9200</v>
      </c>
      <c r="T210" s="81">
        <f t="shared" si="38"/>
        <v>91700</v>
      </c>
      <c r="U210" s="80">
        <f>IF('CAJAS ELABORADAS'!$J210&gt;0,'CAJAS ELABORADAS'!$Y210*'CAJAS ELABORADAS'!$J210,0)</f>
        <v>120000</v>
      </c>
      <c r="V210" s="82">
        <f>'CAJAS ELABORADAS'!$Y210/'DATOS PARA CALCULO'!$D$27</f>
        <v>1</v>
      </c>
      <c r="W210" s="79">
        <f>(Tabla1[[#This Row],[Valor Pagado]]-Tabla1[[#This Row],[PRODUCIDO BOLSAS]])/Tabla1[[#This Row],[Cajas Elaboradas]]</f>
        <v>2014.5454545454545</v>
      </c>
      <c r="X210" s="90">
        <f t="shared" si="39"/>
        <v>22925</v>
      </c>
      <c r="Y210" s="91">
        <f>IF('CAJAS ELABORADAS'!$X210&lt;'DATOS PARA CALCULO'!$D$27,'DATOS PARA CALCULO'!$D$27,'CAJAS ELABORADAS'!$X210)</f>
        <v>30000</v>
      </c>
      <c r="Z210" s="92">
        <f>Tabla1[[#This Row],[VALOR  A PAGAR]]-Tabla1[[#This Row],[VALOR GANADO]]</f>
        <v>7075</v>
      </c>
      <c r="AA210" s="64"/>
    </row>
    <row r="211" spans="3:27" ht="18.75" x14ac:dyDescent="0.25">
      <c r="C211" s="71">
        <v>44614</v>
      </c>
      <c r="D211" s="507">
        <f>YEAR(Tabla1[[#This Row],[FECHA]])</f>
        <v>2022</v>
      </c>
      <c r="E211" s="72">
        <f>_xlfn.ISOWEEKNUM(Tabla1[[#This Row],[FECHA]])</f>
        <v>8</v>
      </c>
      <c r="F211" s="57" t="s">
        <v>155</v>
      </c>
      <c r="G211" s="73" t="s">
        <v>28</v>
      </c>
      <c r="H211" s="74">
        <f>16.2*5</f>
        <v>81</v>
      </c>
      <c r="I211" s="72">
        <f>6.48*5</f>
        <v>32.400000000000006</v>
      </c>
      <c r="J211" s="72">
        <v>5</v>
      </c>
      <c r="K211" s="86">
        <f>161+123+237+47</f>
        <v>568</v>
      </c>
      <c r="L211" s="87">
        <f>41+195+85+138</f>
        <v>459</v>
      </c>
      <c r="M211" s="86">
        <f>+Tabla1[[#This Row],[Rasimos Cosechados]]-Tabla1[[#This Row],[Rasimos Prosesados]]</f>
        <v>109</v>
      </c>
      <c r="N211" s="88">
        <f>+Tabla1[[#This Row],[Rasimos Cosechados]]/Tabla1[[#This Row],[Cajas Elaboradas]]</f>
        <v>7.0123456790123457</v>
      </c>
      <c r="O211" s="89">
        <f>+Tabla1[[#This Row],[Rasimos Prosesados]]/Tabla1[[#This Row],[Cajas Elaboradas]]</f>
        <v>5.666666666666667</v>
      </c>
      <c r="P211" s="81">
        <f>IF(H211,'DATOS PARA CALCULO'!D$18,0)</f>
        <v>1500</v>
      </c>
      <c r="Q211" s="80">
        <f>IF(I211,'DATOS PARA CALCULO'!D$22,0)</f>
        <v>500</v>
      </c>
      <c r="R211" s="81">
        <f t="shared" si="36"/>
        <v>121500</v>
      </c>
      <c r="S211" s="80">
        <f t="shared" si="37"/>
        <v>16200.000000000004</v>
      </c>
      <c r="T211" s="81">
        <f t="shared" si="38"/>
        <v>137700</v>
      </c>
      <c r="U211" s="80">
        <f>IF('CAJAS ELABORADAS'!$J211&gt;0,'CAJAS ELABORADAS'!$Y211*'CAJAS ELABORADAS'!$J211,0)</f>
        <v>150000</v>
      </c>
      <c r="V211" s="82">
        <f>'CAJAS ELABORADAS'!$Y211/'DATOS PARA CALCULO'!$D$27</f>
        <v>1</v>
      </c>
      <c r="W211" s="79">
        <f>(Tabla1[[#This Row],[Valor Pagado]]-Tabla1[[#This Row],[PRODUCIDO BOLSAS]])/Tabla1[[#This Row],[Cajas Elaboradas]]</f>
        <v>1651.851851851852</v>
      </c>
      <c r="X211" s="90">
        <f t="shared" si="39"/>
        <v>27540</v>
      </c>
      <c r="Y211" s="91">
        <f>IF('CAJAS ELABORADAS'!$X211&lt;'DATOS PARA CALCULO'!$D$27,'DATOS PARA CALCULO'!$D$27,'CAJAS ELABORADAS'!$X211)</f>
        <v>30000</v>
      </c>
      <c r="Z211" s="92">
        <f>Tabla1[[#This Row],[VALOR  A PAGAR]]-Tabla1[[#This Row],[VALOR GANADO]]</f>
        <v>2460</v>
      </c>
      <c r="AA211" s="64"/>
    </row>
    <row r="212" spans="3:27" ht="18.75" x14ac:dyDescent="0.25">
      <c r="C212" s="71">
        <v>44614</v>
      </c>
      <c r="D212" s="507">
        <f>YEAR(Tabla1[[#This Row],[FECHA]])</f>
        <v>2022</v>
      </c>
      <c r="E212" s="72">
        <f>_xlfn.ISOWEEKNUM(Tabla1[[#This Row],[FECHA]])</f>
        <v>8</v>
      </c>
      <c r="F212" s="72" t="s">
        <v>152</v>
      </c>
      <c r="G212" s="73" t="s">
        <v>29</v>
      </c>
      <c r="H212" s="74">
        <v>250</v>
      </c>
      <c r="I212" s="315">
        <v>47.6</v>
      </c>
      <c r="J212" s="72">
        <v>14</v>
      </c>
      <c r="K212" s="86">
        <f>289+207+200+204</f>
        <v>900</v>
      </c>
      <c r="L212" s="87">
        <f>198+200+207+280</f>
        <v>885</v>
      </c>
      <c r="M212" s="86">
        <f>+Tabla1[[#This Row],[Rasimos Cosechados]]-Tabla1[[#This Row],[Rasimos Prosesados]]</f>
        <v>15</v>
      </c>
      <c r="N212" s="88">
        <f>+Tabla1[[#This Row],[Rasimos Cosechados]]/Tabla1[[#This Row],[Cajas Elaboradas]]</f>
        <v>3.6</v>
      </c>
      <c r="O212" s="89">
        <f>+Tabla1[[#This Row],[Rasimos Prosesados]]/Tabla1[[#This Row],[Cajas Elaboradas]]</f>
        <v>3.54</v>
      </c>
      <c r="P212" s="81">
        <f>IF(H212,'DATOS PARA CALCULO'!D$18,0)</f>
        <v>1500</v>
      </c>
      <c r="Q212" s="80">
        <f>IF(I212,'DATOS PARA CALCULO'!D$22,0)</f>
        <v>500</v>
      </c>
      <c r="R212" s="81">
        <f t="shared" si="36"/>
        <v>375000</v>
      </c>
      <c r="S212" s="80">
        <f t="shared" si="37"/>
        <v>23800</v>
      </c>
      <c r="T212" s="81">
        <f t="shared" si="38"/>
        <v>398800</v>
      </c>
      <c r="U212" s="80">
        <f>IF('CAJAS ELABORADAS'!$J212&gt;0,'CAJAS ELABORADAS'!$Y212*'CAJAS ELABORADAS'!$J212,0)</f>
        <v>420000</v>
      </c>
      <c r="V212" s="82">
        <f>'CAJAS ELABORADAS'!$Y212/'DATOS PARA CALCULO'!$D$27</f>
        <v>1</v>
      </c>
      <c r="W212" s="79">
        <f>(Tabla1[[#This Row],[Valor Pagado]]-Tabla1[[#This Row],[PRODUCIDO BOLSAS]])/Tabla1[[#This Row],[Cajas Elaboradas]]</f>
        <v>1584.8</v>
      </c>
      <c r="X212" s="90">
        <f t="shared" si="39"/>
        <v>28485.714285714286</v>
      </c>
      <c r="Y212" s="91">
        <f>IF('CAJAS ELABORADAS'!$X212&lt;'DATOS PARA CALCULO'!$D$27,'DATOS PARA CALCULO'!$D$27,'CAJAS ELABORADAS'!$X212)</f>
        <v>30000</v>
      </c>
      <c r="Z212" s="92">
        <f>Tabla1[[#This Row],[VALOR  A PAGAR]]-Tabla1[[#This Row],[VALOR GANADO]]</f>
        <v>1514.2857142857138</v>
      </c>
      <c r="AA212" s="64"/>
    </row>
    <row r="213" spans="3:27" ht="18.75" x14ac:dyDescent="0.25">
      <c r="C213" s="71">
        <v>44615</v>
      </c>
      <c r="D213" s="507">
        <f>YEAR(Tabla1[[#This Row],[FECHA]])</f>
        <v>2022</v>
      </c>
      <c r="E213" s="72">
        <f>_xlfn.ISOWEEKNUM(Tabla1[[#This Row],[FECHA]])</f>
        <v>8</v>
      </c>
      <c r="F213" s="314" t="s">
        <v>153</v>
      </c>
      <c r="G213" s="73" t="s">
        <v>30</v>
      </c>
      <c r="H213" s="74">
        <v>100</v>
      </c>
      <c r="I213" s="72">
        <f>2.16*5</f>
        <v>10.8</v>
      </c>
      <c r="J213" s="72">
        <v>5</v>
      </c>
      <c r="K213" s="75">
        <f>169+185</f>
        <v>354</v>
      </c>
      <c r="L213" s="93">
        <f>161+179</f>
        <v>340</v>
      </c>
      <c r="M213" s="75">
        <f>+Tabla1[[#This Row],[Rasimos Cosechados]]-Tabla1[[#This Row],[Rasimos Prosesados]]</f>
        <v>14</v>
      </c>
      <c r="N213" s="77">
        <f>+Tabla1[[#This Row],[Rasimos Cosechados]]/Tabla1[[#This Row],[Cajas Elaboradas]]</f>
        <v>3.54</v>
      </c>
      <c r="O213" s="78">
        <f>+Tabla1[[#This Row],[Rasimos Prosesados]]/Tabla1[[#This Row],[Cajas Elaboradas]]</f>
        <v>3.4</v>
      </c>
      <c r="P213" s="81">
        <f>IF(H213,'DATOS PARA CALCULO'!D$18,0)</f>
        <v>1500</v>
      </c>
      <c r="Q213" s="80">
        <f>IF(I213,'DATOS PARA CALCULO'!D$22,0)</f>
        <v>500</v>
      </c>
      <c r="R213" s="81">
        <f t="shared" ref="R213:R222" si="40">IF(P213&gt;0 &amp; H213&gt;0,H213*P213,)</f>
        <v>150000</v>
      </c>
      <c r="S213" s="80">
        <f t="shared" ref="S213:S222" si="41">IF(Q213&gt;0 &amp; I213&gt;0,I213*Q213,0)</f>
        <v>5400</v>
      </c>
      <c r="T213" s="81">
        <f t="shared" ref="T213:T222" si="42">S213+R213</f>
        <v>155400</v>
      </c>
      <c r="U213" s="80">
        <f>IF('CAJAS ELABORADAS'!$J213&gt;0,'CAJAS ELABORADAS'!$Y213*'CAJAS ELABORADAS'!$J213,0)</f>
        <v>155400</v>
      </c>
      <c r="V213" s="82">
        <f>'CAJAS ELABORADAS'!$Y213/'DATOS PARA CALCULO'!$D$27</f>
        <v>1.036</v>
      </c>
      <c r="W213" s="79">
        <f>(Tabla1[[#This Row],[Valor Pagado]]-Tabla1[[#This Row],[PRODUCIDO BOLSAS]])/Tabla1[[#This Row],[Cajas Elaboradas]]</f>
        <v>1500</v>
      </c>
      <c r="X213" s="83">
        <f t="shared" ref="X213:X222" si="43">IF(J213&gt;0,T213/J213,0)</f>
        <v>31080</v>
      </c>
      <c r="Y213" s="84">
        <f>IF('CAJAS ELABORADAS'!$X213&lt;'DATOS PARA CALCULO'!$D$27,'DATOS PARA CALCULO'!$D$27,'CAJAS ELABORADAS'!$X213)</f>
        <v>31080</v>
      </c>
      <c r="Z213" s="94">
        <f>Tabla1[[#This Row],[VALOR  A PAGAR]]-Tabla1[[#This Row],[VALOR GANADO]]</f>
        <v>0</v>
      </c>
      <c r="AA213" s="64"/>
    </row>
    <row r="214" spans="3:27" ht="18.75" x14ac:dyDescent="0.25">
      <c r="C214" s="71">
        <v>44615</v>
      </c>
      <c r="D214" s="507">
        <f>YEAR(Tabla1[[#This Row],[FECHA]])</f>
        <v>2022</v>
      </c>
      <c r="E214" s="72">
        <f>_xlfn.ISOWEEKNUM(Tabla1[[#This Row],[FECHA]])</f>
        <v>8</v>
      </c>
      <c r="F214" s="72" t="s">
        <v>152</v>
      </c>
      <c r="G214" s="73" t="s">
        <v>29</v>
      </c>
      <c r="H214" s="74">
        <v>216</v>
      </c>
      <c r="I214" s="72">
        <v>68</v>
      </c>
      <c r="J214" s="72">
        <v>14</v>
      </c>
      <c r="K214" s="75">
        <f>23+262+474+73+28+8+115</f>
        <v>983</v>
      </c>
      <c r="L214" s="93">
        <f>121+38+41+162+279+175</f>
        <v>816</v>
      </c>
      <c r="M214" s="75">
        <f>+Tabla1[[#This Row],[Rasimos Cosechados]]-Tabla1[[#This Row],[Rasimos Prosesados]]</f>
        <v>167</v>
      </c>
      <c r="N214" s="77">
        <f>+Tabla1[[#This Row],[Rasimos Cosechados]]/Tabla1[[#This Row],[Cajas Elaboradas]]</f>
        <v>4.5509259259259256</v>
      </c>
      <c r="O214" s="78">
        <f>+Tabla1[[#This Row],[Rasimos Prosesados]]/Tabla1[[#This Row],[Cajas Elaboradas]]</f>
        <v>3.7777777777777777</v>
      </c>
      <c r="P214" s="66">
        <f>IF(H214,'DATOS PARA CALCULO'!D$18,0)</f>
        <v>1500</v>
      </c>
      <c r="Q214" s="65">
        <f>IF(I214,'DATOS PARA CALCULO'!D$22,0)</f>
        <v>500</v>
      </c>
      <c r="R214" s="66">
        <f t="shared" si="40"/>
        <v>324000</v>
      </c>
      <c r="S214" s="65">
        <f t="shared" si="41"/>
        <v>34000</v>
      </c>
      <c r="T214" s="66">
        <f t="shared" si="42"/>
        <v>358000</v>
      </c>
      <c r="U214" s="65">
        <f>IF('CAJAS ELABORADAS'!$J214&gt;0,'CAJAS ELABORADAS'!$Y214*'CAJAS ELABORADAS'!$J214,0)</f>
        <v>420000</v>
      </c>
      <c r="V214" s="67">
        <f>'CAJAS ELABORADAS'!$Y214/'DATOS PARA CALCULO'!$D$27</f>
        <v>1</v>
      </c>
      <c r="W214" s="64">
        <f>(Tabla1[[#This Row],[Valor Pagado]]-Tabla1[[#This Row],[PRODUCIDO BOLSAS]])/Tabla1[[#This Row],[Cajas Elaboradas]]</f>
        <v>1787.037037037037</v>
      </c>
      <c r="X214" s="83">
        <f t="shared" si="43"/>
        <v>25571.428571428572</v>
      </c>
      <c r="Y214" s="84">
        <f>IF('CAJAS ELABORADAS'!$X214&lt;'DATOS PARA CALCULO'!$D$27,'DATOS PARA CALCULO'!$D$27,'CAJAS ELABORADAS'!$X214)</f>
        <v>30000</v>
      </c>
      <c r="Z214" s="94">
        <f>Tabla1[[#This Row],[VALOR  A PAGAR]]-Tabla1[[#This Row],[VALOR GANADO]]</f>
        <v>4428.5714285714275</v>
      </c>
      <c r="AA214" s="64"/>
    </row>
    <row r="215" spans="3:27" ht="18.75" x14ac:dyDescent="0.25">
      <c r="C215" s="320">
        <v>44620</v>
      </c>
      <c r="D215" s="507">
        <f>YEAR(Tabla1[[#This Row],[FECHA]])</f>
        <v>2022</v>
      </c>
      <c r="E215" s="72">
        <f>_xlfn.ISOWEEKNUM(Tabla1[[#This Row],[FECHA]])</f>
        <v>9</v>
      </c>
      <c r="F215" s="72" t="s">
        <v>157</v>
      </c>
      <c r="G215" s="73" t="s">
        <v>31</v>
      </c>
      <c r="H215" s="74">
        <v>115.5</v>
      </c>
      <c r="I215" s="72">
        <v>44.24</v>
      </c>
      <c r="J215" s="72">
        <v>7</v>
      </c>
      <c r="K215" s="75"/>
      <c r="L215" s="93"/>
      <c r="M215" s="75">
        <f>+Tabla1[[#This Row],[Rasimos Cosechados]]-Tabla1[[#This Row],[Rasimos Prosesados]]</f>
        <v>0</v>
      </c>
      <c r="N215" s="77">
        <f>+Tabla1[[#This Row],[Rasimos Cosechados]]/Tabla1[[#This Row],[Cajas Elaboradas]]</f>
        <v>0</v>
      </c>
      <c r="O215" s="78">
        <f>+Tabla1[[#This Row],[Rasimos Prosesados]]/Tabla1[[#This Row],[Cajas Elaboradas]]</f>
        <v>0</v>
      </c>
      <c r="P215" s="66">
        <v>2100</v>
      </c>
      <c r="Q215" s="65">
        <f>IF(I215,'DATOS PARA CALCULO'!D$22,0)</f>
        <v>500</v>
      </c>
      <c r="R215" s="66">
        <f t="shared" si="40"/>
        <v>242550</v>
      </c>
      <c r="S215" s="65">
        <f t="shared" si="41"/>
        <v>22120</v>
      </c>
      <c r="T215" s="66">
        <f t="shared" si="42"/>
        <v>264670</v>
      </c>
      <c r="U215" s="65">
        <f>IF('CAJAS ELABORADAS'!$J215&gt;0,'CAJAS ELABORADAS'!$Y215*'CAJAS ELABORADAS'!$J215,0)</f>
        <v>264670</v>
      </c>
      <c r="V215" s="67">
        <f>'CAJAS ELABORADAS'!$Y215/'DATOS PARA CALCULO'!$D$27</f>
        <v>1.2603333333333333</v>
      </c>
      <c r="W215" s="64">
        <f>(Tabla1[[#This Row],[Valor Pagado]]-Tabla1[[#This Row],[PRODUCIDO BOLSAS]])/Tabla1[[#This Row],[Cajas Elaboradas]]</f>
        <v>2100</v>
      </c>
      <c r="X215" s="83">
        <f t="shared" si="43"/>
        <v>37810</v>
      </c>
      <c r="Y215" s="84">
        <f>IF('CAJAS ELABORADAS'!$X215&lt;'DATOS PARA CALCULO'!$D$27,'DATOS PARA CALCULO'!$D$27,'CAJAS ELABORADAS'!$X215)</f>
        <v>37810</v>
      </c>
      <c r="Z215" s="94">
        <f>Tabla1[[#This Row],[VALOR  A PAGAR]]-Tabla1[[#This Row],[VALOR GANADO]]</f>
        <v>0</v>
      </c>
      <c r="AA215" s="64"/>
    </row>
    <row r="216" spans="3:27" ht="18.75" x14ac:dyDescent="0.25">
      <c r="C216" s="274">
        <v>44621</v>
      </c>
      <c r="D216" s="507">
        <f>YEAR(Tabla1[[#This Row],[FECHA]])</f>
        <v>2022</v>
      </c>
      <c r="E216" s="72">
        <f>_xlfn.ISOWEEKNUM(Tabla1[[#This Row],[FECHA]])</f>
        <v>9</v>
      </c>
      <c r="F216" s="314" t="s">
        <v>153</v>
      </c>
      <c r="G216" s="73" t="s">
        <v>30</v>
      </c>
      <c r="H216" s="74">
        <v>204</v>
      </c>
      <c r="I216" s="72">
        <v>55.5</v>
      </c>
      <c r="J216" s="72">
        <v>10</v>
      </c>
      <c r="K216" s="75"/>
      <c r="L216" s="93"/>
      <c r="M216" s="75">
        <f>+Tabla1[[#This Row],[Rasimos Cosechados]]-Tabla1[[#This Row],[Rasimos Prosesados]]</f>
        <v>0</v>
      </c>
      <c r="N216" s="77">
        <f>+Tabla1[[#This Row],[Rasimos Cosechados]]/Tabla1[[#This Row],[Cajas Elaboradas]]</f>
        <v>0</v>
      </c>
      <c r="O216" s="78">
        <f>+Tabla1[[#This Row],[Rasimos Prosesados]]/Tabla1[[#This Row],[Cajas Elaboradas]]</f>
        <v>0</v>
      </c>
      <c r="P216" s="66">
        <f>IF(H216,'DATOS PARA CALCULO'!D$18,0)</f>
        <v>1500</v>
      </c>
      <c r="Q216" s="65">
        <f>IF(I216,'DATOS PARA CALCULO'!D$22,0)</f>
        <v>500</v>
      </c>
      <c r="R216" s="66">
        <f t="shared" si="40"/>
        <v>306000</v>
      </c>
      <c r="S216" s="65">
        <f t="shared" si="41"/>
        <v>27750</v>
      </c>
      <c r="T216" s="66">
        <f t="shared" si="42"/>
        <v>333750</v>
      </c>
      <c r="U216" s="65">
        <f>IF('CAJAS ELABORADAS'!$J216&gt;0,'CAJAS ELABORADAS'!$Y216*'CAJAS ELABORADAS'!$J216,0)</f>
        <v>333750</v>
      </c>
      <c r="V216" s="67">
        <f>'CAJAS ELABORADAS'!$Y216/'DATOS PARA CALCULO'!$D$27</f>
        <v>1.1125</v>
      </c>
      <c r="W216" s="64">
        <f>(Tabla1[[#This Row],[Valor Pagado]]-Tabla1[[#This Row],[PRODUCIDO BOLSAS]])/Tabla1[[#This Row],[Cajas Elaboradas]]</f>
        <v>1500</v>
      </c>
      <c r="X216" s="83">
        <f t="shared" si="43"/>
        <v>33375</v>
      </c>
      <c r="Y216" s="84">
        <f>IF('CAJAS ELABORADAS'!$X216&lt;'DATOS PARA CALCULO'!$D$27,'DATOS PARA CALCULO'!$D$27,'CAJAS ELABORADAS'!$X216)</f>
        <v>33375</v>
      </c>
      <c r="Z216" s="94">
        <f>Tabla1[[#This Row],[VALOR  A PAGAR]]-Tabla1[[#This Row],[VALOR GANADO]]</f>
        <v>0</v>
      </c>
      <c r="AA216" s="64"/>
    </row>
    <row r="217" spans="3:27" ht="18.75" x14ac:dyDescent="0.25">
      <c r="C217" s="274">
        <v>44621</v>
      </c>
      <c r="D217" s="507">
        <f>YEAR(Tabla1[[#This Row],[FECHA]])</f>
        <v>2022</v>
      </c>
      <c r="E217" s="72">
        <f>_xlfn.ISOWEEKNUM(Tabla1[[#This Row],[FECHA]])</f>
        <v>9</v>
      </c>
      <c r="F217" s="72" t="s">
        <v>152</v>
      </c>
      <c r="G217" s="73" t="s">
        <v>29</v>
      </c>
      <c r="H217" s="74">
        <v>136.5</v>
      </c>
      <c r="I217" s="72">
        <v>35.979999999999997</v>
      </c>
      <c r="J217" s="72">
        <v>7</v>
      </c>
      <c r="K217" s="75"/>
      <c r="L217" s="93"/>
      <c r="M217" s="75">
        <f>+Tabla1[[#This Row],[Rasimos Cosechados]]-Tabla1[[#This Row],[Rasimos Prosesados]]</f>
        <v>0</v>
      </c>
      <c r="N217" s="77">
        <f>+Tabla1[[#This Row],[Rasimos Cosechados]]/Tabla1[[#This Row],[Cajas Elaboradas]]</f>
        <v>0</v>
      </c>
      <c r="O217" s="78">
        <f>+Tabla1[[#This Row],[Rasimos Prosesados]]/Tabla1[[#This Row],[Cajas Elaboradas]]</f>
        <v>0</v>
      </c>
      <c r="P217" s="66">
        <f>IF(H217,'DATOS PARA CALCULO'!D$18,0)</f>
        <v>1500</v>
      </c>
      <c r="Q217" s="65">
        <f>IF(I217,'DATOS PARA CALCULO'!D$22,0)</f>
        <v>500</v>
      </c>
      <c r="R217" s="66">
        <f t="shared" si="40"/>
        <v>204750</v>
      </c>
      <c r="S217" s="65">
        <f t="shared" si="41"/>
        <v>17990</v>
      </c>
      <c r="T217" s="66">
        <f t="shared" si="42"/>
        <v>222740</v>
      </c>
      <c r="U217" s="65">
        <f>IF('CAJAS ELABORADAS'!$J217&gt;0,'CAJAS ELABORADAS'!$Y217*'CAJAS ELABORADAS'!$J217,0)</f>
        <v>222740</v>
      </c>
      <c r="V217" s="67">
        <f>'CAJAS ELABORADAS'!$Y217/'DATOS PARA CALCULO'!$D$27</f>
        <v>1.0606666666666666</v>
      </c>
      <c r="W217" s="64">
        <f>(Tabla1[[#This Row],[Valor Pagado]]-Tabla1[[#This Row],[PRODUCIDO BOLSAS]])/Tabla1[[#This Row],[Cajas Elaboradas]]</f>
        <v>1500</v>
      </c>
      <c r="X217" s="83">
        <f t="shared" si="43"/>
        <v>31820</v>
      </c>
      <c r="Y217" s="84">
        <f>IF('CAJAS ELABORADAS'!$X217&lt;'DATOS PARA CALCULO'!$D$27,'DATOS PARA CALCULO'!$D$27,'CAJAS ELABORADAS'!$X217)</f>
        <v>31820</v>
      </c>
      <c r="Z217" s="94">
        <f>Tabla1[[#This Row],[VALOR  A PAGAR]]-Tabla1[[#This Row],[VALOR GANADO]]</f>
        <v>0</v>
      </c>
      <c r="AA217" s="64"/>
    </row>
    <row r="218" spans="3:27" ht="18.75" x14ac:dyDescent="0.25">
      <c r="C218" s="274">
        <v>44622</v>
      </c>
      <c r="D218" s="507">
        <f>YEAR(Tabla1[[#This Row],[FECHA]])</f>
        <v>2022</v>
      </c>
      <c r="E218" s="72">
        <f>_xlfn.ISOWEEKNUM(Tabla1[[#This Row],[FECHA]])</f>
        <v>9</v>
      </c>
      <c r="F218" s="72" t="s">
        <v>152</v>
      </c>
      <c r="G218" s="73" t="s">
        <v>29</v>
      </c>
      <c r="H218" s="74">
        <v>173</v>
      </c>
      <c r="I218" s="72">
        <v>69.7</v>
      </c>
      <c r="J218" s="72">
        <v>10</v>
      </c>
      <c r="K218" s="75"/>
      <c r="L218" s="93"/>
      <c r="M218" s="75">
        <f>+Tabla1[[#This Row],[Rasimos Cosechados]]-Tabla1[[#This Row],[Rasimos Prosesados]]</f>
        <v>0</v>
      </c>
      <c r="N218" s="77">
        <f>+Tabla1[[#This Row],[Rasimos Cosechados]]/Tabla1[[#This Row],[Cajas Elaboradas]]</f>
        <v>0</v>
      </c>
      <c r="O218" s="78">
        <f>+Tabla1[[#This Row],[Rasimos Prosesados]]/Tabla1[[#This Row],[Cajas Elaboradas]]</f>
        <v>0</v>
      </c>
      <c r="P218" s="66">
        <f>IF(H218,'DATOS PARA CALCULO'!D$18,0)</f>
        <v>1500</v>
      </c>
      <c r="Q218" s="65">
        <f>IF(I218,'DATOS PARA CALCULO'!D$22,0)</f>
        <v>500</v>
      </c>
      <c r="R218" s="66">
        <f t="shared" si="40"/>
        <v>259500</v>
      </c>
      <c r="S218" s="65">
        <f t="shared" si="41"/>
        <v>34850</v>
      </c>
      <c r="T218" s="66">
        <f t="shared" si="42"/>
        <v>294350</v>
      </c>
      <c r="U218" s="65">
        <f>IF('CAJAS ELABORADAS'!$J218&gt;0,'CAJAS ELABORADAS'!$Y218*'CAJAS ELABORADAS'!$J218,0)</f>
        <v>300000</v>
      </c>
      <c r="V218" s="67">
        <f>'CAJAS ELABORADAS'!$Y218/'DATOS PARA CALCULO'!$D$27</f>
        <v>1</v>
      </c>
      <c r="W218" s="64">
        <f>(Tabla1[[#This Row],[Valor Pagado]]-Tabla1[[#This Row],[PRODUCIDO BOLSAS]])/Tabla1[[#This Row],[Cajas Elaboradas]]</f>
        <v>1532.6589595375722</v>
      </c>
      <c r="X218" s="83">
        <f t="shared" si="43"/>
        <v>29435</v>
      </c>
      <c r="Y218" s="84">
        <f>IF('CAJAS ELABORADAS'!$X218&lt;'DATOS PARA CALCULO'!$D$27,'DATOS PARA CALCULO'!$D$27,'CAJAS ELABORADAS'!$X218)</f>
        <v>30000</v>
      </c>
      <c r="Z218" s="94">
        <f>Tabla1[[#This Row],[VALOR  A PAGAR]]-Tabla1[[#This Row],[VALOR GANADO]]</f>
        <v>565</v>
      </c>
      <c r="AA218" s="64"/>
    </row>
    <row r="219" spans="3:27" ht="18.75" x14ac:dyDescent="0.25">
      <c r="C219" s="274">
        <v>44622</v>
      </c>
      <c r="D219" s="507">
        <f>YEAR(Tabla1[[#This Row],[FECHA]])</f>
        <v>2022</v>
      </c>
      <c r="E219" s="72">
        <f>_xlfn.ISOWEEKNUM(Tabla1[[#This Row],[FECHA]])</f>
        <v>9</v>
      </c>
      <c r="F219" s="314" t="s">
        <v>155</v>
      </c>
      <c r="G219" s="73" t="s">
        <v>28</v>
      </c>
      <c r="H219" s="74">
        <v>101</v>
      </c>
      <c r="I219" s="72">
        <v>14.399999999999999</v>
      </c>
      <c r="J219" s="72">
        <v>6</v>
      </c>
      <c r="K219" s="75"/>
      <c r="L219" s="93"/>
      <c r="M219" s="75">
        <f>+Tabla1[[#This Row],[Rasimos Cosechados]]-Tabla1[[#This Row],[Rasimos Prosesados]]</f>
        <v>0</v>
      </c>
      <c r="N219" s="77">
        <f>+Tabla1[[#This Row],[Rasimos Cosechados]]/Tabla1[[#This Row],[Cajas Elaboradas]]</f>
        <v>0</v>
      </c>
      <c r="O219" s="78">
        <f>+Tabla1[[#This Row],[Rasimos Prosesados]]/Tabla1[[#This Row],[Cajas Elaboradas]]</f>
        <v>0</v>
      </c>
      <c r="P219" s="66">
        <f>IF(H219,'DATOS PARA CALCULO'!D$18,0)</f>
        <v>1500</v>
      </c>
      <c r="Q219" s="65">
        <f>IF(I219,'DATOS PARA CALCULO'!D$22,0)</f>
        <v>500</v>
      </c>
      <c r="R219" s="66">
        <f t="shared" si="40"/>
        <v>151500</v>
      </c>
      <c r="S219" s="65">
        <f t="shared" si="41"/>
        <v>7199.9999999999991</v>
      </c>
      <c r="T219" s="66">
        <f t="shared" si="42"/>
        <v>158700</v>
      </c>
      <c r="U219" s="65">
        <f>IF('CAJAS ELABORADAS'!$J219&gt;0,'CAJAS ELABORADAS'!$Y219*'CAJAS ELABORADAS'!$J219,0)</f>
        <v>180000</v>
      </c>
      <c r="V219" s="67">
        <f>'CAJAS ELABORADAS'!$Y219/'DATOS PARA CALCULO'!$D$27</f>
        <v>1</v>
      </c>
      <c r="W219" s="64">
        <f>(Tabla1[[#This Row],[Valor Pagado]]-Tabla1[[#This Row],[PRODUCIDO BOLSAS]])/Tabla1[[#This Row],[Cajas Elaboradas]]</f>
        <v>1710.8910891089108</v>
      </c>
      <c r="X219" s="83">
        <f t="shared" si="43"/>
        <v>26450</v>
      </c>
      <c r="Y219" s="84">
        <f>IF('CAJAS ELABORADAS'!$X219&lt;'DATOS PARA CALCULO'!$D$27,'DATOS PARA CALCULO'!$D$27,'CAJAS ELABORADAS'!$X219)</f>
        <v>30000</v>
      </c>
      <c r="Z219" s="94">
        <f>Tabla1[[#This Row],[VALOR  A PAGAR]]-Tabla1[[#This Row],[VALOR GANADO]]</f>
        <v>3550</v>
      </c>
      <c r="AA219" s="64"/>
    </row>
    <row r="220" spans="3:27" ht="18.75" x14ac:dyDescent="0.25">
      <c r="C220" s="274">
        <v>44623</v>
      </c>
      <c r="D220" s="507">
        <f>YEAR(Tabla1[[#This Row],[FECHA]])</f>
        <v>2022</v>
      </c>
      <c r="E220" s="72">
        <f>_xlfn.ISOWEEKNUM(Tabla1[[#This Row],[FECHA]])</f>
        <v>9</v>
      </c>
      <c r="F220" s="314" t="s">
        <v>155</v>
      </c>
      <c r="G220" s="73" t="s">
        <v>28</v>
      </c>
      <c r="H220" s="74">
        <v>41</v>
      </c>
      <c r="I220" s="72">
        <v>10.199999999999999</v>
      </c>
      <c r="J220" s="72">
        <v>5</v>
      </c>
      <c r="K220" s="75"/>
      <c r="L220" s="93"/>
      <c r="M220" s="75">
        <f>+Tabla1[[#This Row],[Rasimos Cosechados]]-Tabla1[[#This Row],[Rasimos Prosesados]]</f>
        <v>0</v>
      </c>
      <c r="N220" s="77">
        <f>+Tabla1[[#This Row],[Rasimos Cosechados]]/Tabla1[[#This Row],[Cajas Elaboradas]]</f>
        <v>0</v>
      </c>
      <c r="O220" s="78">
        <f>+Tabla1[[#This Row],[Rasimos Prosesados]]/Tabla1[[#This Row],[Cajas Elaboradas]]</f>
        <v>0</v>
      </c>
      <c r="P220" s="66">
        <f>IF(H220,'DATOS PARA CALCULO'!D$18,0)</f>
        <v>1500</v>
      </c>
      <c r="Q220" s="65">
        <f>IF(I220,'DATOS PARA CALCULO'!D$22,0)</f>
        <v>500</v>
      </c>
      <c r="R220" s="66">
        <f t="shared" si="40"/>
        <v>61500</v>
      </c>
      <c r="S220" s="65">
        <f t="shared" si="41"/>
        <v>5100</v>
      </c>
      <c r="T220" s="66">
        <f t="shared" si="42"/>
        <v>66600</v>
      </c>
      <c r="U220" s="65">
        <f>IF('CAJAS ELABORADAS'!$J220&gt;0,'CAJAS ELABORADAS'!$Y220*'CAJAS ELABORADAS'!$J220,0)</f>
        <v>150000</v>
      </c>
      <c r="V220" s="67">
        <f>'CAJAS ELABORADAS'!$Y220/'DATOS PARA CALCULO'!$D$27</f>
        <v>1</v>
      </c>
      <c r="W220" s="64">
        <f>(Tabla1[[#This Row],[Valor Pagado]]-Tabla1[[#This Row],[PRODUCIDO BOLSAS]])/Tabla1[[#This Row],[Cajas Elaboradas]]</f>
        <v>3534.1463414634145</v>
      </c>
      <c r="X220" s="83">
        <f t="shared" si="43"/>
        <v>13320</v>
      </c>
      <c r="Y220" s="84">
        <f>IF('CAJAS ELABORADAS'!$X220&lt;'DATOS PARA CALCULO'!$D$27,'DATOS PARA CALCULO'!$D$27,'CAJAS ELABORADAS'!$X220)</f>
        <v>30000</v>
      </c>
      <c r="Z220" s="94">
        <f>Tabla1[[#This Row],[VALOR  A PAGAR]]-Tabla1[[#This Row],[VALOR GANADO]]</f>
        <v>16680</v>
      </c>
      <c r="AA220" s="64"/>
    </row>
    <row r="221" spans="3:27" ht="18.75" x14ac:dyDescent="0.25">
      <c r="C221" s="274">
        <v>44623</v>
      </c>
      <c r="D221" s="507">
        <f>YEAR(Tabla1[[#This Row],[FECHA]])</f>
        <v>2022</v>
      </c>
      <c r="E221" s="72">
        <f>_xlfn.ISOWEEKNUM(Tabla1[[#This Row],[FECHA]])</f>
        <v>9</v>
      </c>
      <c r="F221" s="72" t="s">
        <v>157</v>
      </c>
      <c r="G221" s="73" t="s">
        <v>31</v>
      </c>
      <c r="H221" s="74">
        <v>31</v>
      </c>
      <c r="I221" s="72">
        <v>6.8</v>
      </c>
      <c r="J221" s="72">
        <v>5</v>
      </c>
      <c r="K221" s="75"/>
      <c r="L221" s="93"/>
      <c r="M221" s="75">
        <f>+Tabla1[[#This Row],[Rasimos Cosechados]]-Tabla1[[#This Row],[Rasimos Prosesados]]</f>
        <v>0</v>
      </c>
      <c r="N221" s="77">
        <f>+Tabla1[[#This Row],[Rasimos Cosechados]]/Tabla1[[#This Row],[Cajas Elaboradas]]</f>
        <v>0</v>
      </c>
      <c r="O221" s="78">
        <f>+Tabla1[[#This Row],[Rasimos Prosesados]]/Tabla1[[#This Row],[Cajas Elaboradas]]</f>
        <v>0</v>
      </c>
      <c r="P221" s="66">
        <f>IF(H221,'DATOS PARA CALCULO'!D$18,0)</f>
        <v>1500</v>
      </c>
      <c r="Q221" s="65">
        <f>IF(I221,'DATOS PARA CALCULO'!D$22,0)</f>
        <v>500</v>
      </c>
      <c r="R221" s="66">
        <f t="shared" si="40"/>
        <v>46500</v>
      </c>
      <c r="S221" s="65">
        <f t="shared" si="41"/>
        <v>3400</v>
      </c>
      <c r="T221" s="66">
        <f t="shared" si="42"/>
        <v>49900</v>
      </c>
      <c r="U221" s="65">
        <f>IF('CAJAS ELABORADAS'!$J221&gt;0,'CAJAS ELABORADAS'!$Y221*'CAJAS ELABORADAS'!$J221,0)</f>
        <v>150000</v>
      </c>
      <c r="V221" s="67">
        <f>'CAJAS ELABORADAS'!$Y221/'DATOS PARA CALCULO'!$D$27</f>
        <v>1</v>
      </c>
      <c r="W221" s="64">
        <f>(Tabla1[[#This Row],[Valor Pagado]]-Tabla1[[#This Row],[PRODUCIDO BOLSAS]])/Tabla1[[#This Row],[Cajas Elaboradas]]</f>
        <v>4729.0322580645161</v>
      </c>
      <c r="X221" s="83">
        <f t="shared" si="43"/>
        <v>9980</v>
      </c>
      <c r="Y221" s="84">
        <f>IF('CAJAS ELABORADAS'!$X221&lt;'DATOS PARA CALCULO'!$D$27,'DATOS PARA CALCULO'!$D$27,'CAJAS ELABORADAS'!$X221)</f>
        <v>30000</v>
      </c>
      <c r="Z221" s="94">
        <f>Tabla1[[#This Row],[VALOR  A PAGAR]]-Tabla1[[#This Row],[VALOR GANADO]]</f>
        <v>20020</v>
      </c>
      <c r="AA221" s="64"/>
    </row>
    <row r="222" spans="3:27" ht="18.75" x14ac:dyDescent="0.25">
      <c r="C222" s="320">
        <v>44628</v>
      </c>
      <c r="D222" s="507">
        <f>YEAR(Tabla1[[#This Row],[FECHA]])</f>
        <v>2022</v>
      </c>
      <c r="E222" s="72">
        <f>_xlfn.ISOWEEKNUM(Tabla1[[#This Row],[FECHA]])</f>
        <v>10</v>
      </c>
      <c r="F222" s="314" t="s">
        <v>155</v>
      </c>
      <c r="G222" s="73" t="s">
        <v>28</v>
      </c>
      <c r="H222" s="74">
        <v>117</v>
      </c>
      <c r="I222" s="72">
        <v>32.199999999999996</v>
      </c>
      <c r="J222" s="72">
        <v>7</v>
      </c>
      <c r="K222" s="75"/>
      <c r="L222" s="93"/>
      <c r="M222" s="75">
        <f>+Tabla1[[#This Row],[Rasimos Cosechados]]-Tabla1[[#This Row],[Rasimos Prosesados]]</f>
        <v>0</v>
      </c>
      <c r="N222" s="77">
        <f>+Tabla1[[#This Row],[Rasimos Cosechados]]/Tabla1[[#This Row],[Cajas Elaboradas]]</f>
        <v>0</v>
      </c>
      <c r="O222" s="78">
        <f>+Tabla1[[#This Row],[Rasimos Prosesados]]/Tabla1[[#This Row],[Cajas Elaboradas]]</f>
        <v>0</v>
      </c>
      <c r="P222" s="66">
        <f>IF(H222,'DATOS PARA CALCULO'!D$18,0)</f>
        <v>1500</v>
      </c>
      <c r="Q222" s="65">
        <f>IF(I222,'DATOS PARA CALCULO'!D$22,0)</f>
        <v>500</v>
      </c>
      <c r="R222" s="66">
        <f t="shared" si="40"/>
        <v>175500</v>
      </c>
      <c r="S222" s="65">
        <f t="shared" si="41"/>
        <v>16099.999999999998</v>
      </c>
      <c r="T222" s="66">
        <f t="shared" si="42"/>
        <v>191600</v>
      </c>
      <c r="U222" s="65">
        <f>IF('CAJAS ELABORADAS'!$J222&gt;0,'CAJAS ELABORADAS'!$Y222*'CAJAS ELABORADAS'!$J222,0)</f>
        <v>210000</v>
      </c>
      <c r="V222" s="67">
        <f>'CAJAS ELABORADAS'!$Y222/'DATOS PARA CALCULO'!$D$27</f>
        <v>1</v>
      </c>
      <c r="W222" s="64">
        <f>(Tabla1[[#This Row],[Valor Pagado]]-Tabla1[[#This Row],[PRODUCIDO BOLSAS]])/Tabla1[[#This Row],[Cajas Elaboradas]]</f>
        <v>1657.2649572649573</v>
      </c>
      <c r="X222" s="83">
        <f t="shared" si="43"/>
        <v>27371.428571428572</v>
      </c>
      <c r="Y222" s="84">
        <f>IF('CAJAS ELABORADAS'!$X222&lt;'DATOS PARA CALCULO'!$D$27,'DATOS PARA CALCULO'!$D$27,'CAJAS ELABORADAS'!$X222)</f>
        <v>30000</v>
      </c>
      <c r="Z222" s="94">
        <f>Tabla1[[#This Row],[VALOR  A PAGAR]]-Tabla1[[#This Row],[VALOR GANADO]]</f>
        <v>2628.5714285714275</v>
      </c>
      <c r="AA222" s="64"/>
    </row>
    <row r="223" spans="3:27" ht="18.75" x14ac:dyDescent="0.25">
      <c r="C223" s="320">
        <v>44628</v>
      </c>
      <c r="D223" s="507">
        <f>YEAR(Tabla1[[#This Row],[FECHA]])</f>
        <v>2022</v>
      </c>
      <c r="E223" s="72">
        <f>_xlfn.ISOWEEKNUM(Tabla1[[#This Row],[FECHA]])</f>
        <v>10</v>
      </c>
      <c r="F223" s="72" t="s">
        <v>152</v>
      </c>
      <c r="G223" s="73" t="s">
        <v>29</v>
      </c>
      <c r="H223" s="74">
        <v>300</v>
      </c>
      <c r="I223" s="72">
        <v>88.4</v>
      </c>
      <c r="J223" s="72">
        <v>15</v>
      </c>
      <c r="K223" s="75"/>
      <c r="L223" s="93"/>
      <c r="M223" s="75">
        <f>+Tabla1[[#This Row],[Rasimos Cosechados]]-Tabla1[[#This Row],[Rasimos Prosesados]]</f>
        <v>0</v>
      </c>
      <c r="N223" s="77">
        <f>+Tabla1[[#This Row],[Rasimos Cosechados]]/Tabla1[[#This Row],[Cajas Elaboradas]]</f>
        <v>0</v>
      </c>
      <c r="O223" s="78">
        <f>+Tabla1[[#This Row],[Rasimos Prosesados]]/Tabla1[[#This Row],[Cajas Elaboradas]]</f>
        <v>0</v>
      </c>
      <c r="P223" s="81">
        <f>IF(H223,'DATOS PARA CALCULO'!D$18,0)</f>
        <v>1500</v>
      </c>
      <c r="Q223" s="80">
        <f>IF(I223,'DATOS PARA CALCULO'!D$22,0)</f>
        <v>500</v>
      </c>
      <c r="R223" s="81">
        <f t="shared" ref="R223:R234" si="44">IF(P223&gt;0 &amp; H223&gt;0,H223*P223,)</f>
        <v>450000</v>
      </c>
      <c r="S223" s="80">
        <f t="shared" ref="S223:S234" si="45">IF(Q223&gt;0 &amp; I223&gt;0,I223*Q223,0)</f>
        <v>44200</v>
      </c>
      <c r="T223" s="81">
        <f t="shared" ref="T223:T234" si="46">S223+R223</f>
        <v>494200</v>
      </c>
      <c r="U223" s="80">
        <f>IF('CAJAS ELABORADAS'!$J223&gt;0,'CAJAS ELABORADAS'!$Y223*'CAJAS ELABORADAS'!$J223,0)</f>
        <v>494199.99999999994</v>
      </c>
      <c r="V223" s="82">
        <f>'CAJAS ELABORADAS'!$Y223/'DATOS PARA CALCULO'!$D$27</f>
        <v>1.0982222222222222</v>
      </c>
      <c r="W223" s="79">
        <f>(Tabla1[[#This Row],[Valor Pagado]]-Tabla1[[#This Row],[PRODUCIDO BOLSAS]])/Tabla1[[#This Row],[Cajas Elaboradas]]</f>
        <v>1499.9999999999998</v>
      </c>
      <c r="X223" s="83">
        <f t="shared" ref="X223:X234" si="47">IF(J223&gt;0,T223/J223,0)</f>
        <v>32946.666666666664</v>
      </c>
      <c r="Y223" s="84">
        <f>IF('CAJAS ELABORADAS'!$X223&lt;'DATOS PARA CALCULO'!$D$27,'DATOS PARA CALCULO'!$D$27,'CAJAS ELABORADAS'!$X223)</f>
        <v>32946.666666666664</v>
      </c>
      <c r="Z223" s="94">
        <f>Tabla1[[#This Row],[VALOR  A PAGAR]]-Tabla1[[#This Row],[VALOR GANADO]]</f>
        <v>0</v>
      </c>
    </row>
    <row r="224" spans="3:27" ht="18.75" x14ac:dyDescent="0.25">
      <c r="C224" s="71">
        <v>3</v>
      </c>
      <c r="D224" s="507">
        <f>YEAR(Tabla1[[#This Row],[FECHA]])</f>
        <v>1900</v>
      </c>
      <c r="E224" s="72">
        <f>_xlfn.ISOWEEKNUM(Tabla1[[#This Row],[FECHA]])</f>
        <v>1</v>
      </c>
      <c r="F224" s="72" t="s">
        <v>152</v>
      </c>
      <c r="G224" s="73" t="s">
        <v>29</v>
      </c>
      <c r="H224" s="74">
        <f>150+35</f>
        <v>185</v>
      </c>
      <c r="I224" s="72">
        <f>5.21*15</f>
        <v>78.150000000000006</v>
      </c>
      <c r="J224" s="72">
        <v>15</v>
      </c>
      <c r="K224" s="86"/>
      <c r="L224" s="87"/>
      <c r="M224" s="86">
        <f>+Tabla1[[#This Row],[Rasimos Cosechados]]-Tabla1[[#This Row],[Rasimos Prosesados]]</f>
        <v>0</v>
      </c>
      <c r="N224" s="88">
        <f>+Tabla1[[#This Row],[Rasimos Cosechados]]/Tabla1[[#This Row],[Cajas Elaboradas]]</f>
        <v>0</v>
      </c>
      <c r="O224" s="89">
        <f>+Tabla1[[#This Row],[Rasimos Prosesados]]/Tabla1[[#This Row],[Cajas Elaboradas]]</f>
        <v>0</v>
      </c>
      <c r="P224" s="81">
        <f>IF(H224,'DATOS PARA CALCULO'!D$18,0)</f>
        <v>1500</v>
      </c>
      <c r="Q224" s="80">
        <f>IF(I224,'DATOS PARA CALCULO'!D$22,0)</f>
        <v>500</v>
      </c>
      <c r="R224" s="81">
        <f t="shared" si="44"/>
        <v>277500</v>
      </c>
      <c r="S224" s="80">
        <f t="shared" si="45"/>
        <v>39075</v>
      </c>
      <c r="T224" s="81">
        <f t="shared" si="46"/>
        <v>316575</v>
      </c>
      <c r="U224" s="80">
        <f>IF('CAJAS ELABORADAS'!$J224&gt;0,'CAJAS ELABORADAS'!$Y224*'CAJAS ELABORADAS'!$J224,0)</f>
        <v>450000</v>
      </c>
      <c r="V224" s="82">
        <f>'CAJAS ELABORADAS'!$Y224/'DATOS PARA CALCULO'!$D$27</f>
        <v>1</v>
      </c>
      <c r="W224" s="79">
        <f>(Tabla1[[#This Row],[Valor Pagado]]-Tabla1[[#This Row],[PRODUCIDO BOLSAS]])/Tabla1[[#This Row],[Cajas Elaboradas]]</f>
        <v>2221.2162162162163</v>
      </c>
      <c r="X224" s="90">
        <f t="shared" si="47"/>
        <v>21105</v>
      </c>
      <c r="Y224" s="91">
        <f>IF('CAJAS ELABORADAS'!$X224&lt;'DATOS PARA CALCULO'!$D$27,'DATOS PARA CALCULO'!$D$27,'CAJAS ELABORADAS'!$X224)</f>
        <v>30000</v>
      </c>
      <c r="Z224" s="92">
        <f>Tabla1[[#This Row],[VALOR  A PAGAR]]-Tabla1[[#This Row],[VALOR GANADO]]</f>
        <v>8895</v>
      </c>
      <c r="AA224" s="64"/>
    </row>
    <row r="225" spans="3:27" ht="18.75" x14ac:dyDescent="0.25">
      <c r="C225" s="71">
        <v>44629</v>
      </c>
      <c r="D225" s="507">
        <f>YEAR(Tabla1[[#This Row],[FECHA]])</f>
        <v>2022</v>
      </c>
      <c r="E225" s="72">
        <f>_xlfn.ISOWEEKNUM(Tabla1[[#This Row],[FECHA]])</f>
        <v>10</v>
      </c>
      <c r="F225" s="72" t="s">
        <v>153</v>
      </c>
      <c r="G225" s="73" t="s">
        <v>30</v>
      </c>
      <c r="H225" s="74">
        <v>88</v>
      </c>
      <c r="I225" s="72">
        <v>12.8</v>
      </c>
      <c r="J225" s="72">
        <v>5</v>
      </c>
      <c r="K225" s="86">
        <f>169+145</f>
        <v>314</v>
      </c>
      <c r="L225" s="87">
        <v>314</v>
      </c>
      <c r="M225" s="86">
        <f>+Tabla1[[#This Row],[Rasimos Cosechados]]-Tabla1[[#This Row],[Rasimos Prosesados]]</f>
        <v>0</v>
      </c>
      <c r="N225" s="88">
        <f>+Tabla1[[#This Row],[Rasimos Cosechados]]/Tabla1[[#This Row],[Cajas Elaboradas]]</f>
        <v>3.5681818181818183</v>
      </c>
      <c r="O225" s="89">
        <f>+Tabla1[[#This Row],[Rasimos Prosesados]]/Tabla1[[#This Row],[Cajas Elaboradas]]</f>
        <v>3.5681818181818183</v>
      </c>
      <c r="P225" s="81">
        <f>IF(H225,'DATOS PARA CALCULO'!D$18,0)</f>
        <v>1500</v>
      </c>
      <c r="Q225" s="80">
        <f>IF(I225,'DATOS PARA CALCULO'!D$22,0)</f>
        <v>500</v>
      </c>
      <c r="R225" s="81">
        <f t="shared" si="44"/>
        <v>132000</v>
      </c>
      <c r="S225" s="80">
        <f t="shared" si="45"/>
        <v>6400</v>
      </c>
      <c r="T225" s="81">
        <f t="shared" si="46"/>
        <v>138400</v>
      </c>
      <c r="U225" s="80">
        <f>IF('CAJAS ELABORADAS'!$J225&gt;0,'CAJAS ELABORADAS'!$Y225*'CAJAS ELABORADAS'!$J225,0)</f>
        <v>150000</v>
      </c>
      <c r="V225" s="82">
        <f>'CAJAS ELABORADAS'!$Y225/'DATOS PARA CALCULO'!$D$27</f>
        <v>1</v>
      </c>
      <c r="W225" s="79">
        <f>(Tabla1[[#This Row],[Valor Pagado]]-Tabla1[[#This Row],[PRODUCIDO BOLSAS]])/Tabla1[[#This Row],[Cajas Elaboradas]]</f>
        <v>1631.8181818181818</v>
      </c>
      <c r="X225" s="90">
        <f t="shared" si="47"/>
        <v>27680</v>
      </c>
      <c r="Y225" s="91">
        <f>IF('CAJAS ELABORADAS'!$X225&lt;'DATOS PARA CALCULO'!$D$27,'DATOS PARA CALCULO'!$D$27,'CAJAS ELABORADAS'!$X225)</f>
        <v>30000</v>
      </c>
      <c r="Z225" s="92">
        <f>Tabla1[[#This Row],[VALOR  A PAGAR]]-Tabla1[[#This Row],[VALOR GANADO]]</f>
        <v>2320</v>
      </c>
      <c r="AA225" s="64"/>
    </row>
    <row r="226" spans="3:27" ht="18.75" x14ac:dyDescent="0.25">
      <c r="C226" s="71">
        <v>44635</v>
      </c>
      <c r="D226" s="507">
        <f>YEAR(Tabla1[[#This Row],[FECHA]])</f>
        <v>2022</v>
      </c>
      <c r="E226" s="72">
        <f>_xlfn.ISOWEEKNUM(Tabla1[[#This Row],[FECHA]])</f>
        <v>11</v>
      </c>
      <c r="F226" s="72" t="s">
        <v>152</v>
      </c>
      <c r="G226" s="73" t="s">
        <v>29</v>
      </c>
      <c r="H226" s="74">
        <v>200</v>
      </c>
      <c r="I226" s="72">
        <f>4.91*9</f>
        <v>44.19</v>
      </c>
      <c r="J226" s="72">
        <v>9</v>
      </c>
      <c r="K226" s="86"/>
      <c r="L226" s="87"/>
      <c r="M226" s="86">
        <f>+Tabla1[[#This Row],[Rasimos Cosechados]]-Tabla1[[#This Row],[Rasimos Prosesados]]</f>
        <v>0</v>
      </c>
      <c r="N226" s="88">
        <f>+Tabla1[[#This Row],[Rasimos Cosechados]]/Tabla1[[#This Row],[Cajas Elaboradas]]</f>
        <v>0</v>
      </c>
      <c r="O226" s="89">
        <f>+Tabla1[[#This Row],[Rasimos Prosesados]]/Tabla1[[#This Row],[Cajas Elaboradas]]</f>
        <v>0</v>
      </c>
      <c r="P226" s="81">
        <f>IF(H226,'DATOS PARA CALCULO'!D$18,0)</f>
        <v>1500</v>
      </c>
      <c r="Q226" s="80">
        <f>IF(I226,'DATOS PARA CALCULO'!D$22,0)</f>
        <v>500</v>
      </c>
      <c r="R226" s="81">
        <f t="shared" si="44"/>
        <v>300000</v>
      </c>
      <c r="S226" s="80">
        <f t="shared" si="45"/>
        <v>22095</v>
      </c>
      <c r="T226" s="81">
        <f t="shared" si="46"/>
        <v>322095</v>
      </c>
      <c r="U226" s="80">
        <f>IF('CAJAS ELABORADAS'!$J226&gt;0,'CAJAS ELABORADAS'!$Y226*'CAJAS ELABORADAS'!$J226,0)</f>
        <v>322095</v>
      </c>
      <c r="V226" s="82">
        <f>'CAJAS ELABORADAS'!$Y226/'DATOS PARA CALCULO'!$D$27</f>
        <v>1.1929444444444446</v>
      </c>
      <c r="W226" s="79">
        <f>(Tabla1[[#This Row],[Valor Pagado]]-Tabla1[[#This Row],[PRODUCIDO BOLSAS]])/Tabla1[[#This Row],[Cajas Elaboradas]]</f>
        <v>1500</v>
      </c>
      <c r="X226" s="90">
        <f t="shared" si="47"/>
        <v>35788.333333333336</v>
      </c>
      <c r="Y226" s="91">
        <f>IF('CAJAS ELABORADAS'!$X226&lt;'DATOS PARA CALCULO'!$D$27,'DATOS PARA CALCULO'!$D$27,'CAJAS ELABORADAS'!$X226)</f>
        <v>35788.333333333336</v>
      </c>
      <c r="Z226" s="92">
        <f>Tabla1[[#This Row],[VALOR  A PAGAR]]-Tabla1[[#This Row],[VALOR GANADO]]</f>
        <v>0</v>
      </c>
      <c r="AA226" s="64"/>
    </row>
    <row r="227" spans="3:27" ht="18.75" x14ac:dyDescent="0.25">
      <c r="C227" s="71">
        <v>44635</v>
      </c>
      <c r="D227" s="507">
        <f>YEAR(Tabla1[[#This Row],[FECHA]])</f>
        <v>2022</v>
      </c>
      <c r="E227" s="72">
        <f>_xlfn.ISOWEEKNUM(Tabla1[[#This Row],[FECHA]])</f>
        <v>11</v>
      </c>
      <c r="F227" s="72" t="s">
        <v>155</v>
      </c>
      <c r="G227" s="73" t="s">
        <v>28</v>
      </c>
      <c r="H227" s="74">
        <v>101</v>
      </c>
      <c r="I227" s="72">
        <f>5.1*7</f>
        <v>35.699999999999996</v>
      </c>
      <c r="J227" s="72">
        <v>7</v>
      </c>
      <c r="K227" s="86">
        <v>564</v>
      </c>
      <c r="L227" s="87">
        <v>500</v>
      </c>
      <c r="M227" s="86">
        <f>+Tabla1[[#This Row],[Rasimos Cosechados]]-Tabla1[[#This Row],[Rasimos Prosesados]]</f>
        <v>64</v>
      </c>
      <c r="N227" s="88">
        <f>+Tabla1[[#This Row],[Rasimos Cosechados]]/Tabla1[[#This Row],[Cajas Elaboradas]]</f>
        <v>5.5841584158415838</v>
      </c>
      <c r="O227" s="89">
        <f>+Tabla1[[#This Row],[Rasimos Prosesados]]/Tabla1[[#This Row],[Cajas Elaboradas]]</f>
        <v>4.9504950495049505</v>
      </c>
      <c r="P227" s="81">
        <f>IF(H227,'DATOS PARA CALCULO'!D$18,0)</f>
        <v>1500</v>
      </c>
      <c r="Q227" s="80">
        <f>IF(I227,'DATOS PARA CALCULO'!D$22,0)</f>
        <v>500</v>
      </c>
      <c r="R227" s="81">
        <f t="shared" si="44"/>
        <v>151500</v>
      </c>
      <c r="S227" s="80">
        <f t="shared" si="45"/>
        <v>17849.999999999996</v>
      </c>
      <c r="T227" s="81">
        <f t="shared" si="46"/>
        <v>169350</v>
      </c>
      <c r="U227" s="80">
        <f>IF('CAJAS ELABORADAS'!$J227&gt;0,'CAJAS ELABORADAS'!$Y227*'CAJAS ELABORADAS'!$J227,0)</f>
        <v>210000</v>
      </c>
      <c r="V227" s="82">
        <f>'CAJAS ELABORADAS'!$Y227/'DATOS PARA CALCULO'!$D$27</f>
        <v>1</v>
      </c>
      <c r="W227" s="79">
        <f>(Tabla1[[#This Row],[Valor Pagado]]-Tabla1[[#This Row],[PRODUCIDO BOLSAS]])/Tabla1[[#This Row],[Cajas Elaboradas]]</f>
        <v>1902.4752475247524</v>
      </c>
      <c r="X227" s="90">
        <f t="shared" si="47"/>
        <v>24192.857142857141</v>
      </c>
      <c r="Y227" s="91">
        <f>IF('CAJAS ELABORADAS'!$X227&lt;'DATOS PARA CALCULO'!$D$27,'DATOS PARA CALCULO'!$D$27,'CAJAS ELABORADAS'!$X227)</f>
        <v>30000</v>
      </c>
      <c r="Z227" s="92">
        <f>Tabla1[[#This Row],[VALOR  A PAGAR]]-Tabla1[[#This Row],[VALOR GANADO]]</f>
        <v>5807.1428571428587</v>
      </c>
      <c r="AA227" s="64"/>
    </row>
    <row r="228" spans="3:27" ht="18.75" x14ac:dyDescent="0.25">
      <c r="C228" s="71">
        <v>44636</v>
      </c>
      <c r="D228" s="507">
        <f>YEAR(Tabla1[[#This Row],[FECHA]])</f>
        <v>2022</v>
      </c>
      <c r="E228" s="72">
        <f>_xlfn.ISOWEEKNUM(Tabla1[[#This Row],[FECHA]])</f>
        <v>11</v>
      </c>
      <c r="F228" s="72" t="s">
        <v>153</v>
      </c>
      <c r="G228" s="73" t="s">
        <v>30</v>
      </c>
      <c r="H228" s="74">
        <v>87</v>
      </c>
      <c r="I228" s="72">
        <f>3.1*4</f>
        <v>12.4</v>
      </c>
      <c r="J228" s="72">
        <v>4</v>
      </c>
      <c r="K228" s="75">
        <v>312</v>
      </c>
      <c r="L228" s="93">
        <v>305</v>
      </c>
      <c r="M228" s="75">
        <f>+Tabla1[[#This Row],[Rasimos Cosechados]]-Tabla1[[#This Row],[Rasimos Prosesados]]</f>
        <v>7</v>
      </c>
      <c r="N228" s="77">
        <f>+Tabla1[[#This Row],[Rasimos Cosechados]]/Tabla1[[#This Row],[Cajas Elaboradas]]</f>
        <v>3.5862068965517242</v>
      </c>
      <c r="O228" s="78">
        <f>+Tabla1[[#This Row],[Rasimos Prosesados]]/Tabla1[[#This Row],[Cajas Elaboradas]]</f>
        <v>3.5057471264367814</v>
      </c>
      <c r="P228" s="81">
        <f>IF(H228,'DATOS PARA CALCULO'!D$18,0)</f>
        <v>1500</v>
      </c>
      <c r="Q228" s="80">
        <f>IF(I228,'DATOS PARA CALCULO'!D$22,0)</f>
        <v>500</v>
      </c>
      <c r="R228" s="81">
        <f t="shared" si="44"/>
        <v>130500</v>
      </c>
      <c r="S228" s="80">
        <f t="shared" si="45"/>
        <v>6200</v>
      </c>
      <c r="T228" s="81">
        <f t="shared" si="46"/>
        <v>136700</v>
      </c>
      <c r="U228" s="80">
        <f>IF('CAJAS ELABORADAS'!$J228&gt;0,'CAJAS ELABORADAS'!$Y228*'CAJAS ELABORADAS'!$J228,0)</f>
        <v>136700</v>
      </c>
      <c r="V228" s="82">
        <f>'CAJAS ELABORADAS'!$Y228/'DATOS PARA CALCULO'!$D$27</f>
        <v>1.1391666666666667</v>
      </c>
      <c r="W228" s="79">
        <f>(Tabla1[[#This Row],[Valor Pagado]]-Tabla1[[#This Row],[PRODUCIDO BOLSAS]])/Tabla1[[#This Row],[Cajas Elaboradas]]</f>
        <v>1500</v>
      </c>
      <c r="X228" s="83">
        <f t="shared" si="47"/>
        <v>34175</v>
      </c>
      <c r="Y228" s="84">
        <f>IF('CAJAS ELABORADAS'!$X228&lt;'DATOS PARA CALCULO'!$D$27,'DATOS PARA CALCULO'!$D$27,'CAJAS ELABORADAS'!$X228)</f>
        <v>34175</v>
      </c>
      <c r="Z228" s="94">
        <f>Tabla1[[#This Row],[VALOR  A PAGAR]]-Tabla1[[#This Row],[VALOR GANADO]]</f>
        <v>0</v>
      </c>
      <c r="AA228" s="64"/>
    </row>
    <row r="229" spans="3:27" ht="18.75" x14ac:dyDescent="0.25">
      <c r="C229" s="71">
        <v>44636</v>
      </c>
      <c r="D229" s="507">
        <f>YEAR(Tabla1[[#This Row],[FECHA]])</f>
        <v>2022</v>
      </c>
      <c r="E229" s="72">
        <f>_xlfn.ISOWEEKNUM(Tabla1[[#This Row],[FECHA]])</f>
        <v>11</v>
      </c>
      <c r="F229" s="57" t="s">
        <v>152</v>
      </c>
      <c r="G229" s="73" t="s">
        <v>29</v>
      </c>
      <c r="H229" s="74">
        <v>164</v>
      </c>
      <c r="I229" s="72">
        <f>8.12*9</f>
        <v>73.08</v>
      </c>
      <c r="J229" s="72">
        <v>9</v>
      </c>
      <c r="K229" s="75"/>
      <c r="L229" s="93"/>
      <c r="M229" s="75">
        <f>+Tabla1[[#This Row],[Rasimos Cosechados]]-Tabla1[[#This Row],[Rasimos Prosesados]]</f>
        <v>0</v>
      </c>
      <c r="N229" s="77">
        <f>+Tabla1[[#This Row],[Rasimos Cosechados]]/Tabla1[[#This Row],[Cajas Elaboradas]]</f>
        <v>0</v>
      </c>
      <c r="O229" s="78">
        <f>+Tabla1[[#This Row],[Rasimos Prosesados]]/Tabla1[[#This Row],[Cajas Elaboradas]]</f>
        <v>0</v>
      </c>
      <c r="P229" s="66">
        <f>IF(H229,'DATOS PARA CALCULO'!D$18,0)</f>
        <v>1500</v>
      </c>
      <c r="Q229" s="65">
        <f>IF(I229,'DATOS PARA CALCULO'!D$22,0)</f>
        <v>500</v>
      </c>
      <c r="R229" s="66">
        <f t="shared" si="44"/>
        <v>246000</v>
      </c>
      <c r="S229" s="65">
        <f t="shared" si="45"/>
        <v>36540</v>
      </c>
      <c r="T229" s="66">
        <f t="shared" si="46"/>
        <v>282540</v>
      </c>
      <c r="U229" s="65">
        <f>IF('CAJAS ELABORADAS'!$J229&gt;0,'CAJAS ELABORADAS'!$Y229*'CAJAS ELABORADAS'!$J229,0)</f>
        <v>282540</v>
      </c>
      <c r="V229" s="67">
        <f>'CAJAS ELABORADAS'!$Y229/'DATOS PARA CALCULO'!$D$27</f>
        <v>1.0464444444444445</v>
      </c>
      <c r="W229" s="64">
        <f>(Tabla1[[#This Row],[Valor Pagado]]-Tabla1[[#This Row],[PRODUCIDO BOLSAS]])/Tabla1[[#This Row],[Cajas Elaboradas]]</f>
        <v>1500</v>
      </c>
      <c r="X229" s="83">
        <f t="shared" si="47"/>
        <v>31393.333333333332</v>
      </c>
      <c r="Y229" s="84">
        <f>IF('CAJAS ELABORADAS'!$X229&lt;'DATOS PARA CALCULO'!$D$27,'DATOS PARA CALCULO'!$D$27,'CAJAS ELABORADAS'!$X229)</f>
        <v>31393.333333333332</v>
      </c>
      <c r="Z229" s="94">
        <f>Tabla1[[#This Row],[VALOR  A PAGAR]]-Tabla1[[#This Row],[VALOR GANADO]]</f>
        <v>0</v>
      </c>
      <c r="AA229" s="64"/>
    </row>
    <row r="230" spans="3:27" ht="18.75" x14ac:dyDescent="0.25">
      <c r="C230" s="71">
        <v>44637</v>
      </c>
      <c r="D230" s="507">
        <f>YEAR(Tabla1[[#This Row],[FECHA]])</f>
        <v>2022</v>
      </c>
      <c r="E230" s="72">
        <f>_xlfn.ISOWEEKNUM(Tabla1[[#This Row],[FECHA]])</f>
        <v>11</v>
      </c>
      <c r="F230" s="72" t="s">
        <v>157</v>
      </c>
      <c r="G230" s="73" t="s">
        <v>31</v>
      </c>
      <c r="H230" s="74">
        <v>200</v>
      </c>
      <c r="I230" s="72">
        <v>14</v>
      </c>
      <c r="J230" s="72">
        <v>13</v>
      </c>
      <c r="K230" s="86"/>
      <c r="L230" s="87"/>
      <c r="M230" s="86">
        <f>+Tabla1[[#This Row],[Rasimos Cosechados]]-Tabla1[[#This Row],[Rasimos Prosesados]]</f>
        <v>0</v>
      </c>
      <c r="N230" s="88">
        <f>+Tabla1[[#This Row],[Rasimos Cosechados]]/Tabla1[[#This Row],[Cajas Elaboradas]]</f>
        <v>0</v>
      </c>
      <c r="O230" s="89">
        <f>+Tabla1[[#This Row],[Rasimos Prosesados]]/Tabla1[[#This Row],[Cajas Elaboradas]]</f>
        <v>0</v>
      </c>
      <c r="P230" s="81">
        <v>2100</v>
      </c>
      <c r="Q230" s="80">
        <f>IF(I230,'DATOS PARA CALCULO'!D$22,0)</f>
        <v>500</v>
      </c>
      <c r="R230" s="81">
        <f t="shared" si="44"/>
        <v>420000</v>
      </c>
      <c r="S230" s="80">
        <f t="shared" si="45"/>
        <v>7000</v>
      </c>
      <c r="T230" s="81">
        <f t="shared" si="46"/>
        <v>427000</v>
      </c>
      <c r="U230" s="80">
        <f>IF('CAJAS ELABORADAS'!$J230&gt;0,'CAJAS ELABORADAS'!$Y230*'CAJAS ELABORADAS'!$J230,0)</f>
        <v>427000</v>
      </c>
      <c r="V230" s="82">
        <f>'CAJAS ELABORADAS'!$Y230/'DATOS PARA CALCULO'!$D$27</f>
        <v>1.0948717948717948</v>
      </c>
      <c r="W230" s="79">
        <f>(Tabla1[[#This Row],[Valor Pagado]]-Tabla1[[#This Row],[PRODUCIDO BOLSAS]])/Tabla1[[#This Row],[Cajas Elaboradas]]</f>
        <v>2100</v>
      </c>
      <c r="X230" s="90">
        <f t="shared" si="47"/>
        <v>32846.153846153844</v>
      </c>
      <c r="Y230" s="91">
        <f>IF('CAJAS ELABORADAS'!$X230&lt;'DATOS PARA CALCULO'!$D$27,'DATOS PARA CALCULO'!$D$27,'CAJAS ELABORADAS'!$X230)</f>
        <v>32846.153846153844</v>
      </c>
      <c r="Z230" s="92">
        <f>Tabla1[[#This Row],[VALOR  A PAGAR]]-Tabla1[[#This Row],[VALOR GANADO]]</f>
        <v>0</v>
      </c>
      <c r="AA230" s="64"/>
    </row>
    <row r="231" spans="3:27" ht="18.75" x14ac:dyDescent="0.25">
      <c r="C231" s="71">
        <v>44642</v>
      </c>
      <c r="D231" s="507">
        <f>YEAR(Tabla1[[#This Row],[FECHA]])</f>
        <v>2022</v>
      </c>
      <c r="E231" s="72">
        <f>_xlfn.ISOWEEKNUM(Tabla1[[#This Row],[FECHA]])</f>
        <v>12</v>
      </c>
      <c r="F231" s="72" t="s">
        <v>157</v>
      </c>
      <c r="G231" s="73" t="s">
        <v>31</v>
      </c>
      <c r="H231" s="74">
        <f>16.36*11</f>
        <v>179.95999999999998</v>
      </c>
      <c r="I231" s="72">
        <f>4.94*11</f>
        <v>54.34</v>
      </c>
      <c r="J231" s="72">
        <v>11</v>
      </c>
      <c r="K231" s="86"/>
      <c r="L231" s="87"/>
      <c r="M231" s="86">
        <f>+Tabla1[[#This Row],[Rasimos Cosechados]]-Tabla1[[#This Row],[Rasimos Prosesados]]</f>
        <v>0</v>
      </c>
      <c r="N231" s="88">
        <f>+Tabla1[[#This Row],[Rasimos Cosechados]]/Tabla1[[#This Row],[Cajas Elaboradas]]</f>
        <v>0</v>
      </c>
      <c r="O231" s="89">
        <f>+Tabla1[[#This Row],[Rasimos Prosesados]]/Tabla1[[#This Row],[Cajas Elaboradas]]</f>
        <v>0</v>
      </c>
      <c r="P231" s="81">
        <v>2100</v>
      </c>
      <c r="Q231" s="80">
        <f>IF(I231,'DATOS PARA CALCULO'!D$22,0)</f>
        <v>500</v>
      </c>
      <c r="R231" s="81">
        <f t="shared" si="44"/>
        <v>377915.99999999994</v>
      </c>
      <c r="S231" s="80">
        <f t="shared" si="45"/>
        <v>27170</v>
      </c>
      <c r="T231" s="81">
        <f t="shared" si="46"/>
        <v>405085.99999999994</v>
      </c>
      <c r="U231" s="80">
        <f>IF('CAJAS ELABORADAS'!$J231&gt;0,'CAJAS ELABORADAS'!$Y231*'CAJAS ELABORADAS'!$J231,0)</f>
        <v>405085.99999999994</v>
      </c>
      <c r="V231" s="82">
        <f>'CAJAS ELABORADAS'!$Y231/'DATOS PARA CALCULO'!$D$27</f>
        <v>1.2275333333333331</v>
      </c>
      <c r="W231" s="79">
        <f>(Tabla1[[#This Row],[Valor Pagado]]-Tabla1[[#This Row],[PRODUCIDO BOLSAS]])/Tabla1[[#This Row],[Cajas Elaboradas]]</f>
        <v>2100</v>
      </c>
      <c r="X231" s="90">
        <f t="shared" si="47"/>
        <v>36825.999999999993</v>
      </c>
      <c r="Y231" s="91">
        <f>IF('CAJAS ELABORADAS'!$X231&lt;'DATOS PARA CALCULO'!$D$27,'DATOS PARA CALCULO'!$D$27,'CAJAS ELABORADAS'!$X231)</f>
        <v>36825.999999999993</v>
      </c>
      <c r="Z231" s="92">
        <f>Tabla1[[#This Row],[VALOR  A PAGAR]]-Tabla1[[#This Row],[VALOR GANADO]]</f>
        <v>0</v>
      </c>
      <c r="AA231" s="64"/>
    </row>
    <row r="232" spans="3:27" ht="18.75" x14ac:dyDescent="0.25">
      <c r="C232" s="71">
        <v>44642</v>
      </c>
      <c r="D232" s="507">
        <f>YEAR(Tabla1[[#This Row],[FECHA]])</f>
        <v>2022</v>
      </c>
      <c r="E232" s="72">
        <f>_xlfn.ISOWEEKNUM(Tabla1[[#This Row],[FECHA]])</f>
        <v>12</v>
      </c>
      <c r="F232" s="72" t="s">
        <v>155</v>
      </c>
      <c r="G232" s="73" t="s">
        <v>28</v>
      </c>
      <c r="H232" s="74">
        <v>119</v>
      </c>
      <c r="I232" s="72">
        <f>4.8*6</f>
        <v>28.799999999999997</v>
      </c>
      <c r="J232" s="72">
        <v>6</v>
      </c>
      <c r="K232" s="75"/>
      <c r="L232" s="93"/>
      <c r="M232" s="75">
        <f>+Tabla1[[#This Row],[Rasimos Cosechados]]-Tabla1[[#This Row],[Rasimos Prosesados]]</f>
        <v>0</v>
      </c>
      <c r="N232" s="77">
        <f>+Tabla1[[#This Row],[Rasimos Cosechados]]/Tabla1[[#This Row],[Cajas Elaboradas]]</f>
        <v>0</v>
      </c>
      <c r="O232" s="78">
        <f>+Tabla1[[#This Row],[Rasimos Prosesados]]/Tabla1[[#This Row],[Cajas Elaboradas]]</f>
        <v>0</v>
      </c>
      <c r="P232" s="81">
        <f>IF(H232,'DATOS PARA CALCULO'!D$18,0)</f>
        <v>1500</v>
      </c>
      <c r="Q232" s="80">
        <f>IF(I232,'DATOS PARA CALCULO'!D$22,0)</f>
        <v>500</v>
      </c>
      <c r="R232" s="81">
        <f t="shared" si="44"/>
        <v>178500</v>
      </c>
      <c r="S232" s="80">
        <f t="shared" si="45"/>
        <v>14399.999999999998</v>
      </c>
      <c r="T232" s="81">
        <f t="shared" si="46"/>
        <v>192900</v>
      </c>
      <c r="U232" s="80">
        <f>IF('CAJAS ELABORADAS'!$J232&gt;0,'CAJAS ELABORADAS'!$Y232*'CAJAS ELABORADAS'!$J232,0)</f>
        <v>192900</v>
      </c>
      <c r="V232" s="82">
        <f>'CAJAS ELABORADAS'!$Y232/'DATOS PARA CALCULO'!$D$27</f>
        <v>1.0716666666666668</v>
      </c>
      <c r="W232" s="79">
        <f>(Tabla1[[#This Row],[Valor Pagado]]-Tabla1[[#This Row],[PRODUCIDO BOLSAS]])/Tabla1[[#This Row],[Cajas Elaboradas]]</f>
        <v>1500</v>
      </c>
      <c r="X232" s="83">
        <f t="shared" si="47"/>
        <v>32150</v>
      </c>
      <c r="Y232" s="84">
        <f>IF('CAJAS ELABORADAS'!$X232&lt;'DATOS PARA CALCULO'!$D$27,'DATOS PARA CALCULO'!$D$27,'CAJAS ELABORADAS'!$X232)</f>
        <v>32150</v>
      </c>
      <c r="Z232" s="94">
        <f>Tabla1[[#This Row],[VALOR  A PAGAR]]-Tabla1[[#This Row],[VALOR GANADO]]</f>
        <v>0</v>
      </c>
      <c r="AA232" s="64"/>
    </row>
    <row r="233" spans="3:27" ht="18.75" x14ac:dyDescent="0.25">
      <c r="C233" s="71">
        <v>44643</v>
      </c>
      <c r="D233" s="507">
        <f>YEAR(Tabla1[[#This Row],[FECHA]])</f>
        <v>2022</v>
      </c>
      <c r="E233" s="72">
        <f>_xlfn.ISOWEEKNUM(Tabla1[[#This Row],[FECHA]])</f>
        <v>12</v>
      </c>
      <c r="F233" s="57" t="s">
        <v>152</v>
      </c>
      <c r="G233" s="73" t="s">
        <v>29</v>
      </c>
      <c r="H233" s="74">
        <v>384</v>
      </c>
      <c r="I233" s="72"/>
      <c r="J233" s="72">
        <v>18</v>
      </c>
      <c r="K233" s="75"/>
      <c r="L233" s="93"/>
      <c r="M233" s="75">
        <f>+Tabla1[[#This Row],[Rasimos Cosechados]]-Tabla1[[#This Row],[Rasimos Prosesados]]</f>
        <v>0</v>
      </c>
      <c r="N233" s="77">
        <f>+Tabla1[[#This Row],[Rasimos Cosechados]]/Tabla1[[#This Row],[Cajas Elaboradas]]</f>
        <v>0</v>
      </c>
      <c r="O233" s="78">
        <f>+Tabla1[[#This Row],[Rasimos Prosesados]]/Tabla1[[#This Row],[Cajas Elaboradas]]</f>
        <v>0</v>
      </c>
      <c r="P233" s="66">
        <f>IF(H233,'DATOS PARA CALCULO'!D$18,0)</f>
        <v>1500</v>
      </c>
      <c r="Q233" s="65">
        <f>IF(I233,'DATOS PARA CALCULO'!D$22,0)</f>
        <v>0</v>
      </c>
      <c r="R233" s="66">
        <f t="shared" si="44"/>
        <v>576000</v>
      </c>
      <c r="S233" s="65">
        <f t="shared" si="45"/>
        <v>0</v>
      </c>
      <c r="T233" s="66">
        <f t="shared" si="46"/>
        <v>576000</v>
      </c>
      <c r="U233" s="65">
        <f>IF('CAJAS ELABORADAS'!$J233&gt;0,'CAJAS ELABORADAS'!$Y233*'CAJAS ELABORADAS'!$J233,0)</f>
        <v>576000</v>
      </c>
      <c r="V233" s="67">
        <f>'CAJAS ELABORADAS'!$Y233/'DATOS PARA CALCULO'!$D$27</f>
        <v>1.0666666666666667</v>
      </c>
      <c r="W233" s="64">
        <f>(Tabla1[[#This Row],[Valor Pagado]]-Tabla1[[#This Row],[PRODUCIDO BOLSAS]])/Tabla1[[#This Row],[Cajas Elaboradas]]</f>
        <v>1500</v>
      </c>
      <c r="X233" s="83">
        <f t="shared" si="47"/>
        <v>32000</v>
      </c>
      <c r="Y233" s="84">
        <f>IF('CAJAS ELABORADAS'!$X233&lt;'DATOS PARA CALCULO'!$D$27,'DATOS PARA CALCULO'!$D$27,'CAJAS ELABORADAS'!$X233)</f>
        <v>32000</v>
      </c>
      <c r="Z233" s="94">
        <f>Tabla1[[#This Row],[VALOR  A PAGAR]]-Tabla1[[#This Row],[VALOR GANADO]]</f>
        <v>0</v>
      </c>
      <c r="AA233" s="64"/>
    </row>
    <row r="234" spans="3:27" ht="18.75" x14ac:dyDescent="0.25">
      <c r="C234" s="71">
        <v>44643</v>
      </c>
      <c r="D234" s="507">
        <f>YEAR(Tabla1[[#This Row],[FECHA]])</f>
        <v>2022</v>
      </c>
      <c r="E234" s="72">
        <f>_xlfn.ISOWEEKNUM(Tabla1[[#This Row],[FECHA]])</f>
        <v>12</v>
      </c>
      <c r="F234" s="57" t="s">
        <v>153</v>
      </c>
      <c r="G234" s="73" t="s">
        <v>30</v>
      </c>
      <c r="H234" s="74">
        <v>123</v>
      </c>
      <c r="I234" s="72">
        <f>5.1*7</f>
        <v>35.699999999999996</v>
      </c>
      <c r="J234" s="72">
        <v>7</v>
      </c>
      <c r="K234" s="86"/>
      <c r="L234" s="87"/>
      <c r="M234" s="86">
        <f>+Tabla1[[#This Row],[Rasimos Cosechados]]-Tabla1[[#This Row],[Rasimos Prosesados]]</f>
        <v>0</v>
      </c>
      <c r="N234" s="88">
        <f>+Tabla1[[#This Row],[Rasimos Cosechados]]/Tabla1[[#This Row],[Cajas Elaboradas]]</f>
        <v>0</v>
      </c>
      <c r="O234" s="89">
        <f>+Tabla1[[#This Row],[Rasimos Prosesados]]/Tabla1[[#This Row],[Cajas Elaboradas]]</f>
        <v>0</v>
      </c>
      <c r="P234" s="66">
        <f>IF(H234,'DATOS PARA CALCULO'!D$18,0)</f>
        <v>1500</v>
      </c>
      <c r="Q234" s="65">
        <f>IF(I234,'DATOS PARA CALCULO'!D$22,0)</f>
        <v>500</v>
      </c>
      <c r="R234" s="66">
        <f t="shared" si="44"/>
        <v>184500</v>
      </c>
      <c r="S234" s="65">
        <f t="shared" si="45"/>
        <v>17849.999999999996</v>
      </c>
      <c r="T234" s="66">
        <f t="shared" si="46"/>
        <v>202350</v>
      </c>
      <c r="U234" s="65">
        <f>IF('CAJAS ELABORADAS'!$J234&gt;0,'CAJAS ELABORADAS'!$Y234*'CAJAS ELABORADAS'!$J234,0)</f>
        <v>210000</v>
      </c>
      <c r="V234" s="67">
        <f>'CAJAS ELABORADAS'!$Y234/'DATOS PARA CALCULO'!$D$27</f>
        <v>1</v>
      </c>
      <c r="W234" s="64">
        <f>(Tabla1[[#This Row],[Valor Pagado]]-Tabla1[[#This Row],[PRODUCIDO BOLSAS]])/Tabla1[[#This Row],[Cajas Elaboradas]]</f>
        <v>1562.1951219512196</v>
      </c>
      <c r="X234" s="90">
        <f t="shared" si="47"/>
        <v>28907.142857142859</v>
      </c>
      <c r="Y234" s="91">
        <f>IF('CAJAS ELABORADAS'!$X234&lt;'DATOS PARA CALCULO'!$D$27,'DATOS PARA CALCULO'!$D$27,'CAJAS ELABORADAS'!$X234)</f>
        <v>30000</v>
      </c>
      <c r="Z234" s="92">
        <f>Tabla1[[#This Row],[VALOR  A PAGAR]]-Tabla1[[#This Row],[VALOR GANADO]]</f>
        <v>1092.8571428571413</v>
      </c>
      <c r="AA234" s="64"/>
    </row>
    <row r="235" spans="3:27" x14ac:dyDescent="0.25">
      <c r="E235" s="72"/>
    </row>
  </sheetData>
  <phoneticPr fontId="3" type="noConversion"/>
  <printOptions horizontalCentered="1" verticalCentered="1"/>
  <pageMargins left="0.25" right="0.25" top="0.75" bottom="0.75" header="0.3" footer="0.3"/>
  <pageSetup paperSize="126" orientation="landscape" r:id="rId1"/>
  <ignoredErrors>
    <ignoredError sqref="P230 E235 P123" calculatedColumn="1"/>
  </ignoredErrors>
  <drawing r:id="rId2"/>
  <legacy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A3CB-ADC4-46C5-B651-DFE4972606DC}">
  <dimension ref="A1:BQ606"/>
  <sheetViews>
    <sheetView tabSelected="1" topLeftCell="B1" zoomScale="116" zoomScaleNormal="116" workbookViewId="0">
      <pane xSplit="7" ySplit="8" topLeftCell="I591" activePane="bottomRight" state="frozen"/>
      <selection activeCell="B1" sqref="B1"/>
      <selection pane="topRight" activeCell="G1" sqref="G1"/>
      <selection pane="bottomLeft" activeCell="B9" sqref="B9"/>
      <selection pane="bottomRight" activeCell="M608" sqref="M608"/>
    </sheetView>
  </sheetViews>
  <sheetFormatPr baseColWidth="10" defaultColWidth="11.42578125" defaultRowHeight="15" x14ac:dyDescent="0.25"/>
  <cols>
    <col min="1" max="2" width="11.42578125" style="250"/>
    <col min="3" max="3" width="36" style="250" customWidth="1"/>
    <col min="4" max="4" width="11" style="509" customWidth="1"/>
    <col min="5" max="5" width="8.140625" style="250" customWidth="1"/>
    <col min="6" max="6" width="7" style="250" customWidth="1"/>
    <col min="7" max="7" width="8.140625" style="250" customWidth="1"/>
    <col min="8" max="8" width="13" style="250" customWidth="1"/>
    <col min="9" max="10" width="7.85546875" style="250" customWidth="1"/>
    <col min="11" max="11" width="7" style="250" customWidth="1"/>
    <col min="12" max="12" width="9" style="250" customWidth="1"/>
    <col min="13" max="13" width="7" style="250" customWidth="1"/>
    <col min="14" max="15" width="7.140625" style="250" customWidth="1"/>
    <col min="16" max="16" width="10.5703125" style="250" customWidth="1"/>
    <col min="17" max="17" width="11.28515625" style="250" customWidth="1"/>
    <col min="18" max="18" width="10" style="250" customWidth="1"/>
    <col min="19" max="19" width="7.5703125" style="250" customWidth="1"/>
    <col min="20" max="20" width="7.140625" style="250" customWidth="1"/>
    <col min="21" max="21" width="10.5703125" style="250" customWidth="1"/>
    <col min="22" max="22" width="9.5703125" style="250" customWidth="1"/>
    <col min="23" max="23" width="11.5703125" style="250" customWidth="1"/>
    <col min="24" max="24" width="7.5703125" style="250" hidden="1" customWidth="1"/>
    <col min="25" max="25" width="10.28515625" style="250" hidden="1" customWidth="1"/>
    <col min="26" max="28" width="11.5703125" style="250" hidden="1" customWidth="1"/>
    <col min="29" max="29" width="17.28515625" style="250" customWidth="1"/>
    <col min="30" max="31" width="8.42578125" style="250" customWidth="1"/>
    <col min="32" max="32" width="10.85546875" style="250" customWidth="1"/>
    <col min="33" max="33" width="8.42578125" style="250" customWidth="1"/>
    <col min="34" max="35" width="10.5703125" style="250" customWidth="1"/>
    <col min="36" max="36" width="11.42578125" style="250" customWidth="1"/>
    <col min="37" max="37" width="11.42578125" style="250"/>
    <col min="38" max="40" width="11.42578125" style="250" customWidth="1"/>
    <col min="41" max="41" width="11.42578125" style="250"/>
    <col min="42" max="48" width="11.42578125" style="250" customWidth="1"/>
    <col min="49" max="49" width="11.42578125" style="250"/>
    <col min="50" max="52" width="11.42578125" style="250" customWidth="1"/>
    <col min="53" max="53" width="13.7109375" style="250" customWidth="1"/>
    <col min="54" max="54" width="11.42578125" style="250"/>
    <col min="55" max="55" width="11.85546875" style="332" customWidth="1"/>
    <col min="56" max="61" width="11.42578125" style="250"/>
    <col min="62" max="63" width="11.42578125" style="330"/>
    <col min="64" max="64" width="12.7109375" style="330" customWidth="1"/>
    <col min="65" max="65" width="13.140625" style="330" bestFit="1" customWidth="1"/>
    <col min="66" max="69" width="11.42578125" style="333"/>
    <col min="70" max="16384" width="11.42578125" style="250"/>
  </cols>
  <sheetData>
    <row r="1" spans="3:65" x14ac:dyDescent="0.25">
      <c r="D1" s="506"/>
    </row>
    <row r="2" spans="3:65" x14ac:dyDescent="0.25">
      <c r="D2" s="506"/>
    </row>
    <row r="3" spans="3:65" x14ac:dyDescent="0.25">
      <c r="D3" s="506"/>
      <c r="W3" s="250" t="s">
        <v>271</v>
      </c>
    </row>
    <row r="4" spans="3:65" x14ac:dyDescent="0.25">
      <c r="D4" s="506"/>
    </row>
    <row r="5" spans="3:65" x14ac:dyDescent="0.25">
      <c r="D5" s="506"/>
    </row>
    <row r="6" spans="3:65" ht="15.75" thickBot="1" x14ac:dyDescent="0.3">
      <c r="D6" s="506"/>
      <c r="AK6" s="250" t="s">
        <v>188</v>
      </c>
      <c r="AO6" s="250" t="s">
        <v>189</v>
      </c>
      <c r="AS6" s="250" t="s">
        <v>190</v>
      </c>
      <c r="AW6" s="250" t="s">
        <v>191</v>
      </c>
    </row>
    <row r="7" spans="3:65" ht="18" customHeight="1" x14ac:dyDescent="0.25">
      <c r="C7" s="575"/>
      <c r="D7" s="576"/>
      <c r="E7" s="577"/>
      <c r="F7" s="575"/>
      <c r="G7" s="578"/>
      <c r="H7" s="578"/>
      <c r="I7" s="578"/>
      <c r="J7" s="578"/>
      <c r="K7" s="578"/>
      <c r="L7" s="578"/>
      <c r="M7" s="579"/>
      <c r="N7" s="563" t="s">
        <v>125</v>
      </c>
      <c r="O7" s="564"/>
      <c r="P7" s="564"/>
      <c r="Q7" s="564"/>
      <c r="R7" s="565"/>
      <c r="S7" s="566" t="s">
        <v>126</v>
      </c>
      <c r="T7" s="567"/>
      <c r="U7" s="567"/>
      <c r="V7" s="567"/>
      <c r="W7" s="568"/>
      <c r="X7" s="580" t="s">
        <v>170</v>
      </c>
      <c r="Y7" s="581"/>
      <c r="Z7" s="581"/>
      <c r="AA7" s="581"/>
      <c r="AB7" s="582"/>
      <c r="AC7" s="569" t="s">
        <v>127</v>
      </c>
      <c r="AD7" s="570"/>
      <c r="AE7" s="570"/>
      <c r="AF7" s="570"/>
      <c r="AG7" s="570"/>
      <c r="AH7" s="570"/>
      <c r="AI7" s="570"/>
      <c r="AJ7" s="571"/>
      <c r="AK7" s="560" t="s">
        <v>135</v>
      </c>
      <c r="AL7" s="561"/>
      <c r="AM7" s="561"/>
      <c r="AN7" s="562"/>
      <c r="AO7" s="560" t="s">
        <v>177</v>
      </c>
      <c r="AP7" s="561"/>
      <c r="AQ7" s="561"/>
      <c r="AR7" s="562"/>
      <c r="AS7" s="560" t="s">
        <v>178</v>
      </c>
      <c r="AT7" s="561"/>
      <c r="AU7" s="561"/>
      <c r="AV7" s="562"/>
      <c r="AW7" s="572" t="s">
        <v>127</v>
      </c>
      <c r="AX7" s="573"/>
      <c r="AY7" s="573"/>
      <c r="AZ7" s="574"/>
      <c r="BA7" s="298"/>
    </row>
    <row r="8" spans="3:65" ht="48" x14ac:dyDescent="0.25">
      <c r="C8" s="241" t="s">
        <v>128</v>
      </c>
      <c r="D8" s="505" t="s">
        <v>255</v>
      </c>
      <c r="E8" s="306" t="s">
        <v>129</v>
      </c>
      <c r="F8" s="244" t="s">
        <v>131</v>
      </c>
      <c r="G8" s="261" t="s">
        <v>149</v>
      </c>
      <c r="H8" s="242" t="s">
        <v>130</v>
      </c>
      <c r="I8" s="243" t="s">
        <v>132</v>
      </c>
      <c r="J8" s="243" t="s">
        <v>173</v>
      </c>
      <c r="K8" s="261" t="s">
        <v>144</v>
      </c>
      <c r="L8" s="243" t="s">
        <v>133</v>
      </c>
      <c r="M8" s="245" t="s">
        <v>134</v>
      </c>
      <c r="N8" s="244" t="s">
        <v>166</v>
      </c>
      <c r="O8" s="243" t="s">
        <v>164</v>
      </c>
      <c r="P8" s="243" t="s">
        <v>145</v>
      </c>
      <c r="Q8" s="243" t="s">
        <v>136</v>
      </c>
      <c r="R8" s="245" t="s">
        <v>147</v>
      </c>
      <c r="S8" s="244" t="s">
        <v>165</v>
      </c>
      <c r="T8" s="243" t="s">
        <v>167</v>
      </c>
      <c r="U8" s="243" t="s">
        <v>168</v>
      </c>
      <c r="V8" s="243" t="s">
        <v>169</v>
      </c>
      <c r="W8" s="245" t="s">
        <v>146</v>
      </c>
      <c r="X8" s="244" t="s">
        <v>171</v>
      </c>
      <c r="Y8" s="243" t="s">
        <v>172</v>
      </c>
      <c r="Z8" s="243" t="s">
        <v>27</v>
      </c>
      <c r="AA8" s="243" t="s">
        <v>26</v>
      </c>
      <c r="AB8" s="245" t="s">
        <v>25</v>
      </c>
      <c r="AC8" s="244" t="s">
        <v>137</v>
      </c>
      <c r="AD8" s="243" t="s">
        <v>138</v>
      </c>
      <c r="AE8" s="243" t="s">
        <v>139</v>
      </c>
      <c r="AF8" s="243" t="s">
        <v>140</v>
      </c>
      <c r="AG8" s="243" t="s">
        <v>141</v>
      </c>
      <c r="AH8" s="243" t="s">
        <v>142</v>
      </c>
      <c r="AI8" s="243" t="s">
        <v>143</v>
      </c>
      <c r="AJ8" s="245" t="s">
        <v>148</v>
      </c>
      <c r="AK8" s="244" t="s">
        <v>160</v>
      </c>
      <c r="AL8" s="243" t="s">
        <v>159</v>
      </c>
      <c r="AM8" s="243" t="s">
        <v>185</v>
      </c>
      <c r="AN8" s="245" t="s">
        <v>186</v>
      </c>
      <c r="AO8" s="244" t="s">
        <v>162</v>
      </c>
      <c r="AP8" s="243" t="s">
        <v>161</v>
      </c>
      <c r="AQ8" s="243" t="s">
        <v>184</v>
      </c>
      <c r="AR8" s="245" t="s">
        <v>187</v>
      </c>
      <c r="AS8" s="244" t="s">
        <v>175</v>
      </c>
      <c r="AT8" s="243" t="s">
        <v>176</v>
      </c>
      <c r="AU8" s="243" t="s">
        <v>181</v>
      </c>
      <c r="AV8" s="245" t="s">
        <v>183</v>
      </c>
      <c r="AW8" s="244" t="s">
        <v>127</v>
      </c>
      <c r="AX8" s="243" t="s">
        <v>163</v>
      </c>
      <c r="AY8" s="243" t="s">
        <v>182</v>
      </c>
      <c r="AZ8" s="245" t="s">
        <v>179</v>
      </c>
      <c r="BA8" s="299" t="s">
        <v>180</v>
      </c>
      <c r="BB8" s="312" t="s">
        <v>23</v>
      </c>
      <c r="BC8" s="332" t="s">
        <v>206</v>
      </c>
      <c r="BD8" s="312" t="s">
        <v>201</v>
      </c>
      <c r="BE8" s="312" t="s">
        <v>195</v>
      </c>
      <c r="BF8" s="312" t="s">
        <v>196</v>
      </c>
      <c r="BG8" s="312" t="s">
        <v>202</v>
      </c>
      <c r="BH8" s="312" t="s">
        <v>203</v>
      </c>
      <c r="BI8" s="312" t="s">
        <v>204</v>
      </c>
      <c r="BJ8" s="339" t="s">
        <v>205</v>
      </c>
      <c r="BK8" s="339" t="s">
        <v>210</v>
      </c>
      <c r="BL8" s="339" t="s">
        <v>212</v>
      </c>
      <c r="BM8" s="339" t="s">
        <v>269</v>
      </c>
    </row>
    <row r="9" spans="3:65" hidden="1" x14ac:dyDescent="0.25">
      <c r="C9" s="56">
        <v>44558</v>
      </c>
      <c r="D9" s="507">
        <f>YEAR(Tabla14[[#This Row],[Fecha]])</f>
        <v>2021</v>
      </c>
      <c r="E9" s="306">
        <f>IF(Tabla14[[#This Row],[Fecha]]&gt;0,_xlfn.ISOWEEKNUM(Tabla14[[#This Row],[Fecha]]),0)</f>
        <v>52</v>
      </c>
      <c r="F9" s="59">
        <v>312</v>
      </c>
      <c r="G9" s="268" t="s">
        <v>152</v>
      </c>
      <c r="H9" s="293" t="str">
        <f>_xlfn.XLOOKUP(Tabla14[[#This Row],[Codigo Finca]],Tabla4[Codigo Finca],Tabla4[Nombre Finca],"")</f>
        <v>San Pedro</v>
      </c>
      <c r="I9" s="262">
        <f>_xlfn.XLOOKUP(Tabla14[[#This Row],[Codigo Finca]],Tabla4[Codigo Finca],Tabla4[Precio Caja],0)</f>
        <v>1500</v>
      </c>
      <c r="J9" s="262">
        <f>_xlfn.XLOOKUP(Tabla14[[#This Row],[Codigo Finca]],Tabla4[Codigo Finca],Tabla4[Precio Caja Segunda],0)</f>
        <v>1000</v>
      </c>
      <c r="K9" s="262">
        <f>_xlfn.XLOOKUP(Tabla14[[#This Row],[Codigo Finca]],Tabla4[Codigo Finca],Tabla4[Precio Rechazo],0)</f>
        <v>500</v>
      </c>
      <c r="L9" s="262">
        <f t="shared" ref="L9:L38" si="0">S9+N9</f>
        <v>978</v>
      </c>
      <c r="M9" s="272">
        <f t="shared" ref="M9:M38" si="1">IF(F9&gt;0,L9/F9,0)</f>
        <v>3.1346153846153846</v>
      </c>
      <c r="N9" s="269"/>
      <c r="O9" s="270"/>
      <c r="P9" s="251">
        <f t="shared" ref="P9:P38" si="2">IF(N9&gt;0,(N9/M9)/2,0)</f>
        <v>0</v>
      </c>
      <c r="Q9" s="263">
        <f t="shared" ref="Q9:Q38" si="3">IF(O9&gt;0,P9/O9,0)</f>
        <v>0</v>
      </c>
      <c r="R9" s="265">
        <f t="shared" ref="R9:R38" si="4">IF(I9&gt;0,Q9*I9,)</f>
        <v>0</v>
      </c>
      <c r="S9" s="269">
        <v>978</v>
      </c>
      <c r="T9" s="268">
        <v>15</v>
      </c>
      <c r="U9" s="251">
        <f t="shared" ref="U9:U38" si="5">F9-P9</f>
        <v>312</v>
      </c>
      <c r="V9" s="263">
        <f t="shared" ref="V9:V38" si="6">IF(T9&gt;0,U9/T9,0)</f>
        <v>20.8</v>
      </c>
      <c r="W9" s="265">
        <f t="shared" ref="W9:W38" si="7">IF(T9&gt;0,(U9*I9)/T9,0)</f>
        <v>31200</v>
      </c>
      <c r="X9" s="269"/>
      <c r="Y9" s="268"/>
      <c r="Z9" s="251">
        <f>Tabla14[[#This Row],[Cajas Segunda]]</f>
        <v>0</v>
      </c>
      <c r="AA9" s="263">
        <f t="shared" ref="AA9:AA38" si="8">IF(Y9&gt;0,Z9/Y9,0)</f>
        <v>0</v>
      </c>
      <c r="AB9" s="265">
        <f t="shared" ref="AB9:AB38" si="9">IF(Y9&gt;0,(Z9*J9)/Y9,0)</f>
        <v>0</v>
      </c>
      <c r="AC9" s="273">
        <v>20.399999999999999</v>
      </c>
      <c r="AD9" s="271"/>
      <c r="AE9" s="271"/>
      <c r="AF9" s="271"/>
      <c r="AG9" s="271">
        <v>15</v>
      </c>
      <c r="AH9" s="251">
        <f t="shared" ref="AH9:AH38" si="10">IF(AND(AC9&gt;0,AE9=0,AF9=0,AD9=0),AC9,IF(AND(AC9=0,AE9&gt;0,AF9&gt;0,AD9=0),AE9*AF9/25,IF(AND(AC9=0,AE9=0,AF9=0,AD9&gt;0),AD9/25,0)))</f>
        <v>20.399999999999999</v>
      </c>
      <c r="AI9" s="263">
        <f t="shared" ref="AI9:AI38" si="11">IF(AG9&gt;0,AH9/AG9,0)</f>
        <v>1.3599999999999999</v>
      </c>
      <c r="AJ9" s="265">
        <f t="shared" ref="AJ9:AJ38" si="12">AI9*K9</f>
        <v>679.99999999999989</v>
      </c>
      <c r="AK9" s="264">
        <f>Tabla14[[#This Row],[Cajas por Personas]]</f>
        <v>0</v>
      </c>
      <c r="AL9" s="267">
        <f>Tabla14[[#This Row],[Valor Precorte Pesona]]</f>
        <v>0</v>
      </c>
      <c r="AM9" s="267">
        <f>Tabla14[[#This Row],[Personas Precorte]]</f>
        <v>0</v>
      </c>
      <c r="AN9" s="289">
        <f>Tabla14[[#This Row],[Valor Precorte Pesona Precorte]]*Tabla14[[#This Row],[Perzonas Precorte]]</f>
        <v>0</v>
      </c>
      <c r="AO9" s="264">
        <f>Tabla14[[#This Row],[Cajas por Personas2]]</f>
        <v>20.8</v>
      </c>
      <c r="AP9" s="267">
        <f>Tabla14[[#This Row],[Valor Embarque Pesona]]</f>
        <v>31200</v>
      </c>
      <c r="AQ9" s="291">
        <f>Tabla14[[#This Row],[Personas Precorte2]]</f>
        <v>15</v>
      </c>
      <c r="AR9" s="289">
        <f>Tabla14[[#This Row],[Valor Embarque Pesona3]]*Tabla14[[#This Row],[Perzona Primera]]</f>
        <v>468000</v>
      </c>
      <c r="AS9" s="264">
        <f>Tabla14[[#This Row],[Columna2]]</f>
        <v>0</v>
      </c>
      <c r="AT9" s="267">
        <f>Tabla14[[#This Row],[Columna1]]</f>
        <v>0</v>
      </c>
      <c r="AU9" s="291">
        <f>Tabla14[[#This Row],[Personas Intervienen]]</f>
        <v>0</v>
      </c>
      <c r="AV9" s="289">
        <f>Tabla14[[#This Row],[Valor Embarque Pesona5]]*Tabla14[[#This Row],[Presonas Segunda]]</f>
        <v>0</v>
      </c>
      <c r="AW9" s="264">
        <f>Tabla14[[#This Row],[Bolsas Por Personas]]</f>
        <v>1.3599999999999999</v>
      </c>
      <c r="AX9" s="267">
        <f>Tabla14[[#This Row],[Valor bolsas Pesona]]</f>
        <v>679.99999999999989</v>
      </c>
      <c r="AY9" s="290">
        <f>Tabla14[[#This Row],[Personas13]]</f>
        <v>15</v>
      </c>
      <c r="AZ9" s="301">
        <f>Tabla14[[#This Row],[Valor bolsas Pesona2]]*Tabla14[[#This Row],[Personas Rechazo]]</f>
        <v>10199.999999999998</v>
      </c>
      <c r="BA9" s="300">
        <f>+Tabla14[[#This Row],[Total Valor Segunda]]+Tabla14[[#This Row],[Total Valor Primera]]+Tabla14[[#This Row],[Total Valor Precorte]]</f>
        <v>468000</v>
      </c>
      <c r="BB9" s="292">
        <f>Tabla14[[#This Row],[Valor bolsas Pesona2]]+Tabla14[[#This Row],[Valor Embarque Pesona3]]</f>
        <v>31880</v>
      </c>
      <c r="BD9" s="292">
        <f>Tabla14[[#This Row],[VALOR GANADO]]-Tabla14[[#This Row],[REAJUSTADO]]</f>
        <v>31880</v>
      </c>
      <c r="BE9" s="250">
        <f>Tabla14[[#This Row],[CUANTO SE REAJUSTA]]*Tabla14[[#This Row],[Personas Rechazo]]</f>
        <v>478200</v>
      </c>
      <c r="BF9" s="250">
        <f>Tabla14[[#This Row],[REAJUSTADO]]/25000</f>
        <v>0</v>
      </c>
      <c r="BG9" s="302">
        <f>Tabla14[[#This Row],[REAJUSTADO]]*Tabla14[[#This Row],[Personas Rechazo]]</f>
        <v>0</v>
      </c>
      <c r="BH9" s="292" t="str">
        <f>Tabla14[[#This Row],[Finca]]</f>
        <v>San Pedro</v>
      </c>
      <c r="BJ9" s="330">
        <f>Tabla14[[#This Row],[Numero de Ocacionales]]*Tabla14[[#This Row],[REAJUSTADO]]</f>
        <v>0</v>
      </c>
      <c r="BM9" s="330">
        <f>+Tabla14[[#This Row],[CUANTO SE REAJUSTA]]*3</f>
        <v>95640</v>
      </c>
    </row>
    <row r="10" spans="3:65" hidden="1" x14ac:dyDescent="0.25">
      <c r="C10" s="71">
        <v>44558</v>
      </c>
      <c r="D10" s="507">
        <f>YEAR(Tabla14[[#This Row],[Fecha]])</f>
        <v>2021</v>
      </c>
      <c r="E10" s="307">
        <f>IF(Tabla14[[#This Row],[Fecha]]&gt;0,_xlfn.ISOWEEKNUM(Tabla14[[#This Row],[Fecha]]),0)</f>
        <v>52</v>
      </c>
      <c r="F10" s="74">
        <v>80</v>
      </c>
      <c r="G10" s="275" t="s">
        <v>153</v>
      </c>
      <c r="H10" s="276" t="str">
        <f>_xlfn.XLOOKUP(Tabla14[[#This Row],[Codigo Finca]],Tabla4[Codigo Finca],Tabla4[Nombre Finca],"")</f>
        <v>Uveros</v>
      </c>
      <c r="I10" s="277">
        <f>_xlfn.XLOOKUP(Tabla14[[#This Row],[Codigo Finca]],Tabla4[Codigo Finca],Tabla4[Precio Caja],0)</f>
        <v>1500</v>
      </c>
      <c r="J10" s="277">
        <f>_xlfn.XLOOKUP(Tabla14[[#This Row],[Codigo Finca]],Tabla4[Codigo Finca],Tabla4[Precio Caja Segunda],0)</f>
        <v>1000</v>
      </c>
      <c r="K10" s="277">
        <f>_xlfn.XLOOKUP(Tabla14[[#This Row],[Codigo Finca]],Tabla4[Codigo Finca],Tabla4[Precio Rechazo],0)</f>
        <v>500</v>
      </c>
      <c r="L10" s="277">
        <f t="shared" si="0"/>
        <v>331</v>
      </c>
      <c r="M10" s="278">
        <f t="shared" si="1"/>
        <v>4.1375000000000002</v>
      </c>
      <c r="N10" s="283"/>
      <c r="O10" s="279"/>
      <c r="P10" s="280">
        <f t="shared" si="2"/>
        <v>0</v>
      </c>
      <c r="Q10" s="281">
        <f t="shared" si="3"/>
        <v>0</v>
      </c>
      <c r="R10" s="284">
        <f t="shared" si="4"/>
        <v>0</v>
      </c>
      <c r="S10" s="283">
        <v>331</v>
      </c>
      <c r="T10" s="275">
        <v>4</v>
      </c>
      <c r="U10" s="280">
        <f t="shared" si="5"/>
        <v>80</v>
      </c>
      <c r="V10" s="281">
        <f t="shared" si="6"/>
        <v>20</v>
      </c>
      <c r="W10" s="284">
        <f t="shared" si="7"/>
        <v>30000</v>
      </c>
      <c r="X10" s="283"/>
      <c r="Y10" s="275"/>
      <c r="Z10" s="280">
        <f>Tabla14[[#This Row],[Cajas Segunda]]</f>
        <v>0</v>
      </c>
      <c r="AA10" s="281">
        <f t="shared" si="8"/>
        <v>0</v>
      </c>
      <c r="AB10" s="284">
        <f t="shared" si="9"/>
        <v>0</v>
      </c>
      <c r="AC10" s="285">
        <v>10.199999999999999</v>
      </c>
      <c r="AD10" s="286"/>
      <c r="AE10" s="286"/>
      <c r="AF10" s="286"/>
      <c r="AG10" s="286">
        <v>4</v>
      </c>
      <c r="AH10" s="280">
        <f t="shared" si="10"/>
        <v>10.199999999999999</v>
      </c>
      <c r="AI10" s="281">
        <f t="shared" si="11"/>
        <v>2.5499999999999998</v>
      </c>
      <c r="AJ10" s="284">
        <f t="shared" si="12"/>
        <v>1275</v>
      </c>
      <c r="AK10" s="287">
        <f>Tabla14[[#This Row],[Cajas por Personas]]</f>
        <v>0</v>
      </c>
      <c r="AL10" s="288">
        <f>Tabla14[[#This Row],[Valor Precorte Pesona]]</f>
        <v>0</v>
      </c>
      <c r="AM10" s="316">
        <f>Tabla14[[#This Row],[Personas Precorte]]</f>
        <v>0</v>
      </c>
      <c r="AN10" s="317">
        <f>Tabla14[[#This Row],[Valor Precorte Pesona Precorte]]*Tabla14[[#This Row],[Perzonas Precorte]]</f>
        <v>0</v>
      </c>
      <c r="AO10" s="287">
        <f>Tabla14[[#This Row],[Cajas por Personas2]]</f>
        <v>20</v>
      </c>
      <c r="AP10" s="288">
        <f>Tabla14[[#This Row],[Valor Embarque Pesona]]</f>
        <v>30000</v>
      </c>
      <c r="AQ10" s="318">
        <f>Tabla14[[#This Row],[Personas Precorte2]]</f>
        <v>4</v>
      </c>
      <c r="AR10" s="317">
        <f>Tabla14[[#This Row],[Valor Embarque Pesona3]]*Tabla14[[#This Row],[Perzona Primera]]</f>
        <v>120000</v>
      </c>
      <c r="AS10" s="287">
        <f>Tabla14[[#This Row],[Columna2]]</f>
        <v>0</v>
      </c>
      <c r="AT10" s="288">
        <f>Tabla14[[#This Row],[Columna1]]</f>
        <v>0</v>
      </c>
      <c r="AU10" s="318">
        <f>Tabla14[[#This Row],[Personas Intervienen]]</f>
        <v>0</v>
      </c>
      <c r="AV10" s="319">
        <f>Tabla14[[#This Row],[Valor Embarque Pesona5]]*Tabla14[[#This Row],[Presonas Segunda]]</f>
        <v>0</v>
      </c>
      <c r="AW10" s="264">
        <f>Tabla14[[#This Row],[Bolsas Por Personas]]</f>
        <v>2.5499999999999998</v>
      </c>
      <c r="AX10" s="267">
        <f>Tabla14[[#This Row],[Valor bolsas Pesona]]</f>
        <v>1275</v>
      </c>
      <c r="AY10" s="290">
        <f>Tabla14[[#This Row],[Personas13]]</f>
        <v>4</v>
      </c>
      <c r="AZ10" s="301">
        <f>Tabla14[[#This Row],[Valor bolsas Pesona2]]*Tabla14[[#This Row],[Personas Rechazo]]</f>
        <v>5100</v>
      </c>
      <c r="BA10" s="300">
        <f>+Tabla14[[#This Row],[Total Valor Segunda]]+Tabla14[[#This Row],[Total Valor Primera]]+Tabla14[[#This Row],[Total Valor Precorte]]</f>
        <v>120000</v>
      </c>
      <c r="BB10" s="292">
        <f>Tabla14[[#This Row],[Valor bolsas Pesona2]]+Tabla14[[#This Row],[Valor Embarque Pesona3]]</f>
        <v>31275</v>
      </c>
      <c r="BD10" s="292">
        <f>Tabla14[[#This Row],[VALOR GANADO]]-Tabla14[[#This Row],[REAJUSTADO]]</f>
        <v>31275</v>
      </c>
      <c r="BE10" s="250">
        <f>Tabla14[[#This Row],[CUANTO SE REAJUSTA]]*Tabla14[[#This Row],[Personas Rechazo]]</f>
        <v>125100</v>
      </c>
      <c r="BF10" s="250">
        <f>Tabla14[[#This Row],[REAJUSTADO]]/25000</f>
        <v>0</v>
      </c>
      <c r="BG10" s="302">
        <f>Tabla14[[#This Row],[REAJUSTADO]]*Tabla14[[#This Row],[Personas Rechazo]]</f>
        <v>0</v>
      </c>
      <c r="BH10" s="292" t="str">
        <f>Tabla14[[#This Row],[Finca]]</f>
        <v>Uveros</v>
      </c>
      <c r="BJ10" s="330">
        <f>Tabla14[[#This Row],[Numero de Ocacionales]]*Tabla14[[#This Row],[REAJUSTADO]]</f>
        <v>0</v>
      </c>
      <c r="BM10" s="330">
        <f>+Tabla14[[#This Row],[CUANTO SE REAJUSTA]]*3</f>
        <v>93825</v>
      </c>
    </row>
    <row r="11" spans="3:65" hidden="1" x14ac:dyDescent="0.25">
      <c r="C11" s="71">
        <v>44559</v>
      </c>
      <c r="D11" s="507">
        <f>YEAR(Tabla14[[#This Row],[Fecha]])</f>
        <v>2021</v>
      </c>
      <c r="E11" s="306">
        <f>IF(Tabla14[[#This Row],[Fecha]]&gt;0,_xlfn.ISOWEEKNUM(Tabla14[[#This Row],[Fecha]]),0)</f>
        <v>52</v>
      </c>
      <c r="F11" s="74">
        <v>221</v>
      </c>
      <c r="G11" s="268" t="s">
        <v>152</v>
      </c>
      <c r="H11" s="293" t="str">
        <f>_xlfn.XLOOKUP(Tabla14[[#This Row],[Codigo Finca]],Tabla4[Codigo Finca],Tabla4[Nombre Finca],"")</f>
        <v>San Pedro</v>
      </c>
      <c r="I11" s="262">
        <f>_xlfn.XLOOKUP(Tabla14[[#This Row],[Codigo Finca]],Tabla4[Codigo Finca],Tabla4[Precio Caja],0)</f>
        <v>1500</v>
      </c>
      <c r="J11" s="262">
        <f>_xlfn.XLOOKUP(Tabla14[[#This Row],[Codigo Finca]],Tabla4[Codigo Finca],Tabla4[Precio Caja Segunda],0)</f>
        <v>1000</v>
      </c>
      <c r="K11" s="262">
        <f>_xlfn.XLOOKUP(Tabla14[[#This Row],[Codigo Finca]],Tabla4[Codigo Finca],Tabla4[Precio Rechazo],0)</f>
        <v>500</v>
      </c>
      <c r="L11" s="262">
        <f t="shared" si="0"/>
        <v>978</v>
      </c>
      <c r="M11" s="272">
        <f t="shared" si="1"/>
        <v>4.4253393665158374</v>
      </c>
      <c r="N11" s="269"/>
      <c r="O11" s="270"/>
      <c r="P11" s="251">
        <f t="shared" si="2"/>
        <v>0</v>
      </c>
      <c r="Q11" s="263">
        <f t="shared" si="3"/>
        <v>0</v>
      </c>
      <c r="R11" s="265">
        <f t="shared" si="4"/>
        <v>0</v>
      </c>
      <c r="S11" s="269">
        <v>978</v>
      </c>
      <c r="T11" s="268">
        <v>12</v>
      </c>
      <c r="U11" s="251">
        <f t="shared" si="5"/>
        <v>221</v>
      </c>
      <c r="V11" s="263">
        <f t="shared" si="6"/>
        <v>18.416666666666668</v>
      </c>
      <c r="W11" s="265">
        <f t="shared" si="7"/>
        <v>27625</v>
      </c>
      <c r="X11" s="269"/>
      <c r="Y11" s="268"/>
      <c r="Z11" s="251">
        <f>Tabla14[[#This Row],[Cajas Segunda]]</f>
        <v>0</v>
      </c>
      <c r="AA11" s="263">
        <f t="shared" si="8"/>
        <v>0</v>
      </c>
      <c r="AB11" s="265">
        <f t="shared" si="9"/>
        <v>0</v>
      </c>
      <c r="AC11" s="273">
        <v>6</v>
      </c>
      <c r="AD11" s="271"/>
      <c r="AE11" s="271"/>
      <c r="AF11" s="271"/>
      <c r="AG11" s="271">
        <v>12</v>
      </c>
      <c r="AH11" s="251">
        <f t="shared" si="10"/>
        <v>6</v>
      </c>
      <c r="AI11" s="263">
        <f t="shared" si="11"/>
        <v>0.5</v>
      </c>
      <c r="AJ11" s="265">
        <f t="shared" si="12"/>
        <v>250</v>
      </c>
      <c r="AK11" s="264">
        <f>Tabla14[[#This Row],[Cajas por Personas]]</f>
        <v>0</v>
      </c>
      <c r="AL11" s="267">
        <f>Tabla14[[#This Row],[Valor Precorte Pesona]]</f>
        <v>0</v>
      </c>
      <c r="AM11" s="294">
        <f>Tabla14[[#This Row],[Personas Precorte]]</f>
        <v>0</v>
      </c>
      <c r="AN11" s="305">
        <f>Tabla14[[#This Row],[Valor Precorte Pesona Precorte]]*Tabla14[[#This Row],[Perzonas Precorte]]</f>
        <v>0</v>
      </c>
      <c r="AO11" s="264">
        <f>Tabla14[[#This Row],[Cajas por Personas2]]</f>
        <v>18.416666666666668</v>
      </c>
      <c r="AP11" s="267">
        <f>Tabla14[[#This Row],[Valor Embarque Pesona]]</f>
        <v>27625</v>
      </c>
      <c r="AQ11" s="295">
        <f>Tabla14[[#This Row],[Personas Precorte2]]</f>
        <v>12</v>
      </c>
      <c r="AR11" s="304">
        <f>Tabla14[[#This Row],[Valor Embarque Pesona3]]*Tabla14[[#This Row],[Perzona Primera]]</f>
        <v>331500</v>
      </c>
      <c r="AS11" s="264">
        <f>Tabla14[[#This Row],[Columna2]]</f>
        <v>0</v>
      </c>
      <c r="AT11" s="267">
        <f>Tabla14[[#This Row],[Columna1]]</f>
        <v>0</v>
      </c>
      <c r="AU11" s="302">
        <f>Tabla14[[#This Row],[Personas Intervienen]]</f>
        <v>0</v>
      </c>
      <c r="AV11" s="303">
        <f>Tabla14[[#This Row],[Valor Embarque Pesona5]]*Tabla14[[#This Row],[Presonas Segunda]]</f>
        <v>0</v>
      </c>
      <c r="AW11" s="264">
        <f>Tabla14[[#This Row],[Bolsas Por Personas]]</f>
        <v>0.5</v>
      </c>
      <c r="AX11" s="267">
        <f>Tabla14[[#This Row],[Valor bolsas Pesona]]</f>
        <v>250</v>
      </c>
      <c r="AY11" s="290">
        <f>Tabla14[[#This Row],[Personas13]]</f>
        <v>12</v>
      </c>
      <c r="AZ11" s="301">
        <f>Tabla14[[#This Row],[Valor bolsas Pesona2]]*Tabla14[[#This Row],[Personas Rechazo]]</f>
        <v>3000</v>
      </c>
      <c r="BA11" s="300">
        <f>+Tabla14[[#This Row],[Total Valor Segunda]]+Tabla14[[#This Row],[Total Valor Primera]]+Tabla14[[#This Row],[Total Valor Precorte]]</f>
        <v>331500</v>
      </c>
      <c r="BB11" s="292">
        <f>Tabla14[[#This Row],[Valor bolsas Pesona2]]+Tabla14[[#This Row],[Valor Embarque Pesona3]]</f>
        <v>27875</v>
      </c>
      <c r="BD11" s="292">
        <f>Tabla14[[#This Row],[VALOR GANADO]]-Tabla14[[#This Row],[REAJUSTADO]]</f>
        <v>27875</v>
      </c>
      <c r="BE11" s="250">
        <f>Tabla14[[#This Row],[CUANTO SE REAJUSTA]]*Tabla14[[#This Row],[Personas Rechazo]]</f>
        <v>334500</v>
      </c>
      <c r="BF11" s="250">
        <f>Tabla14[[#This Row],[REAJUSTADO]]/25000</f>
        <v>0</v>
      </c>
      <c r="BG11" s="302">
        <f>Tabla14[[#This Row],[REAJUSTADO]]*Tabla14[[#This Row],[Personas Rechazo]]</f>
        <v>0</v>
      </c>
      <c r="BH11" s="292" t="str">
        <f>Tabla14[[#This Row],[Finca]]</f>
        <v>San Pedro</v>
      </c>
      <c r="BJ11" s="330">
        <f>Tabla14[[#This Row],[Numero de Ocacionales]]*Tabla14[[#This Row],[REAJUSTADO]]</f>
        <v>0</v>
      </c>
      <c r="BM11" s="330">
        <f>+Tabla14[[#This Row],[CUANTO SE REAJUSTA]]*3</f>
        <v>83625</v>
      </c>
    </row>
    <row r="12" spans="3:65" hidden="1" x14ac:dyDescent="0.25">
      <c r="C12" s="71">
        <v>44559</v>
      </c>
      <c r="D12" s="507">
        <f>YEAR(Tabla14[[#This Row],[Fecha]])</f>
        <v>2021</v>
      </c>
      <c r="E12" s="306">
        <f>IF(Tabla14[[#This Row],[Fecha]]&gt;0,_xlfn.ISOWEEKNUM(Tabla14[[#This Row],[Fecha]]),0)</f>
        <v>52</v>
      </c>
      <c r="F12" s="74">
        <v>120</v>
      </c>
      <c r="G12" s="268" t="s">
        <v>155</v>
      </c>
      <c r="H12" s="293" t="str">
        <f>_xlfn.XLOOKUP(Tabla14[[#This Row],[Codigo Finca]],Tabla4[Codigo Finca],Tabla4[Nombre Finca],"")</f>
        <v>Damaquiel</v>
      </c>
      <c r="I12" s="262">
        <f>_xlfn.XLOOKUP(Tabla14[[#This Row],[Codigo Finca]],Tabla4[Codigo Finca],Tabla4[Precio Caja],0)</f>
        <v>1500</v>
      </c>
      <c r="J12" s="262">
        <f>_xlfn.XLOOKUP(Tabla14[[#This Row],[Codigo Finca]],Tabla4[Codigo Finca],Tabla4[Precio Caja Segunda],0)</f>
        <v>1000</v>
      </c>
      <c r="K12" s="262">
        <f>_xlfn.XLOOKUP(Tabla14[[#This Row],[Codigo Finca]],Tabla4[Codigo Finca],Tabla4[Precio Rechazo],0)</f>
        <v>500</v>
      </c>
      <c r="L12" s="262">
        <f t="shared" si="0"/>
        <v>735</v>
      </c>
      <c r="M12" s="272">
        <f t="shared" si="1"/>
        <v>6.125</v>
      </c>
      <c r="N12" s="269"/>
      <c r="O12" s="270"/>
      <c r="P12" s="251">
        <f t="shared" si="2"/>
        <v>0</v>
      </c>
      <c r="Q12" s="263">
        <f t="shared" si="3"/>
        <v>0</v>
      </c>
      <c r="R12" s="265">
        <f t="shared" si="4"/>
        <v>0</v>
      </c>
      <c r="S12" s="269">
        <v>735</v>
      </c>
      <c r="T12" s="268">
        <v>5</v>
      </c>
      <c r="U12" s="251">
        <f t="shared" si="5"/>
        <v>120</v>
      </c>
      <c r="V12" s="263">
        <f t="shared" si="6"/>
        <v>24</v>
      </c>
      <c r="W12" s="265">
        <f t="shared" si="7"/>
        <v>36000</v>
      </c>
      <c r="X12" s="269"/>
      <c r="Y12" s="268"/>
      <c r="Z12" s="251">
        <f>Tabla14[[#This Row],[Cajas Segunda]]</f>
        <v>0</v>
      </c>
      <c r="AA12" s="263">
        <f t="shared" si="8"/>
        <v>0</v>
      </c>
      <c r="AB12" s="265">
        <f t="shared" si="9"/>
        <v>0</v>
      </c>
      <c r="AC12" s="273">
        <v>36</v>
      </c>
      <c r="AD12" s="271"/>
      <c r="AE12" s="271"/>
      <c r="AF12" s="271"/>
      <c r="AG12" s="271">
        <v>5</v>
      </c>
      <c r="AH12" s="251">
        <f t="shared" si="10"/>
        <v>36</v>
      </c>
      <c r="AI12" s="263">
        <f t="shared" si="11"/>
        <v>7.2</v>
      </c>
      <c r="AJ12" s="265">
        <f t="shared" si="12"/>
        <v>3600</v>
      </c>
      <c r="AK12" s="264">
        <f>Tabla14[[#This Row],[Cajas por Personas]]</f>
        <v>0</v>
      </c>
      <c r="AL12" s="267">
        <f>Tabla14[[#This Row],[Valor Precorte Pesona]]</f>
        <v>0</v>
      </c>
      <c r="AM12" s="294">
        <f>Tabla14[[#This Row],[Personas Precorte]]</f>
        <v>0</v>
      </c>
      <c r="AN12" s="305">
        <f>Tabla14[[#This Row],[Valor Precorte Pesona Precorte]]*Tabla14[[#This Row],[Perzonas Precorte]]</f>
        <v>0</v>
      </c>
      <c r="AO12" s="264">
        <f>Tabla14[[#This Row],[Cajas por Personas2]]</f>
        <v>24</v>
      </c>
      <c r="AP12" s="267">
        <f>Tabla14[[#This Row],[Valor Embarque Pesona]]</f>
        <v>36000</v>
      </c>
      <c r="AQ12" s="295">
        <f>Tabla14[[#This Row],[Personas Precorte2]]</f>
        <v>5</v>
      </c>
      <c r="AR12" s="304">
        <f>Tabla14[[#This Row],[Valor Embarque Pesona3]]*Tabla14[[#This Row],[Perzona Primera]]</f>
        <v>180000</v>
      </c>
      <c r="AS12" s="264">
        <f>Tabla14[[#This Row],[Columna2]]</f>
        <v>0</v>
      </c>
      <c r="AT12" s="267">
        <f>Tabla14[[#This Row],[Columna1]]</f>
        <v>0</v>
      </c>
      <c r="AU12" s="302">
        <f>Tabla14[[#This Row],[Personas Intervienen]]</f>
        <v>0</v>
      </c>
      <c r="AV12" s="303">
        <f>Tabla14[[#This Row],[Valor Embarque Pesona5]]*Tabla14[[#This Row],[Presonas Segunda]]</f>
        <v>0</v>
      </c>
      <c r="AW12" s="264">
        <f>Tabla14[[#This Row],[Bolsas Por Personas]]</f>
        <v>7.2</v>
      </c>
      <c r="AX12" s="267">
        <f>Tabla14[[#This Row],[Valor bolsas Pesona]]</f>
        <v>3600</v>
      </c>
      <c r="AY12" s="290">
        <f>Tabla14[[#This Row],[Personas13]]</f>
        <v>5</v>
      </c>
      <c r="AZ12" s="301">
        <f>Tabla14[[#This Row],[Valor bolsas Pesona2]]*Tabla14[[#This Row],[Personas Rechazo]]</f>
        <v>18000</v>
      </c>
      <c r="BA12" s="300">
        <f>+Tabla14[[#This Row],[Total Valor Segunda]]+Tabla14[[#This Row],[Total Valor Primera]]+Tabla14[[#This Row],[Total Valor Precorte]]</f>
        <v>180000</v>
      </c>
      <c r="BB12" s="292">
        <f>Tabla14[[#This Row],[Valor bolsas Pesona2]]+Tabla14[[#This Row],[Valor Embarque Pesona3]]</f>
        <v>39600</v>
      </c>
      <c r="BD12" s="292">
        <f>Tabla14[[#This Row],[VALOR GANADO]]-Tabla14[[#This Row],[REAJUSTADO]]</f>
        <v>39600</v>
      </c>
      <c r="BE12" s="250">
        <f>Tabla14[[#This Row],[CUANTO SE REAJUSTA]]*Tabla14[[#This Row],[Personas Rechazo]]</f>
        <v>198000</v>
      </c>
      <c r="BF12" s="250">
        <f>Tabla14[[#This Row],[REAJUSTADO]]/25000</f>
        <v>0</v>
      </c>
      <c r="BG12" s="302">
        <f>Tabla14[[#This Row],[REAJUSTADO]]*Tabla14[[#This Row],[Personas Rechazo]]</f>
        <v>0</v>
      </c>
      <c r="BH12" s="292" t="str">
        <f>Tabla14[[#This Row],[Finca]]</f>
        <v>Damaquiel</v>
      </c>
      <c r="BJ12" s="330">
        <f>Tabla14[[#This Row],[Numero de Ocacionales]]*Tabla14[[#This Row],[REAJUSTADO]]</f>
        <v>0</v>
      </c>
      <c r="BM12" s="330">
        <f>+Tabla14[[#This Row],[CUANTO SE REAJUSTA]]*3</f>
        <v>118800</v>
      </c>
    </row>
    <row r="13" spans="3:65" hidden="1" x14ac:dyDescent="0.25">
      <c r="C13" s="71">
        <v>44559</v>
      </c>
      <c r="D13" s="507">
        <f>YEAR(Tabla14[[#This Row],[Fecha]])</f>
        <v>2021</v>
      </c>
      <c r="E13" s="306">
        <f>IF(Tabla14[[#This Row],[Fecha]]&gt;0,_xlfn.ISOWEEKNUM(Tabla14[[#This Row],[Fecha]]),0)</f>
        <v>52</v>
      </c>
      <c r="F13" s="74">
        <v>81</v>
      </c>
      <c r="G13" s="268" t="s">
        <v>157</v>
      </c>
      <c r="H13" s="293" t="str">
        <f>_xlfn.XLOOKUP(Tabla14[[#This Row],[Codigo Finca]],Tabla4[Codigo Finca],Tabla4[Nombre Finca],"")</f>
        <v>Pedrito</v>
      </c>
      <c r="I13" s="262">
        <f>_xlfn.XLOOKUP(Tabla14[[#This Row],[Codigo Finca]],Tabla4[Codigo Finca],Tabla4[Precio Caja],0)</f>
        <v>2100</v>
      </c>
      <c r="J13" s="262">
        <f>_xlfn.XLOOKUP(Tabla14[[#This Row],[Codigo Finca]],Tabla4[Codigo Finca],Tabla4[Precio Caja Segunda],0)</f>
        <v>1000</v>
      </c>
      <c r="K13" s="262">
        <f>_xlfn.XLOOKUP(Tabla14[[#This Row],[Codigo Finca]],Tabla4[Codigo Finca],Tabla4[Precio Rechazo],0)</f>
        <v>500</v>
      </c>
      <c r="L13" s="262">
        <f t="shared" si="0"/>
        <v>523</v>
      </c>
      <c r="M13" s="272">
        <f t="shared" si="1"/>
        <v>6.4567901234567904</v>
      </c>
      <c r="N13" s="269"/>
      <c r="O13" s="270"/>
      <c r="P13" s="251">
        <f t="shared" si="2"/>
        <v>0</v>
      </c>
      <c r="Q13" s="263">
        <f t="shared" si="3"/>
        <v>0</v>
      </c>
      <c r="R13" s="265">
        <f t="shared" si="4"/>
        <v>0</v>
      </c>
      <c r="S13" s="269">
        <v>523</v>
      </c>
      <c r="T13" s="268">
        <v>7</v>
      </c>
      <c r="U13" s="251">
        <f t="shared" si="5"/>
        <v>81</v>
      </c>
      <c r="V13" s="263">
        <f t="shared" si="6"/>
        <v>11.571428571428571</v>
      </c>
      <c r="W13" s="265">
        <f t="shared" si="7"/>
        <v>24300</v>
      </c>
      <c r="X13" s="269"/>
      <c r="Y13" s="268"/>
      <c r="Z13" s="251">
        <f>Tabla14[[#This Row],[Cajas Segunda]]</f>
        <v>0</v>
      </c>
      <c r="AA13" s="263">
        <f t="shared" si="8"/>
        <v>0</v>
      </c>
      <c r="AB13" s="265">
        <f t="shared" si="9"/>
        <v>0</v>
      </c>
      <c r="AC13" s="273">
        <v>11</v>
      </c>
      <c r="AD13" s="271"/>
      <c r="AE13" s="271"/>
      <c r="AF13" s="271"/>
      <c r="AG13" s="271">
        <v>7</v>
      </c>
      <c r="AH13" s="251">
        <f t="shared" si="10"/>
        <v>11</v>
      </c>
      <c r="AI13" s="263">
        <f t="shared" si="11"/>
        <v>1.5714285714285714</v>
      </c>
      <c r="AJ13" s="265">
        <f t="shared" si="12"/>
        <v>785.71428571428567</v>
      </c>
      <c r="AK13" s="264">
        <f>Tabla14[[#This Row],[Cajas por Personas]]</f>
        <v>0</v>
      </c>
      <c r="AL13" s="267">
        <f>Tabla14[[#This Row],[Valor Precorte Pesona]]</f>
        <v>0</v>
      </c>
      <c r="AM13" s="294">
        <f>Tabla14[[#This Row],[Personas Precorte]]</f>
        <v>0</v>
      </c>
      <c r="AN13" s="305">
        <f>Tabla14[[#This Row],[Valor Precorte Pesona Precorte]]*Tabla14[[#This Row],[Perzonas Precorte]]</f>
        <v>0</v>
      </c>
      <c r="AO13" s="264">
        <f>Tabla14[[#This Row],[Cajas por Personas2]]</f>
        <v>11.571428571428571</v>
      </c>
      <c r="AP13" s="267">
        <f>Tabla14[[#This Row],[Valor Embarque Pesona]]</f>
        <v>24300</v>
      </c>
      <c r="AQ13" s="295">
        <f>Tabla14[[#This Row],[Personas Precorte2]]</f>
        <v>7</v>
      </c>
      <c r="AR13" s="304">
        <f>Tabla14[[#This Row],[Valor Embarque Pesona3]]*Tabla14[[#This Row],[Perzona Primera]]</f>
        <v>170100</v>
      </c>
      <c r="AS13" s="264">
        <f>Tabla14[[#This Row],[Columna2]]</f>
        <v>0</v>
      </c>
      <c r="AT13" s="267">
        <f>Tabla14[[#This Row],[Columna1]]</f>
        <v>0</v>
      </c>
      <c r="AU13" s="302">
        <f>Tabla14[[#This Row],[Personas Intervienen]]</f>
        <v>0</v>
      </c>
      <c r="AV13" s="303">
        <f>Tabla14[[#This Row],[Valor Embarque Pesona5]]*Tabla14[[#This Row],[Presonas Segunda]]</f>
        <v>0</v>
      </c>
      <c r="AW13" s="264">
        <f>Tabla14[[#This Row],[Bolsas Por Personas]]</f>
        <v>1.5714285714285714</v>
      </c>
      <c r="AX13" s="267">
        <f>Tabla14[[#This Row],[Valor bolsas Pesona]]</f>
        <v>785.71428571428567</v>
      </c>
      <c r="AY13" s="290">
        <f>Tabla14[[#This Row],[Personas13]]</f>
        <v>7</v>
      </c>
      <c r="AZ13" s="301">
        <f>Tabla14[[#This Row],[Valor bolsas Pesona2]]*Tabla14[[#This Row],[Personas Rechazo]]</f>
        <v>5500</v>
      </c>
      <c r="BA13" s="300">
        <f>+Tabla14[[#This Row],[Total Valor Segunda]]+Tabla14[[#This Row],[Total Valor Primera]]+Tabla14[[#This Row],[Total Valor Precorte]]</f>
        <v>170100</v>
      </c>
      <c r="BB13" s="292">
        <f>Tabla14[[#This Row],[Valor bolsas Pesona2]]+Tabla14[[#This Row],[Valor Embarque Pesona3]]</f>
        <v>25085.714285714286</v>
      </c>
      <c r="BD13" s="292">
        <f>Tabla14[[#This Row],[VALOR GANADO]]-Tabla14[[#This Row],[REAJUSTADO]]</f>
        <v>25085.714285714286</v>
      </c>
      <c r="BE13" s="250">
        <f>Tabla14[[#This Row],[CUANTO SE REAJUSTA]]*Tabla14[[#This Row],[Personas Rechazo]]</f>
        <v>175600</v>
      </c>
      <c r="BF13" s="250">
        <f>Tabla14[[#This Row],[REAJUSTADO]]/25000</f>
        <v>0</v>
      </c>
      <c r="BG13" s="302">
        <f>Tabla14[[#This Row],[REAJUSTADO]]*Tabla14[[#This Row],[Personas Rechazo]]</f>
        <v>0</v>
      </c>
      <c r="BH13" s="292" t="str">
        <f>Tabla14[[#This Row],[Finca]]</f>
        <v>Pedrito</v>
      </c>
      <c r="BJ13" s="330">
        <f>Tabla14[[#This Row],[Numero de Ocacionales]]*Tabla14[[#This Row],[REAJUSTADO]]</f>
        <v>0</v>
      </c>
      <c r="BM13" s="330">
        <f>+Tabla14[[#This Row],[CUANTO SE REAJUSTA]]*3</f>
        <v>75257.142857142855</v>
      </c>
    </row>
    <row r="14" spans="3:65" hidden="1" x14ac:dyDescent="0.25">
      <c r="C14" s="71">
        <v>44565</v>
      </c>
      <c r="D14" s="507">
        <f>YEAR(Tabla14[[#This Row],[Fecha]])</f>
        <v>2022</v>
      </c>
      <c r="E14" s="306">
        <f>IF(Tabla14[[#This Row],[Fecha]]&gt;0,_xlfn.ISOWEEKNUM(Tabla14[[#This Row],[Fecha]]),0)</f>
        <v>1</v>
      </c>
      <c r="F14" s="331">
        <f>251+79</f>
        <v>330</v>
      </c>
      <c r="G14" s="268" t="s">
        <v>152</v>
      </c>
      <c r="H14" s="293" t="str">
        <f>_xlfn.XLOOKUP(Tabla14[[#This Row],[Codigo Finca]],Tabla4[Codigo Finca],Tabla4[Nombre Finca],"")</f>
        <v>San Pedro</v>
      </c>
      <c r="I14" s="262">
        <f>_xlfn.XLOOKUP(Tabla14[[#This Row],[Codigo Finca]],Tabla4[Codigo Finca],Tabla4[Precio Caja],0)</f>
        <v>1500</v>
      </c>
      <c r="J14" s="262">
        <f>_xlfn.XLOOKUP(Tabla14[[#This Row],[Codigo Finca]],Tabla4[Codigo Finca],Tabla4[Precio Caja Segunda],0)</f>
        <v>1000</v>
      </c>
      <c r="K14" s="262">
        <f>_xlfn.XLOOKUP(Tabla14[[#This Row],[Codigo Finca]],Tabla4[Codigo Finca],Tabla4[Precio Rechazo],0)</f>
        <v>500</v>
      </c>
      <c r="L14" s="262">
        <f t="shared" si="0"/>
        <v>1091</v>
      </c>
      <c r="M14" s="272">
        <f t="shared" si="1"/>
        <v>3.3060606060606061</v>
      </c>
      <c r="N14" s="269"/>
      <c r="O14" s="270"/>
      <c r="P14" s="251">
        <f t="shared" si="2"/>
        <v>0</v>
      </c>
      <c r="Q14" s="263">
        <f t="shared" si="3"/>
        <v>0</v>
      </c>
      <c r="R14" s="265">
        <f t="shared" si="4"/>
        <v>0</v>
      </c>
      <c r="S14" s="269">
        <v>1091</v>
      </c>
      <c r="T14" s="268">
        <v>13</v>
      </c>
      <c r="U14" s="251">
        <f t="shared" si="5"/>
        <v>330</v>
      </c>
      <c r="V14" s="263">
        <f t="shared" si="6"/>
        <v>25.384615384615383</v>
      </c>
      <c r="W14" s="265">
        <f t="shared" si="7"/>
        <v>38076.923076923078</v>
      </c>
      <c r="X14" s="269"/>
      <c r="Y14" s="268"/>
      <c r="Z14" s="251">
        <f>Tabla14[[#This Row],[Cajas Segunda]]</f>
        <v>0</v>
      </c>
      <c r="AA14" s="263">
        <f t="shared" si="8"/>
        <v>0</v>
      </c>
      <c r="AB14" s="265">
        <f t="shared" si="9"/>
        <v>0</v>
      </c>
      <c r="AC14" s="273">
        <v>21</v>
      </c>
      <c r="AD14" s="271"/>
      <c r="AE14" s="271"/>
      <c r="AF14" s="271"/>
      <c r="AG14" s="271">
        <v>13</v>
      </c>
      <c r="AH14" s="251">
        <f t="shared" si="10"/>
        <v>21</v>
      </c>
      <c r="AI14" s="263">
        <f t="shared" si="11"/>
        <v>1.6153846153846154</v>
      </c>
      <c r="AJ14" s="265">
        <f t="shared" si="12"/>
        <v>807.69230769230774</v>
      </c>
      <c r="AK14" s="264">
        <f>Tabla14[[#This Row],[Cajas por Personas]]</f>
        <v>0</v>
      </c>
      <c r="AL14" s="267">
        <f>Tabla14[[#This Row],[Valor Precorte Pesona]]</f>
        <v>0</v>
      </c>
      <c r="AM14" s="294">
        <f>Tabla14[[#This Row],[Personas Precorte]]</f>
        <v>0</v>
      </c>
      <c r="AN14" s="305">
        <f>Tabla14[[#This Row],[Valor Precorte Pesona Precorte]]*Tabla14[[#This Row],[Perzonas Precorte]]</f>
        <v>0</v>
      </c>
      <c r="AO14" s="264">
        <f>Tabla14[[#This Row],[Cajas por Personas2]]</f>
        <v>25.384615384615383</v>
      </c>
      <c r="AP14" s="267">
        <f>Tabla14[[#This Row],[Valor Embarque Pesona]]</f>
        <v>38076.923076923078</v>
      </c>
      <c r="AQ14" s="295">
        <f>Tabla14[[#This Row],[Personas Precorte2]]</f>
        <v>13</v>
      </c>
      <c r="AR14" s="304">
        <f>Tabla14[[#This Row],[Valor Embarque Pesona3]]*Tabla14[[#This Row],[Perzona Primera]]</f>
        <v>495000</v>
      </c>
      <c r="AS14" s="264">
        <f>Tabla14[[#This Row],[Columna2]]</f>
        <v>0</v>
      </c>
      <c r="AT14" s="267">
        <f>Tabla14[[#This Row],[Columna1]]</f>
        <v>0</v>
      </c>
      <c r="AU14" s="302">
        <f>Tabla14[[#This Row],[Personas Intervienen]]</f>
        <v>0</v>
      </c>
      <c r="AV14" s="303">
        <f>Tabla14[[#This Row],[Valor Embarque Pesona5]]*Tabla14[[#This Row],[Presonas Segunda]]</f>
        <v>0</v>
      </c>
      <c r="AW14" s="264">
        <f>Tabla14[[#This Row],[Bolsas Por Personas]]</f>
        <v>1.6153846153846154</v>
      </c>
      <c r="AX14" s="267">
        <f>Tabla14[[#This Row],[Valor bolsas Pesona]]</f>
        <v>807.69230769230774</v>
      </c>
      <c r="AY14" s="290">
        <f>Tabla14[[#This Row],[Personas13]]</f>
        <v>13</v>
      </c>
      <c r="AZ14" s="301">
        <f>Tabla14[[#This Row],[Valor bolsas Pesona2]]*Tabla14[[#This Row],[Personas Rechazo]]</f>
        <v>10500</v>
      </c>
      <c r="BA14" s="300">
        <f>+Tabla14[[#This Row],[Total Valor Segunda]]+Tabla14[[#This Row],[Total Valor Primera]]+Tabla14[[#This Row],[Total Valor Precorte]]</f>
        <v>495000</v>
      </c>
      <c r="BB14" s="292">
        <f>Tabla14[[#This Row],[Valor bolsas Pesona2]]+Tabla14[[#This Row],[Valor Embarque Pesona3]]</f>
        <v>38884.615384615383</v>
      </c>
      <c r="BD14" s="292">
        <f>Tabla14[[#This Row],[VALOR GANADO]]-Tabla14[[#This Row],[REAJUSTADO]]</f>
        <v>38884.615384615383</v>
      </c>
      <c r="BE14" s="250">
        <f>Tabla14[[#This Row],[CUANTO SE REAJUSTA]]*Tabla14[[#This Row],[Personas Rechazo]]</f>
        <v>505500</v>
      </c>
      <c r="BF14" s="250">
        <f>Tabla14[[#This Row],[REAJUSTADO]]/25000</f>
        <v>0</v>
      </c>
      <c r="BG14" s="302">
        <f>Tabla14[[#This Row],[REAJUSTADO]]*Tabla14[[#This Row],[Personas Rechazo]]</f>
        <v>0</v>
      </c>
      <c r="BH14" s="292" t="str">
        <f>Tabla14[[#This Row],[Finca]]</f>
        <v>San Pedro</v>
      </c>
      <c r="BJ14" s="330">
        <f>Tabla14[[#This Row],[Numero de Ocacionales]]*Tabla14[[#This Row],[REAJUSTADO]]</f>
        <v>0</v>
      </c>
      <c r="BM14" s="330">
        <f>+Tabla14[[#This Row],[CUANTO SE REAJUSTA]]*3</f>
        <v>116653.84615384616</v>
      </c>
    </row>
    <row r="15" spans="3:65" hidden="1" x14ac:dyDescent="0.25">
      <c r="C15" s="71">
        <v>44565</v>
      </c>
      <c r="D15" s="507">
        <f>YEAR(Tabla14[[#This Row],[Fecha]])</f>
        <v>2022</v>
      </c>
      <c r="E15" s="306">
        <f>IF(Tabla14[[#This Row],[Fecha]]&gt;0,_xlfn.ISOWEEKNUM(Tabla14[[#This Row],[Fecha]]),0)</f>
        <v>1</v>
      </c>
      <c r="F15" s="331">
        <v>82</v>
      </c>
      <c r="G15" s="268" t="s">
        <v>153</v>
      </c>
      <c r="H15" s="293" t="str">
        <f>_xlfn.XLOOKUP(Tabla14[[#This Row],[Codigo Finca]],Tabla4[Codigo Finca],Tabla4[Nombre Finca],"")</f>
        <v>Uveros</v>
      </c>
      <c r="I15" s="262">
        <f>_xlfn.XLOOKUP(Tabla14[[#This Row],[Codigo Finca]],Tabla4[Codigo Finca],Tabla4[Precio Caja],0)</f>
        <v>1500</v>
      </c>
      <c r="J15" s="262">
        <f>_xlfn.XLOOKUP(Tabla14[[#This Row],[Codigo Finca]],Tabla4[Codigo Finca],Tabla4[Precio Caja Segunda],0)</f>
        <v>1000</v>
      </c>
      <c r="K15" s="262">
        <f>_xlfn.XLOOKUP(Tabla14[[#This Row],[Codigo Finca]],Tabla4[Codigo Finca],Tabla4[Precio Rechazo],0)</f>
        <v>500</v>
      </c>
      <c r="L15" s="262">
        <f t="shared" si="0"/>
        <v>362</v>
      </c>
      <c r="M15" s="272">
        <f t="shared" si="1"/>
        <v>4.4146341463414638</v>
      </c>
      <c r="N15" s="269"/>
      <c r="O15" s="270"/>
      <c r="P15" s="251">
        <f t="shared" si="2"/>
        <v>0</v>
      </c>
      <c r="Q15" s="263">
        <f t="shared" si="3"/>
        <v>0</v>
      </c>
      <c r="R15" s="265">
        <f t="shared" si="4"/>
        <v>0</v>
      </c>
      <c r="S15" s="269">
        <v>362</v>
      </c>
      <c r="T15" s="268">
        <v>4</v>
      </c>
      <c r="U15" s="251">
        <f t="shared" si="5"/>
        <v>82</v>
      </c>
      <c r="V15" s="263">
        <f t="shared" si="6"/>
        <v>20.5</v>
      </c>
      <c r="W15" s="265">
        <f t="shared" si="7"/>
        <v>30750</v>
      </c>
      <c r="X15" s="269"/>
      <c r="Y15" s="268"/>
      <c r="Z15" s="251">
        <f>Tabla14[[#This Row],[Cajas Segunda]]</f>
        <v>0</v>
      </c>
      <c r="AA15" s="263">
        <f t="shared" si="8"/>
        <v>0</v>
      </c>
      <c r="AB15" s="265">
        <f t="shared" si="9"/>
        <v>0</v>
      </c>
      <c r="AC15" s="273">
        <v>3.4</v>
      </c>
      <c r="AD15" s="271"/>
      <c r="AE15" s="271"/>
      <c r="AF15" s="271"/>
      <c r="AG15" s="271">
        <v>4</v>
      </c>
      <c r="AH15" s="251">
        <f t="shared" si="10"/>
        <v>3.4</v>
      </c>
      <c r="AI15" s="263">
        <f t="shared" si="11"/>
        <v>0.85</v>
      </c>
      <c r="AJ15" s="265">
        <f t="shared" si="12"/>
        <v>425</v>
      </c>
      <c r="AK15" s="264">
        <f>Tabla14[[#This Row],[Cajas por Personas]]</f>
        <v>0</v>
      </c>
      <c r="AL15" s="267">
        <f>Tabla14[[#This Row],[Valor Precorte Pesona]]</f>
        <v>0</v>
      </c>
      <c r="AM15" s="294">
        <f>Tabla14[[#This Row],[Personas Precorte]]</f>
        <v>0</v>
      </c>
      <c r="AN15" s="305">
        <f>Tabla14[[#This Row],[Valor Precorte Pesona Precorte]]*Tabla14[[#This Row],[Perzonas Precorte]]</f>
        <v>0</v>
      </c>
      <c r="AO15" s="264">
        <f>Tabla14[[#This Row],[Cajas por Personas2]]</f>
        <v>20.5</v>
      </c>
      <c r="AP15" s="267">
        <f>Tabla14[[#This Row],[Valor Embarque Pesona]]</f>
        <v>30750</v>
      </c>
      <c r="AQ15" s="295">
        <f>Tabla14[[#This Row],[Personas Precorte2]]</f>
        <v>4</v>
      </c>
      <c r="AR15" s="304">
        <f>Tabla14[[#This Row],[Valor Embarque Pesona3]]*Tabla14[[#This Row],[Perzona Primera]]</f>
        <v>123000</v>
      </c>
      <c r="AS15" s="264">
        <f>Tabla14[[#This Row],[Columna2]]</f>
        <v>0</v>
      </c>
      <c r="AT15" s="267">
        <f>Tabla14[[#This Row],[Columna1]]</f>
        <v>0</v>
      </c>
      <c r="AU15" s="302">
        <f>Tabla14[[#This Row],[Personas Intervienen]]</f>
        <v>0</v>
      </c>
      <c r="AV15" s="303">
        <f>Tabla14[[#This Row],[Valor Embarque Pesona5]]*Tabla14[[#This Row],[Presonas Segunda]]</f>
        <v>0</v>
      </c>
      <c r="AW15" s="264">
        <f>Tabla14[[#This Row],[Bolsas Por Personas]]</f>
        <v>0.85</v>
      </c>
      <c r="AX15" s="267">
        <f>Tabla14[[#This Row],[Valor bolsas Pesona]]</f>
        <v>425</v>
      </c>
      <c r="AY15" s="290">
        <f>Tabla14[[#This Row],[Personas13]]</f>
        <v>4</v>
      </c>
      <c r="AZ15" s="301">
        <f>Tabla14[[#This Row],[Valor bolsas Pesona2]]*Tabla14[[#This Row],[Personas Rechazo]]</f>
        <v>1700</v>
      </c>
      <c r="BA15" s="300">
        <f>+Tabla14[[#This Row],[Total Valor Segunda]]+Tabla14[[#This Row],[Total Valor Primera]]+Tabla14[[#This Row],[Total Valor Precorte]]</f>
        <v>123000</v>
      </c>
      <c r="BB15" s="292">
        <f>Tabla14[[#This Row],[Valor bolsas Pesona2]]+Tabla14[[#This Row],[Valor Embarque Pesona3]]</f>
        <v>31175</v>
      </c>
      <c r="BD15" s="292">
        <f>Tabla14[[#This Row],[VALOR GANADO]]-Tabla14[[#This Row],[REAJUSTADO]]</f>
        <v>31175</v>
      </c>
      <c r="BE15" s="250">
        <f>Tabla14[[#This Row],[CUANTO SE REAJUSTA]]*Tabla14[[#This Row],[Personas Rechazo]]</f>
        <v>124700</v>
      </c>
      <c r="BF15" s="250">
        <f>Tabla14[[#This Row],[REAJUSTADO]]/25000</f>
        <v>0</v>
      </c>
      <c r="BG15" s="302">
        <f>Tabla14[[#This Row],[REAJUSTADO]]*Tabla14[[#This Row],[Personas Rechazo]]</f>
        <v>0</v>
      </c>
      <c r="BH15" s="292" t="str">
        <f>Tabla14[[#This Row],[Finca]]</f>
        <v>Uveros</v>
      </c>
      <c r="BJ15" s="330">
        <f>Tabla14[[#This Row],[Numero de Ocacionales]]*Tabla14[[#This Row],[REAJUSTADO]]</f>
        <v>0</v>
      </c>
      <c r="BM15" s="330">
        <f>+Tabla14[[#This Row],[CUANTO SE REAJUSTA]]*3</f>
        <v>93525</v>
      </c>
    </row>
    <row r="16" spans="3:65" hidden="1" x14ac:dyDescent="0.25">
      <c r="C16" s="71">
        <v>44566</v>
      </c>
      <c r="D16" s="507">
        <f>YEAR(Tabla14[[#This Row],[Fecha]])</f>
        <v>2022</v>
      </c>
      <c r="E16" s="306">
        <f>IF(Tabla14[[#This Row],[Fecha]]&gt;0,_xlfn.ISOWEEKNUM(Tabla14[[#This Row],[Fecha]]),0)</f>
        <v>1</v>
      </c>
      <c r="F16" s="74">
        <v>303</v>
      </c>
      <c r="G16" s="268" t="s">
        <v>152</v>
      </c>
      <c r="H16" s="293" t="str">
        <f>_xlfn.XLOOKUP(Tabla14[[#This Row],[Codigo Finca]],Tabla4[Codigo Finca],Tabla4[Nombre Finca],"")</f>
        <v>San Pedro</v>
      </c>
      <c r="I16" s="262">
        <f>_xlfn.XLOOKUP(Tabla14[[#This Row],[Codigo Finca]],Tabla4[Codigo Finca],Tabla4[Precio Caja],0)</f>
        <v>1500</v>
      </c>
      <c r="J16" s="262">
        <f>_xlfn.XLOOKUP(Tabla14[[#This Row],[Codigo Finca]],Tabla4[Codigo Finca],Tabla4[Precio Caja Segunda],0)</f>
        <v>1000</v>
      </c>
      <c r="K16" s="262">
        <f>_xlfn.XLOOKUP(Tabla14[[#This Row],[Codigo Finca]],Tabla4[Codigo Finca],Tabla4[Precio Rechazo],0)</f>
        <v>500</v>
      </c>
      <c r="L16" s="262">
        <f t="shared" si="0"/>
        <v>917</v>
      </c>
      <c r="M16" s="272">
        <f t="shared" si="1"/>
        <v>3.0264026402640263</v>
      </c>
      <c r="N16" s="269"/>
      <c r="O16" s="270"/>
      <c r="P16" s="251">
        <f t="shared" si="2"/>
        <v>0</v>
      </c>
      <c r="Q16" s="263">
        <f t="shared" si="3"/>
        <v>0</v>
      </c>
      <c r="R16" s="265">
        <f t="shared" si="4"/>
        <v>0</v>
      </c>
      <c r="S16" s="269">
        <v>917</v>
      </c>
      <c r="T16" s="268">
        <v>14</v>
      </c>
      <c r="U16" s="251">
        <f t="shared" si="5"/>
        <v>303</v>
      </c>
      <c r="V16" s="263">
        <f t="shared" si="6"/>
        <v>21.642857142857142</v>
      </c>
      <c r="W16" s="265">
        <f t="shared" si="7"/>
        <v>32464.285714285714</v>
      </c>
      <c r="X16" s="269"/>
      <c r="Y16" s="268"/>
      <c r="Z16" s="251">
        <f>Tabla14[[#This Row],[Cajas Segunda]]</f>
        <v>0</v>
      </c>
      <c r="AA16" s="263">
        <f t="shared" si="8"/>
        <v>0</v>
      </c>
      <c r="AB16" s="265">
        <f t="shared" si="9"/>
        <v>0</v>
      </c>
      <c r="AC16" s="273">
        <v>13</v>
      </c>
      <c r="AD16" s="271"/>
      <c r="AE16" s="271"/>
      <c r="AF16" s="271"/>
      <c r="AG16" s="271">
        <v>14</v>
      </c>
      <c r="AH16" s="251">
        <f t="shared" si="10"/>
        <v>13</v>
      </c>
      <c r="AI16" s="263">
        <f t="shared" si="11"/>
        <v>0.9285714285714286</v>
      </c>
      <c r="AJ16" s="265">
        <f t="shared" si="12"/>
        <v>464.28571428571428</v>
      </c>
      <c r="AK16" s="264">
        <f>Tabla14[[#This Row],[Cajas por Personas]]</f>
        <v>0</v>
      </c>
      <c r="AL16" s="267">
        <f>Tabla14[[#This Row],[Valor Precorte Pesona]]</f>
        <v>0</v>
      </c>
      <c r="AM16" s="294">
        <f>Tabla14[[#This Row],[Personas Precorte]]</f>
        <v>0</v>
      </c>
      <c r="AN16" s="305">
        <f>Tabla14[[#This Row],[Valor Precorte Pesona Precorte]]*Tabla14[[#This Row],[Perzonas Precorte]]</f>
        <v>0</v>
      </c>
      <c r="AO16" s="264">
        <f>Tabla14[[#This Row],[Cajas por Personas2]]</f>
        <v>21.642857142857142</v>
      </c>
      <c r="AP16" s="267">
        <f>Tabla14[[#This Row],[Valor Embarque Pesona]]</f>
        <v>32464.285714285714</v>
      </c>
      <c r="AQ16" s="295">
        <f>Tabla14[[#This Row],[Personas Precorte2]]</f>
        <v>14</v>
      </c>
      <c r="AR16" s="304">
        <f>Tabla14[[#This Row],[Valor Embarque Pesona3]]*Tabla14[[#This Row],[Perzona Primera]]</f>
        <v>454500</v>
      </c>
      <c r="AS16" s="264">
        <f>Tabla14[[#This Row],[Columna2]]</f>
        <v>0</v>
      </c>
      <c r="AT16" s="267">
        <f>Tabla14[[#This Row],[Columna1]]</f>
        <v>0</v>
      </c>
      <c r="AU16" s="302">
        <f>Tabla14[[#This Row],[Personas Intervienen]]</f>
        <v>0</v>
      </c>
      <c r="AV16" s="303">
        <f>Tabla14[[#This Row],[Valor Embarque Pesona5]]*Tabla14[[#This Row],[Presonas Segunda]]</f>
        <v>0</v>
      </c>
      <c r="AW16" s="264">
        <f>Tabla14[[#This Row],[Bolsas Por Personas]]</f>
        <v>0.9285714285714286</v>
      </c>
      <c r="AX16" s="267">
        <f>Tabla14[[#This Row],[Valor bolsas Pesona]]</f>
        <v>464.28571428571428</v>
      </c>
      <c r="AY16" s="290">
        <f>Tabla14[[#This Row],[Personas13]]</f>
        <v>14</v>
      </c>
      <c r="AZ16" s="301">
        <f>Tabla14[[#This Row],[Valor bolsas Pesona2]]*Tabla14[[#This Row],[Personas Rechazo]]</f>
        <v>6500</v>
      </c>
      <c r="BA16" s="300">
        <f>+Tabla14[[#This Row],[Total Valor Segunda]]+Tabla14[[#This Row],[Total Valor Primera]]+Tabla14[[#This Row],[Total Valor Precorte]]</f>
        <v>454500</v>
      </c>
      <c r="BB16" s="292">
        <f>Tabla14[[#This Row],[Valor bolsas Pesona2]]+Tabla14[[#This Row],[Valor Embarque Pesona3]]</f>
        <v>32928.571428571428</v>
      </c>
      <c r="BD16" s="292">
        <f>Tabla14[[#This Row],[VALOR GANADO]]-Tabla14[[#This Row],[REAJUSTADO]]</f>
        <v>32928.571428571428</v>
      </c>
      <c r="BE16" s="250">
        <f>Tabla14[[#This Row],[CUANTO SE REAJUSTA]]*Tabla14[[#This Row],[Personas Rechazo]]</f>
        <v>461000</v>
      </c>
      <c r="BF16" s="250">
        <f>Tabla14[[#This Row],[REAJUSTADO]]/25000</f>
        <v>0</v>
      </c>
      <c r="BG16" s="302">
        <f>Tabla14[[#This Row],[REAJUSTADO]]*Tabla14[[#This Row],[Personas Rechazo]]</f>
        <v>0</v>
      </c>
      <c r="BH16" s="292" t="str">
        <f>Tabla14[[#This Row],[Finca]]</f>
        <v>San Pedro</v>
      </c>
      <c r="BJ16" s="330">
        <f>Tabla14[[#This Row],[Numero de Ocacionales]]*Tabla14[[#This Row],[REAJUSTADO]]</f>
        <v>0</v>
      </c>
      <c r="BM16" s="330">
        <f>+Tabla14[[#This Row],[CUANTO SE REAJUSTA]]*3</f>
        <v>98785.71428571429</v>
      </c>
    </row>
    <row r="17" spans="3:65" hidden="1" x14ac:dyDescent="0.25">
      <c r="C17" s="71">
        <v>44566</v>
      </c>
      <c r="D17" s="507">
        <f>YEAR(Tabla14[[#This Row],[Fecha]])</f>
        <v>2022</v>
      </c>
      <c r="E17" s="306">
        <f>IF(Tabla14[[#This Row],[Fecha]]&gt;0,_xlfn.ISOWEEKNUM(Tabla14[[#This Row],[Fecha]]),0)</f>
        <v>1</v>
      </c>
      <c r="F17" s="331">
        <v>77</v>
      </c>
      <c r="G17" s="268" t="s">
        <v>157</v>
      </c>
      <c r="H17" s="293" t="str">
        <f>_xlfn.XLOOKUP(Tabla14[[#This Row],[Codigo Finca]],Tabla4[Codigo Finca],Tabla4[Nombre Finca],"")</f>
        <v>Pedrito</v>
      </c>
      <c r="I17" s="262">
        <f>_xlfn.XLOOKUP(Tabla14[[#This Row],[Codigo Finca]],Tabla4[Codigo Finca],Tabla4[Precio Caja],0)</f>
        <v>2100</v>
      </c>
      <c r="J17" s="262">
        <f>_xlfn.XLOOKUP(Tabla14[[#This Row],[Codigo Finca]],Tabla4[Codigo Finca],Tabla4[Precio Caja Segunda],0)</f>
        <v>1000</v>
      </c>
      <c r="K17" s="262">
        <f>_xlfn.XLOOKUP(Tabla14[[#This Row],[Codigo Finca]],Tabla4[Codigo Finca],Tabla4[Precio Rechazo],0)</f>
        <v>500</v>
      </c>
      <c r="L17" s="262">
        <f t="shared" si="0"/>
        <v>434</v>
      </c>
      <c r="M17" s="272">
        <f t="shared" si="1"/>
        <v>5.6363636363636367</v>
      </c>
      <c r="N17" s="269"/>
      <c r="O17" s="270"/>
      <c r="P17" s="251">
        <f t="shared" si="2"/>
        <v>0</v>
      </c>
      <c r="Q17" s="263">
        <f t="shared" si="3"/>
        <v>0</v>
      </c>
      <c r="R17" s="265">
        <f t="shared" si="4"/>
        <v>0</v>
      </c>
      <c r="S17" s="269">
        <v>434</v>
      </c>
      <c r="T17" s="268">
        <v>6</v>
      </c>
      <c r="U17" s="251">
        <f t="shared" si="5"/>
        <v>77</v>
      </c>
      <c r="V17" s="263">
        <f t="shared" si="6"/>
        <v>12.833333333333334</v>
      </c>
      <c r="W17" s="265">
        <f t="shared" si="7"/>
        <v>26950</v>
      </c>
      <c r="X17" s="269"/>
      <c r="Y17" s="268"/>
      <c r="Z17" s="251">
        <f>Tabla14[[#This Row],[Cajas Segunda]]</f>
        <v>0</v>
      </c>
      <c r="AA17" s="263">
        <f t="shared" si="8"/>
        <v>0</v>
      </c>
      <c r="AB17" s="265">
        <f t="shared" si="9"/>
        <v>0</v>
      </c>
      <c r="AC17" s="273">
        <v>49</v>
      </c>
      <c r="AD17" s="271"/>
      <c r="AE17" s="271"/>
      <c r="AF17" s="271"/>
      <c r="AG17" s="271">
        <v>6</v>
      </c>
      <c r="AH17" s="251">
        <f t="shared" si="10"/>
        <v>49</v>
      </c>
      <c r="AI17" s="263">
        <f t="shared" si="11"/>
        <v>8.1666666666666661</v>
      </c>
      <c r="AJ17" s="265">
        <f t="shared" si="12"/>
        <v>4083.333333333333</v>
      </c>
      <c r="AK17" s="264">
        <f>Tabla14[[#This Row],[Cajas por Personas]]</f>
        <v>0</v>
      </c>
      <c r="AL17" s="267">
        <f>Tabla14[[#This Row],[Valor Precorte Pesona]]</f>
        <v>0</v>
      </c>
      <c r="AM17" s="294">
        <f>Tabla14[[#This Row],[Personas Precorte]]</f>
        <v>0</v>
      </c>
      <c r="AN17" s="305">
        <f>Tabla14[[#This Row],[Valor Precorte Pesona Precorte]]*Tabla14[[#This Row],[Perzonas Precorte]]</f>
        <v>0</v>
      </c>
      <c r="AO17" s="264">
        <f>Tabla14[[#This Row],[Cajas por Personas2]]</f>
        <v>12.833333333333334</v>
      </c>
      <c r="AP17" s="267">
        <f>Tabla14[[#This Row],[Valor Embarque Pesona]]</f>
        <v>26950</v>
      </c>
      <c r="AQ17" s="295">
        <f>Tabla14[[#This Row],[Personas Precorte2]]</f>
        <v>6</v>
      </c>
      <c r="AR17" s="304">
        <f>Tabla14[[#This Row],[Valor Embarque Pesona3]]*Tabla14[[#This Row],[Perzona Primera]]</f>
        <v>161700</v>
      </c>
      <c r="AS17" s="264">
        <f>Tabla14[[#This Row],[Columna2]]</f>
        <v>0</v>
      </c>
      <c r="AT17" s="267">
        <f>Tabla14[[#This Row],[Columna1]]</f>
        <v>0</v>
      </c>
      <c r="AU17" s="302">
        <f>Tabla14[[#This Row],[Personas Intervienen]]</f>
        <v>0</v>
      </c>
      <c r="AV17" s="303">
        <f>Tabla14[[#This Row],[Valor Embarque Pesona5]]*Tabla14[[#This Row],[Presonas Segunda]]</f>
        <v>0</v>
      </c>
      <c r="AW17" s="264">
        <f>Tabla14[[#This Row],[Bolsas Por Personas]]</f>
        <v>8.1666666666666661</v>
      </c>
      <c r="AX17" s="267">
        <f>Tabla14[[#This Row],[Valor bolsas Pesona]]</f>
        <v>4083.333333333333</v>
      </c>
      <c r="AY17" s="290">
        <f>Tabla14[[#This Row],[Personas13]]</f>
        <v>6</v>
      </c>
      <c r="AZ17" s="301">
        <f>Tabla14[[#This Row],[Valor bolsas Pesona2]]*Tabla14[[#This Row],[Personas Rechazo]]</f>
        <v>24500</v>
      </c>
      <c r="BA17" s="300">
        <f>+Tabla14[[#This Row],[Total Valor Segunda]]+Tabla14[[#This Row],[Total Valor Primera]]+Tabla14[[#This Row],[Total Valor Precorte]]</f>
        <v>161700</v>
      </c>
      <c r="BB17" s="292">
        <f>Tabla14[[#This Row],[Valor bolsas Pesona2]]+Tabla14[[#This Row],[Valor Embarque Pesona3]]</f>
        <v>31033.333333333332</v>
      </c>
      <c r="BD17" s="292">
        <f>Tabla14[[#This Row],[VALOR GANADO]]-Tabla14[[#This Row],[REAJUSTADO]]</f>
        <v>31033.333333333332</v>
      </c>
      <c r="BE17" s="250">
        <f>Tabla14[[#This Row],[CUANTO SE REAJUSTA]]*Tabla14[[#This Row],[Personas Rechazo]]</f>
        <v>186200</v>
      </c>
      <c r="BF17" s="250">
        <f>Tabla14[[#This Row],[REAJUSTADO]]/25000</f>
        <v>0</v>
      </c>
      <c r="BG17" s="302">
        <f>Tabla14[[#This Row],[REAJUSTADO]]*Tabla14[[#This Row],[Personas Rechazo]]</f>
        <v>0</v>
      </c>
      <c r="BH17" s="292" t="str">
        <f>Tabla14[[#This Row],[Finca]]</f>
        <v>Pedrito</v>
      </c>
      <c r="BJ17" s="330">
        <f>Tabla14[[#This Row],[Numero de Ocacionales]]*Tabla14[[#This Row],[REAJUSTADO]]</f>
        <v>0</v>
      </c>
      <c r="BM17" s="330">
        <f>+Tabla14[[#This Row],[CUANTO SE REAJUSTA]]*3</f>
        <v>93100</v>
      </c>
    </row>
    <row r="18" spans="3:65" hidden="1" x14ac:dyDescent="0.25">
      <c r="C18" s="71">
        <v>44566</v>
      </c>
      <c r="D18" s="507">
        <f>YEAR(Tabla14[[#This Row],[Fecha]])</f>
        <v>2022</v>
      </c>
      <c r="E18" s="306">
        <f>IF(Tabla14[[#This Row],[Fecha]]&gt;0,_xlfn.ISOWEEKNUM(Tabla14[[#This Row],[Fecha]]),0)</f>
        <v>1</v>
      </c>
      <c r="F18" s="74">
        <v>100</v>
      </c>
      <c r="G18" s="268" t="s">
        <v>155</v>
      </c>
      <c r="H18" s="293" t="str">
        <f>_xlfn.XLOOKUP(Tabla14[[#This Row],[Codigo Finca]],Tabla4[Codigo Finca],Tabla4[Nombre Finca],"")</f>
        <v>Damaquiel</v>
      </c>
      <c r="I18" s="262">
        <f>_xlfn.XLOOKUP(Tabla14[[#This Row],[Codigo Finca]],Tabla4[Codigo Finca],Tabla4[Precio Caja],0)</f>
        <v>1500</v>
      </c>
      <c r="J18" s="262">
        <f>_xlfn.XLOOKUP(Tabla14[[#This Row],[Codigo Finca]],Tabla4[Codigo Finca],Tabla4[Precio Caja Segunda],0)</f>
        <v>1000</v>
      </c>
      <c r="K18" s="262">
        <f>_xlfn.XLOOKUP(Tabla14[[#This Row],[Codigo Finca]],Tabla4[Codigo Finca],Tabla4[Precio Rechazo],0)</f>
        <v>500</v>
      </c>
      <c r="L18" s="262">
        <f t="shared" si="0"/>
        <v>606</v>
      </c>
      <c r="M18" s="272">
        <f t="shared" si="1"/>
        <v>6.06</v>
      </c>
      <c r="N18" s="269"/>
      <c r="O18" s="270"/>
      <c r="P18" s="251">
        <f t="shared" si="2"/>
        <v>0</v>
      </c>
      <c r="Q18" s="263">
        <f t="shared" si="3"/>
        <v>0</v>
      </c>
      <c r="R18" s="265">
        <f t="shared" si="4"/>
        <v>0</v>
      </c>
      <c r="S18" s="269">
        <v>606</v>
      </c>
      <c r="T18" s="268">
        <v>5</v>
      </c>
      <c r="U18" s="251">
        <f t="shared" si="5"/>
        <v>100</v>
      </c>
      <c r="V18" s="263">
        <f t="shared" si="6"/>
        <v>20</v>
      </c>
      <c r="W18" s="265">
        <f t="shared" si="7"/>
        <v>30000</v>
      </c>
      <c r="X18" s="269"/>
      <c r="Y18" s="268"/>
      <c r="Z18" s="251">
        <f>Tabla14[[#This Row],[Cajas Segunda]]</f>
        <v>0</v>
      </c>
      <c r="AA18" s="263">
        <f t="shared" si="8"/>
        <v>0</v>
      </c>
      <c r="AB18" s="265">
        <f t="shared" si="9"/>
        <v>0</v>
      </c>
      <c r="AC18" s="273">
        <v>10.199999999999999</v>
      </c>
      <c r="AD18" s="271"/>
      <c r="AE18" s="271"/>
      <c r="AF18" s="271"/>
      <c r="AG18" s="271">
        <v>5</v>
      </c>
      <c r="AH18" s="251">
        <f t="shared" si="10"/>
        <v>10.199999999999999</v>
      </c>
      <c r="AI18" s="263">
        <f t="shared" si="11"/>
        <v>2.04</v>
      </c>
      <c r="AJ18" s="265">
        <f t="shared" si="12"/>
        <v>1020</v>
      </c>
      <c r="AK18" s="264">
        <f>Tabla14[[#This Row],[Cajas por Personas]]</f>
        <v>0</v>
      </c>
      <c r="AL18" s="267">
        <f>Tabla14[[#This Row],[Valor Precorte Pesona]]</f>
        <v>0</v>
      </c>
      <c r="AM18" s="294">
        <f>Tabla14[[#This Row],[Personas Precorte]]</f>
        <v>0</v>
      </c>
      <c r="AN18" s="305">
        <f>Tabla14[[#This Row],[Valor Precorte Pesona Precorte]]*Tabla14[[#This Row],[Perzonas Precorte]]</f>
        <v>0</v>
      </c>
      <c r="AO18" s="264">
        <f>Tabla14[[#This Row],[Cajas por Personas2]]</f>
        <v>20</v>
      </c>
      <c r="AP18" s="267">
        <f>Tabla14[[#This Row],[Valor Embarque Pesona]]</f>
        <v>30000</v>
      </c>
      <c r="AQ18" s="295">
        <f>Tabla14[[#This Row],[Personas Precorte2]]</f>
        <v>5</v>
      </c>
      <c r="AR18" s="304">
        <f>Tabla14[[#This Row],[Valor Embarque Pesona3]]*Tabla14[[#This Row],[Perzona Primera]]</f>
        <v>150000</v>
      </c>
      <c r="AS18" s="264">
        <f>Tabla14[[#This Row],[Columna2]]</f>
        <v>0</v>
      </c>
      <c r="AT18" s="267">
        <f>Tabla14[[#This Row],[Columna1]]</f>
        <v>0</v>
      </c>
      <c r="AU18" s="302">
        <f>Tabla14[[#This Row],[Personas Intervienen]]</f>
        <v>0</v>
      </c>
      <c r="AV18" s="303">
        <f>Tabla14[[#This Row],[Valor Embarque Pesona5]]*Tabla14[[#This Row],[Presonas Segunda]]</f>
        <v>0</v>
      </c>
      <c r="AW18" s="264">
        <f>Tabla14[[#This Row],[Bolsas Por Personas]]</f>
        <v>2.04</v>
      </c>
      <c r="AX18" s="267">
        <f>Tabla14[[#This Row],[Valor bolsas Pesona]]</f>
        <v>1020</v>
      </c>
      <c r="AY18" s="290">
        <f>Tabla14[[#This Row],[Personas13]]</f>
        <v>5</v>
      </c>
      <c r="AZ18" s="301">
        <f>Tabla14[[#This Row],[Valor bolsas Pesona2]]*Tabla14[[#This Row],[Personas Rechazo]]</f>
        <v>5100</v>
      </c>
      <c r="BA18" s="300">
        <f>+Tabla14[[#This Row],[Total Valor Segunda]]+Tabla14[[#This Row],[Total Valor Primera]]+Tabla14[[#This Row],[Total Valor Precorte]]</f>
        <v>150000</v>
      </c>
      <c r="BB18" s="292">
        <f>Tabla14[[#This Row],[Valor bolsas Pesona2]]+Tabla14[[#This Row],[Valor Embarque Pesona3]]</f>
        <v>31020</v>
      </c>
      <c r="BD18" s="292">
        <f>Tabla14[[#This Row],[VALOR GANADO]]-Tabla14[[#This Row],[REAJUSTADO]]</f>
        <v>31020</v>
      </c>
      <c r="BE18" s="250">
        <f>Tabla14[[#This Row],[CUANTO SE REAJUSTA]]*Tabla14[[#This Row],[Personas Rechazo]]</f>
        <v>155100</v>
      </c>
      <c r="BF18" s="250">
        <f>Tabla14[[#This Row],[REAJUSTADO]]/25000</f>
        <v>0</v>
      </c>
      <c r="BG18" s="302">
        <f>Tabla14[[#This Row],[REAJUSTADO]]*Tabla14[[#This Row],[Personas Rechazo]]</f>
        <v>0</v>
      </c>
      <c r="BH18" s="292" t="str">
        <f>Tabla14[[#This Row],[Finca]]</f>
        <v>Damaquiel</v>
      </c>
      <c r="BJ18" s="330">
        <f>Tabla14[[#This Row],[Numero de Ocacionales]]*Tabla14[[#This Row],[REAJUSTADO]]</f>
        <v>0</v>
      </c>
      <c r="BM18" s="330">
        <f>+Tabla14[[#This Row],[CUANTO SE REAJUSTA]]*3</f>
        <v>93060</v>
      </c>
    </row>
    <row r="19" spans="3:65" hidden="1" x14ac:dyDescent="0.25">
      <c r="C19" s="71">
        <v>44572</v>
      </c>
      <c r="D19" s="507">
        <f>YEAR(Tabla14[[#This Row],[Fecha]])</f>
        <v>2022</v>
      </c>
      <c r="E19" s="306">
        <f>IF(Tabla14[[#This Row],[Fecha]]&gt;0,_xlfn.ISOWEEKNUM(Tabla14[[#This Row],[Fecha]]),0)</f>
        <v>2</v>
      </c>
      <c r="F19" s="74">
        <v>333</v>
      </c>
      <c r="G19" s="268" t="s">
        <v>152</v>
      </c>
      <c r="H19" s="293" t="str">
        <f>_xlfn.XLOOKUP(Tabla14[[#This Row],[Codigo Finca]],Tabla4[Codigo Finca],Tabla4[Nombre Finca],"")</f>
        <v>San Pedro</v>
      </c>
      <c r="I19" s="262">
        <f>_xlfn.XLOOKUP(Tabla14[[#This Row],[Codigo Finca]],Tabla4[Codigo Finca],Tabla4[Precio Caja],0)</f>
        <v>1500</v>
      </c>
      <c r="J19" s="262">
        <f>_xlfn.XLOOKUP(Tabla14[[#This Row],[Codigo Finca]],Tabla4[Codigo Finca],Tabla4[Precio Caja Segunda],0)</f>
        <v>1000</v>
      </c>
      <c r="K19" s="262">
        <f>_xlfn.XLOOKUP(Tabla14[[#This Row],[Codigo Finca]],Tabla4[Codigo Finca],Tabla4[Precio Rechazo],0)</f>
        <v>500</v>
      </c>
      <c r="L19" s="262">
        <f t="shared" si="0"/>
        <v>1132</v>
      </c>
      <c r="M19" s="272">
        <f t="shared" si="1"/>
        <v>3.3993993993993996</v>
      </c>
      <c r="N19" s="269"/>
      <c r="O19" s="270"/>
      <c r="P19" s="251">
        <f t="shared" si="2"/>
        <v>0</v>
      </c>
      <c r="Q19" s="263">
        <f t="shared" si="3"/>
        <v>0</v>
      </c>
      <c r="R19" s="265">
        <f t="shared" si="4"/>
        <v>0</v>
      </c>
      <c r="S19" s="269">
        <v>1132</v>
      </c>
      <c r="T19" s="268">
        <v>13</v>
      </c>
      <c r="U19" s="251">
        <f t="shared" si="5"/>
        <v>333</v>
      </c>
      <c r="V19" s="263">
        <f t="shared" si="6"/>
        <v>25.615384615384617</v>
      </c>
      <c r="W19" s="265">
        <f t="shared" si="7"/>
        <v>38423.076923076922</v>
      </c>
      <c r="X19" s="269"/>
      <c r="Y19" s="268"/>
      <c r="Z19" s="251">
        <f>Tabla14[[#This Row],[Cajas Segunda]]</f>
        <v>0</v>
      </c>
      <c r="AA19" s="263">
        <f t="shared" si="8"/>
        <v>0</v>
      </c>
      <c r="AB19" s="265">
        <f t="shared" si="9"/>
        <v>0</v>
      </c>
      <c r="AC19" s="273">
        <v>11.9</v>
      </c>
      <c r="AD19" s="271"/>
      <c r="AE19" s="271"/>
      <c r="AF19" s="271"/>
      <c r="AG19" s="271">
        <v>13</v>
      </c>
      <c r="AH19" s="251">
        <f t="shared" si="10"/>
        <v>11.9</v>
      </c>
      <c r="AI19" s="263">
        <f t="shared" si="11"/>
        <v>0.91538461538461546</v>
      </c>
      <c r="AJ19" s="265">
        <f t="shared" si="12"/>
        <v>457.69230769230774</v>
      </c>
      <c r="AK19" s="264">
        <f>Tabla14[[#This Row],[Cajas por Personas]]</f>
        <v>0</v>
      </c>
      <c r="AL19" s="267">
        <f>Tabla14[[#This Row],[Valor Precorte Pesona]]</f>
        <v>0</v>
      </c>
      <c r="AM19" s="294">
        <f>Tabla14[[#This Row],[Personas Precorte]]</f>
        <v>0</v>
      </c>
      <c r="AN19" s="305">
        <f>Tabla14[[#This Row],[Valor Precorte Pesona Precorte]]*Tabla14[[#This Row],[Perzonas Precorte]]</f>
        <v>0</v>
      </c>
      <c r="AO19" s="264">
        <f>Tabla14[[#This Row],[Cajas por Personas2]]</f>
        <v>25.615384615384617</v>
      </c>
      <c r="AP19" s="267">
        <f>Tabla14[[#This Row],[Valor Embarque Pesona]]</f>
        <v>38423.076923076922</v>
      </c>
      <c r="AQ19" s="295">
        <f>Tabla14[[#This Row],[Personas Precorte2]]</f>
        <v>13</v>
      </c>
      <c r="AR19" s="304">
        <f>Tabla14[[#This Row],[Valor Embarque Pesona3]]*Tabla14[[#This Row],[Perzona Primera]]</f>
        <v>499500</v>
      </c>
      <c r="AS19" s="264">
        <f>Tabla14[[#This Row],[Columna2]]</f>
        <v>0</v>
      </c>
      <c r="AT19" s="267">
        <f>Tabla14[[#This Row],[Columna1]]</f>
        <v>0</v>
      </c>
      <c r="AU19" s="302">
        <f>Tabla14[[#This Row],[Personas Intervienen]]</f>
        <v>0</v>
      </c>
      <c r="AV19" s="303">
        <f>Tabla14[[#This Row],[Valor Embarque Pesona5]]*Tabla14[[#This Row],[Presonas Segunda]]</f>
        <v>0</v>
      </c>
      <c r="AW19" s="264">
        <f>Tabla14[[#This Row],[Bolsas Por Personas]]</f>
        <v>0.91538461538461546</v>
      </c>
      <c r="AX19" s="267">
        <f>Tabla14[[#This Row],[Valor bolsas Pesona]]</f>
        <v>457.69230769230774</v>
      </c>
      <c r="AY19" s="290">
        <f>Tabla14[[#This Row],[Personas13]]</f>
        <v>13</v>
      </c>
      <c r="AZ19" s="301">
        <f>Tabla14[[#This Row],[Valor bolsas Pesona2]]*Tabla14[[#This Row],[Personas Rechazo]]</f>
        <v>5950.0000000000009</v>
      </c>
      <c r="BA19" s="300">
        <f>+Tabla14[[#This Row],[Total Valor Segunda]]+Tabla14[[#This Row],[Total Valor Primera]]+Tabla14[[#This Row],[Total Valor Precorte]]</f>
        <v>499500</v>
      </c>
      <c r="BB19" s="292">
        <f>Tabla14[[#This Row],[Valor bolsas Pesona2]]+Tabla14[[#This Row],[Valor Embarque Pesona3]]</f>
        <v>38880.769230769227</v>
      </c>
      <c r="BD19" s="292">
        <f>Tabla14[[#This Row],[VALOR GANADO]]-Tabla14[[#This Row],[REAJUSTADO]]</f>
        <v>38880.769230769227</v>
      </c>
      <c r="BE19" s="250">
        <f>Tabla14[[#This Row],[CUANTO SE REAJUSTA]]*Tabla14[[#This Row],[Personas Rechazo]]</f>
        <v>505449.99999999994</v>
      </c>
      <c r="BF19" s="250">
        <f>Tabla14[[#This Row],[REAJUSTADO]]/25000</f>
        <v>0</v>
      </c>
      <c r="BG19" s="302">
        <f>Tabla14[[#This Row],[REAJUSTADO]]*Tabla14[[#This Row],[Personas Rechazo]]</f>
        <v>0</v>
      </c>
      <c r="BH19" s="292" t="str">
        <f>Tabla14[[#This Row],[Finca]]</f>
        <v>San Pedro</v>
      </c>
      <c r="BJ19" s="330">
        <f>Tabla14[[#This Row],[Numero de Ocacionales]]*Tabla14[[#This Row],[REAJUSTADO]]</f>
        <v>0</v>
      </c>
      <c r="BM19" s="330">
        <f>+Tabla14[[#This Row],[CUANTO SE REAJUSTA]]*3</f>
        <v>116642.30769230769</v>
      </c>
    </row>
    <row r="20" spans="3:65" hidden="1" x14ac:dyDescent="0.25">
      <c r="C20" s="71">
        <v>44572</v>
      </c>
      <c r="D20" s="507">
        <f>YEAR(Tabla14[[#This Row],[Fecha]])</f>
        <v>2022</v>
      </c>
      <c r="E20" s="306">
        <f>IF(Tabla14[[#This Row],[Fecha]]&gt;0,_xlfn.ISOWEEKNUM(Tabla14[[#This Row],[Fecha]]),0)</f>
        <v>2</v>
      </c>
      <c r="F20" s="74">
        <v>65</v>
      </c>
      <c r="G20" s="268" t="s">
        <v>153</v>
      </c>
      <c r="H20" s="293" t="str">
        <f>_xlfn.XLOOKUP(Tabla14[[#This Row],[Codigo Finca]],Tabla4[Codigo Finca],Tabla4[Nombre Finca],"")</f>
        <v>Uveros</v>
      </c>
      <c r="I20" s="262">
        <f>_xlfn.XLOOKUP(Tabla14[[#This Row],[Codigo Finca]],Tabla4[Codigo Finca],Tabla4[Precio Caja],0)</f>
        <v>1500</v>
      </c>
      <c r="J20" s="262">
        <f>_xlfn.XLOOKUP(Tabla14[[#This Row],[Codigo Finca]],Tabla4[Codigo Finca],Tabla4[Precio Caja Segunda],0)</f>
        <v>1000</v>
      </c>
      <c r="K20" s="262">
        <f>_xlfn.XLOOKUP(Tabla14[[#This Row],[Codigo Finca]],Tabla4[Codigo Finca],Tabla4[Precio Rechazo],0)</f>
        <v>500</v>
      </c>
      <c r="L20" s="262">
        <f t="shared" si="0"/>
        <v>283</v>
      </c>
      <c r="M20" s="272">
        <f t="shared" si="1"/>
        <v>4.3538461538461535</v>
      </c>
      <c r="N20" s="269"/>
      <c r="O20" s="270"/>
      <c r="P20" s="251">
        <f t="shared" si="2"/>
        <v>0</v>
      </c>
      <c r="Q20" s="263">
        <f t="shared" si="3"/>
        <v>0</v>
      </c>
      <c r="R20" s="265">
        <f t="shared" si="4"/>
        <v>0</v>
      </c>
      <c r="S20" s="269">
        <v>283</v>
      </c>
      <c r="T20" s="268">
        <v>4</v>
      </c>
      <c r="U20" s="251">
        <f t="shared" si="5"/>
        <v>65</v>
      </c>
      <c r="V20" s="263">
        <f t="shared" si="6"/>
        <v>16.25</v>
      </c>
      <c r="W20" s="265">
        <f t="shared" si="7"/>
        <v>24375</v>
      </c>
      <c r="X20" s="269"/>
      <c r="Y20" s="268"/>
      <c r="Z20" s="251">
        <f>Tabla14[[#This Row],[Cajas Segunda]]</f>
        <v>0</v>
      </c>
      <c r="AA20" s="263">
        <f t="shared" si="8"/>
        <v>0</v>
      </c>
      <c r="AB20" s="265">
        <f t="shared" si="9"/>
        <v>0</v>
      </c>
      <c r="AC20" s="273">
        <v>4</v>
      </c>
      <c r="AD20" s="271"/>
      <c r="AE20" s="271"/>
      <c r="AF20" s="271"/>
      <c r="AG20" s="271">
        <v>4</v>
      </c>
      <c r="AH20" s="251">
        <f t="shared" si="10"/>
        <v>4</v>
      </c>
      <c r="AI20" s="263">
        <f t="shared" si="11"/>
        <v>1</v>
      </c>
      <c r="AJ20" s="265">
        <f t="shared" si="12"/>
        <v>500</v>
      </c>
      <c r="AK20" s="264">
        <f>Tabla14[[#This Row],[Cajas por Personas]]</f>
        <v>0</v>
      </c>
      <c r="AL20" s="267">
        <f>Tabla14[[#This Row],[Valor Precorte Pesona]]</f>
        <v>0</v>
      </c>
      <c r="AM20" s="294">
        <f>Tabla14[[#This Row],[Personas Precorte]]</f>
        <v>0</v>
      </c>
      <c r="AN20" s="305">
        <f>Tabla14[[#This Row],[Valor Precorte Pesona Precorte]]*Tabla14[[#This Row],[Perzonas Precorte]]</f>
        <v>0</v>
      </c>
      <c r="AO20" s="264">
        <f>Tabla14[[#This Row],[Cajas por Personas2]]</f>
        <v>16.25</v>
      </c>
      <c r="AP20" s="267">
        <f>Tabla14[[#This Row],[Valor Embarque Pesona]]</f>
        <v>24375</v>
      </c>
      <c r="AQ20" s="295">
        <f>Tabla14[[#This Row],[Personas Precorte2]]</f>
        <v>4</v>
      </c>
      <c r="AR20" s="304">
        <f>Tabla14[[#This Row],[Valor Embarque Pesona3]]*Tabla14[[#This Row],[Perzona Primera]]</f>
        <v>97500</v>
      </c>
      <c r="AS20" s="264">
        <f>Tabla14[[#This Row],[Columna2]]</f>
        <v>0</v>
      </c>
      <c r="AT20" s="267">
        <f>Tabla14[[#This Row],[Columna1]]</f>
        <v>0</v>
      </c>
      <c r="AU20" s="302">
        <f>Tabla14[[#This Row],[Personas Intervienen]]</f>
        <v>0</v>
      </c>
      <c r="AV20" s="303">
        <f>Tabla14[[#This Row],[Valor Embarque Pesona5]]*Tabla14[[#This Row],[Presonas Segunda]]</f>
        <v>0</v>
      </c>
      <c r="AW20" s="264">
        <f>Tabla14[[#This Row],[Bolsas Por Personas]]</f>
        <v>1</v>
      </c>
      <c r="AX20" s="267">
        <f>Tabla14[[#This Row],[Valor bolsas Pesona]]</f>
        <v>500</v>
      </c>
      <c r="AY20" s="290">
        <f>Tabla14[[#This Row],[Personas13]]</f>
        <v>4</v>
      </c>
      <c r="AZ20" s="301">
        <f>Tabla14[[#This Row],[Valor bolsas Pesona2]]*Tabla14[[#This Row],[Personas Rechazo]]</f>
        <v>2000</v>
      </c>
      <c r="BA20" s="300">
        <f>+Tabla14[[#This Row],[Total Valor Segunda]]+Tabla14[[#This Row],[Total Valor Primera]]+Tabla14[[#This Row],[Total Valor Precorte]]</f>
        <v>97500</v>
      </c>
      <c r="BB20" s="292">
        <f>Tabla14[[#This Row],[Valor bolsas Pesona2]]+Tabla14[[#This Row],[Valor Embarque Pesona3]]</f>
        <v>24875</v>
      </c>
      <c r="BD20" s="292">
        <f>Tabla14[[#This Row],[VALOR GANADO]]-Tabla14[[#This Row],[REAJUSTADO]]</f>
        <v>24875</v>
      </c>
      <c r="BE20" s="250">
        <f>Tabla14[[#This Row],[CUANTO SE REAJUSTA]]*Tabla14[[#This Row],[Personas Rechazo]]</f>
        <v>99500</v>
      </c>
      <c r="BF20" s="250">
        <f>Tabla14[[#This Row],[REAJUSTADO]]/25000</f>
        <v>0</v>
      </c>
      <c r="BG20" s="302">
        <f>Tabla14[[#This Row],[REAJUSTADO]]*Tabla14[[#This Row],[Personas Rechazo]]</f>
        <v>0</v>
      </c>
      <c r="BH20" s="292" t="str">
        <f>Tabla14[[#This Row],[Finca]]</f>
        <v>Uveros</v>
      </c>
      <c r="BJ20" s="330">
        <f>Tabla14[[#This Row],[Numero de Ocacionales]]*Tabla14[[#This Row],[REAJUSTADO]]</f>
        <v>0</v>
      </c>
      <c r="BM20" s="330">
        <f>+Tabla14[[#This Row],[CUANTO SE REAJUSTA]]*3</f>
        <v>74625</v>
      </c>
    </row>
    <row r="21" spans="3:65" hidden="1" x14ac:dyDescent="0.25">
      <c r="C21" s="71">
        <v>44573</v>
      </c>
      <c r="D21" s="507">
        <f>YEAR(Tabla14[[#This Row],[Fecha]])</f>
        <v>2022</v>
      </c>
      <c r="E21" s="306">
        <f>IF(Tabla14[[#This Row],[Fecha]]&gt;0,_xlfn.ISOWEEKNUM(Tabla14[[#This Row],[Fecha]]),0)</f>
        <v>2</v>
      </c>
      <c r="F21" s="74">
        <v>296</v>
      </c>
      <c r="G21" s="268" t="s">
        <v>152</v>
      </c>
      <c r="H21" s="293" t="str">
        <f>_xlfn.XLOOKUP(Tabla14[[#This Row],[Codigo Finca]],Tabla4[Codigo Finca],Tabla4[Nombre Finca],"")</f>
        <v>San Pedro</v>
      </c>
      <c r="I21" s="262">
        <f>_xlfn.XLOOKUP(Tabla14[[#This Row],[Codigo Finca]],Tabla4[Codigo Finca],Tabla4[Precio Caja],0)</f>
        <v>1500</v>
      </c>
      <c r="J21" s="262">
        <f>_xlfn.XLOOKUP(Tabla14[[#This Row],[Codigo Finca]],Tabla4[Codigo Finca],Tabla4[Precio Caja Segunda],0)</f>
        <v>1000</v>
      </c>
      <c r="K21" s="262">
        <f>_xlfn.XLOOKUP(Tabla14[[#This Row],[Codigo Finca]],Tabla4[Codigo Finca],Tabla4[Precio Rechazo],0)</f>
        <v>500</v>
      </c>
      <c r="L21" s="262">
        <f t="shared" si="0"/>
        <v>1086</v>
      </c>
      <c r="M21" s="272">
        <f t="shared" si="1"/>
        <v>3.6689189189189189</v>
      </c>
      <c r="N21" s="269"/>
      <c r="O21" s="270"/>
      <c r="P21" s="251">
        <f t="shared" si="2"/>
        <v>0</v>
      </c>
      <c r="Q21" s="263">
        <f t="shared" si="3"/>
        <v>0</v>
      </c>
      <c r="R21" s="265">
        <f t="shared" si="4"/>
        <v>0</v>
      </c>
      <c r="S21" s="269">
        <v>1086</v>
      </c>
      <c r="T21" s="268">
        <v>14</v>
      </c>
      <c r="U21" s="251">
        <f t="shared" si="5"/>
        <v>296</v>
      </c>
      <c r="V21" s="263">
        <f t="shared" si="6"/>
        <v>21.142857142857142</v>
      </c>
      <c r="W21" s="265">
        <f t="shared" si="7"/>
        <v>31714.285714285714</v>
      </c>
      <c r="X21" s="269"/>
      <c r="Y21" s="268"/>
      <c r="Z21" s="251">
        <f>Tabla14[[#This Row],[Cajas Segunda]]</f>
        <v>0</v>
      </c>
      <c r="AA21" s="263">
        <f t="shared" si="8"/>
        <v>0</v>
      </c>
      <c r="AB21" s="265">
        <f t="shared" si="9"/>
        <v>0</v>
      </c>
      <c r="AC21" s="273">
        <v>13.6</v>
      </c>
      <c r="AD21" s="271"/>
      <c r="AE21" s="271"/>
      <c r="AF21" s="271"/>
      <c r="AG21" s="271">
        <v>14</v>
      </c>
      <c r="AH21" s="251">
        <f t="shared" si="10"/>
        <v>13.6</v>
      </c>
      <c r="AI21" s="263">
        <f t="shared" si="11"/>
        <v>0.97142857142857142</v>
      </c>
      <c r="AJ21" s="265">
        <f t="shared" si="12"/>
        <v>485.71428571428572</v>
      </c>
      <c r="AK21" s="264">
        <f>Tabla14[[#This Row],[Cajas por Personas]]</f>
        <v>0</v>
      </c>
      <c r="AL21" s="267">
        <f>Tabla14[[#This Row],[Valor Precorte Pesona]]</f>
        <v>0</v>
      </c>
      <c r="AM21" s="294">
        <f>Tabla14[[#This Row],[Personas Precorte]]</f>
        <v>0</v>
      </c>
      <c r="AN21" s="305">
        <f>Tabla14[[#This Row],[Valor Precorte Pesona Precorte]]*Tabla14[[#This Row],[Perzonas Precorte]]</f>
        <v>0</v>
      </c>
      <c r="AO21" s="264">
        <f>Tabla14[[#This Row],[Cajas por Personas2]]</f>
        <v>21.142857142857142</v>
      </c>
      <c r="AP21" s="267">
        <f>Tabla14[[#This Row],[Valor Embarque Pesona]]</f>
        <v>31714.285714285714</v>
      </c>
      <c r="AQ21" s="295">
        <f>Tabla14[[#This Row],[Personas Precorte2]]</f>
        <v>14</v>
      </c>
      <c r="AR21" s="304">
        <f>Tabla14[[#This Row],[Valor Embarque Pesona3]]*Tabla14[[#This Row],[Perzona Primera]]</f>
        <v>444000</v>
      </c>
      <c r="AS21" s="264">
        <f>Tabla14[[#This Row],[Columna2]]</f>
        <v>0</v>
      </c>
      <c r="AT21" s="267">
        <f>Tabla14[[#This Row],[Columna1]]</f>
        <v>0</v>
      </c>
      <c r="AU21" s="302">
        <f>Tabla14[[#This Row],[Personas Intervienen]]</f>
        <v>0</v>
      </c>
      <c r="AV21" s="303">
        <f>Tabla14[[#This Row],[Valor Embarque Pesona5]]*Tabla14[[#This Row],[Presonas Segunda]]</f>
        <v>0</v>
      </c>
      <c r="AW21" s="264">
        <f>Tabla14[[#This Row],[Bolsas Por Personas]]</f>
        <v>0.97142857142857142</v>
      </c>
      <c r="AX21" s="267">
        <f>Tabla14[[#This Row],[Valor bolsas Pesona]]</f>
        <v>485.71428571428572</v>
      </c>
      <c r="AY21" s="290">
        <f>Tabla14[[#This Row],[Personas13]]</f>
        <v>14</v>
      </c>
      <c r="AZ21" s="301">
        <f>Tabla14[[#This Row],[Valor bolsas Pesona2]]*Tabla14[[#This Row],[Personas Rechazo]]</f>
        <v>6800</v>
      </c>
      <c r="BA21" s="300">
        <f>+Tabla14[[#This Row],[Total Valor Segunda]]+Tabla14[[#This Row],[Total Valor Primera]]+Tabla14[[#This Row],[Total Valor Precorte]]</f>
        <v>444000</v>
      </c>
      <c r="BB21" s="292">
        <f>Tabla14[[#This Row],[Valor bolsas Pesona2]]+Tabla14[[#This Row],[Valor Embarque Pesona3]]</f>
        <v>32200</v>
      </c>
      <c r="BD21" s="292">
        <f>Tabla14[[#This Row],[VALOR GANADO]]-Tabla14[[#This Row],[REAJUSTADO]]</f>
        <v>32200</v>
      </c>
      <c r="BE21" s="250">
        <f>Tabla14[[#This Row],[CUANTO SE REAJUSTA]]*Tabla14[[#This Row],[Personas Rechazo]]</f>
        <v>450800</v>
      </c>
      <c r="BF21" s="250">
        <f>Tabla14[[#This Row],[REAJUSTADO]]/25000</f>
        <v>0</v>
      </c>
      <c r="BG21" s="302">
        <f>Tabla14[[#This Row],[REAJUSTADO]]*Tabla14[[#This Row],[Personas Rechazo]]</f>
        <v>0</v>
      </c>
      <c r="BH21" s="292" t="str">
        <f>Tabla14[[#This Row],[Finca]]</f>
        <v>San Pedro</v>
      </c>
      <c r="BJ21" s="330">
        <f>Tabla14[[#This Row],[Numero de Ocacionales]]*Tabla14[[#This Row],[REAJUSTADO]]</f>
        <v>0</v>
      </c>
      <c r="BM21" s="330">
        <f>+Tabla14[[#This Row],[CUANTO SE REAJUSTA]]*3</f>
        <v>96600</v>
      </c>
    </row>
    <row r="22" spans="3:65" hidden="1" x14ac:dyDescent="0.25">
      <c r="C22" s="71">
        <v>44573</v>
      </c>
      <c r="D22" s="507">
        <f>YEAR(Tabla14[[#This Row],[Fecha]])</f>
        <v>2022</v>
      </c>
      <c r="E22" s="306">
        <f>IF(Tabla14[[#This Row],[Fecha]]&gt;0,_xlfn.ISOWEEKNUM(Tabla14[[#This Row],[Fecha]]),0)</f>
        <v>2</v>
      </c>
      <c r="F22" s="74">
        <v>81</v>
      </c>
      <c r="G22" s="268" t="s">
        <v>155</v>
      </c>
      <c r="H22" s="293" t="str">
        <f>_xlfn.XLOOKUP(Tabla14[[#This Row],[Codigo Finca]],Tabla4[Codigo Finca],Tabla4[Nombre Finca],"")</f>
        <v>Damaquiel</v>
      </c>
      <c r="I22" s="262">
        <f>_xlfn.XLOOKUP(Tabla14[[#This Row],[Codigo Finca]],Tabla4[Codigo Finca],Tabla4[Precio Caja],0)</f>
        <v>1500</v>
      </c>
      <c r="J22" s="262">
        <f>_xlfn.XLOOKUP(Tabla14[[#This Row],[Codigo Finca]],Tabla4[Codigo Finca],Tabla4[Precio Caja Segunda],0)</f>
        <v>1000</v>
      </c>
      <c r="K22" s="262">
        <f>_xlfn.XLOOKUP(Tabla14[[#This Row],[Codigo Finca]],Tabla4[Codigo Finca],Tabla4[Precio Rechazo],0)</f>
        <v>500</v>
      </c>
      <c r="L22" s="262">
        <f t="shared" si="0"/>
        <v>461</v>
      </c>
      <c r="M22" s="272">
        <f t="shared" si="1"/>
        <v>5.6913580246913584</v>
      </c>
      <c r="N22" s="269"/>
      <c r="O22" s="270"/>
      <c r="P22" s="251">
        <f t="shared" si="2"/>
        <v>0</v>
      </c>
      <c r="Q22" s="263">
        <f t="shared" si="3"/>
        <v>0</v>
      </c>
      <c r="R22" s="265">
        <f t="shared" si="4"/>
        <v>0</v>
      </c>
      <c r="S22" s="269">
        <v>461</v>
      </c>
      <c r="T22" s="268">
        <v>5</v>
      </c>
      <c r="U22" s="251">
        <f t="shared" si="5"/>
        <v>81</v>
      </c>
      <c r="V22" s="263">
        <f t="shared" si="6"/>
        <v>16.2</v>
      </c>
      <c r="W22" s="265">
        <f t="shared" si="7"/>
        <v>24300</v>
      </c>
      <c r="X22" s="269"/>
      <c r="Y22" s="268"/>
      <c r="Z22" s="251">
        <f>Tabla14[[#This Row],[Cajas Segunda]]</f>
        <v>0</v>
      </c>
      <c r="AA22" s="263">
        <f t="shared" si="8"/>
        <v>0</v>
      </c>
      <c r="AB22" s="265">
        <f t="shared" si="9"/>
        <v>0</v>
      </c>
      <c r="AC22" s="273">
        <v>10.199999999999999</v>
      </c>
      <c r="AD22" s="271"/>
      <c r="AE22" s="271"/>
      <c r="AF22" s="271"/>
      <c r="AG22" s="271">
        <v>5</v>
      </c>
      <c r="AH22" s="251">
        <f t="shared" si="10"/>
        <v>10.199999999999999</v>
      </c>
      <c r="AI22" s="263">
        <f t="shared" si="11"/>
        <v>2.04</v>
      </c>
      <c r="AJ22" s="265">
        <f t="shared" si="12"/>
        <v>1020</v>
      </c>
      <c r="AK22" s="264">
        <f>Tabla14[[#This Row],[Cajas por Personas]]</f>
        <v>0</v>
      </c>
      <c r="AL22" s="267">
        <f>Tabla14[[#This Row],[Valor Precorte Pesona]]</f>
        <v>0</v>
      </c>
      <c r="AM22" s="294">
        <f>Tabla14[[#This Row],[Personas Precorte]]</f>
        <v>0</v>
      </c>
      <c r="AN22" s="305">
        <f>Tabla14[[#This Row],[Valor Precorte Pesona Precorte]]*Tabla14[[#This Row],[Perzonas Precorte]]</f>
        <v>0</v>
      </c>
      <c r="AO22" s="264">
        <f>Tabla14[[#This Row],[Cajas por Personas2]]</f>
        <v>16.2</v>
      </c>
      <c r="AP22" s="267">
        <f>Tabla14[[#This Row],[Valor Embarque Pesona]]</f>
        <v>24300</v>
      </c>
      <c r="AQ22" s="295">
        <f>Tabla14[[#This Row],[Personas Precorte2]]</f>
        <v>5</v>
      </c>
      <c r="AR22" s="304">
        <f>Tabla14[[#This Row],[Valor Embarque Pesona3]]*Tabla14[[#This Row],[Perzona Primera]]</f>
        <v>121500</v>
      </c>
      <c r="AS22" s="264">
        <f>Tabla14[[#This Row],[Columna2]]</f>
        <v>0</v>
      </c>
      <c r="AT22" s="267">
        <f>Tabla14[[#This Row],[Columna1]]</f>
        <v>0</v>
      </c>
      <c r="AU22" s="302">
        <f>Tabla14[[#This Row],[Personas Intervienen]]</f>
        <v>0</v>
      </c>
      <c r="AV22" s="303">
        <f>Tabla14[[#This Row],[Valor Embarque Pesona5]]*Tabla14[[#This Row],[Presonas Segunda]]</f>
        <v>0</v>
      </c>
      <c r="AW22" s="264">
        <f>Tabla14[[#This Row],[Bolsas Por Personas]]</f>
        <v>2.04</v>
      </c>
      <c r="AX22" s="267">
        <f>Tabla14[[#This Row],[Valor bolsas Pesona]]</f>
        <v>1020</v>
      </c>
      <c r="AY22" s="290">
        <f>Tabla14[[#This Row],[Personas13]]</f>
        <v>5</v>
      </c>
      <c r="AZ22" s="301">
        <f>Tabla14[[#This Row],[Valor bolsas Pesona2]]*Tabla14[[#This Row],[Personas Rechazo]]</f>
        <v>5100</v>
      </c>
      <c r="BA22" s="300">
        <f>+Tabla14[[#This Row],[Total Valor Segunda]]+Tabla14[[#This Row],[Total Valor Primera]]+Tabla14[[#This Row],[Total Valor Precorte]]</f>
        <v>121500</v>
      </c>
      <c r="BB22" s="292">
        <f>Tabla14[[#This Row],[Valor bolsas Pesona2]]+Tabla14[[#This Row],[Valor Embarque Pesona3]]</f>
        <v>25320</v>
      </c>
      <c r="BD22" s="292">
        <f>Tabla14[[#This Row],[VALOR GANADO]]-Tabla14[[#This Row],[REAJUSTADO]]</f>
        <v>25320</v>
      </c>
      <c r="BE22" s="250">
        <f>Tabla14[[#This Row],[CUANTO SE REAJUSTA]]*Tabla14[[#This Row],[Personas Rechazo]]</f>
        <v>126600</v>
      </c>
      <c r="BF22" s="250">
        <f>Tabla14[[#This Row],[REAJUSTADO]]/25000</f>
        <v>0</v>
      </c>
      <c r="BG22" s="302">
        <f>Tabla14[[#This Row],[REAJUSTADO]]*Tabla14[[#This Row],[Personas Rechazo]]</f>
        <v>0</v>
      </c>
      <c r="BH22" s="292" t="str">
        <f>Tabla14[[#This Row],[Finca]]</f>
        <v>Damaquiel</v>
      </c>
      <c r="BJ22" s="330">
        <f>Tabla14[[#This Row],[Numero de Ocacionales]]*Tabla14[[#This Row],[REAJUSTADO]]</f>
        <v>0</v>
      </c>
      <c r="BM22" s="330">
        <f>+Tabla14[[#This Row],[CUANTO SE REAJUSTA]]*3</f>
        <v>75960</v>
      </c>
    </row>
    <row r="23" spans="3:65" hidden="1" x14ac:dyDescent="0.25">
      <c r="C23" s="71">
        <v>44579</v>
      </c>
      <c r="D23" s="507">
        <f>YEAR(Tabla14[[#This Row],[Fecha]])</f>
        <v>2022</v>
      </c>
      <c r="E23" s="306">
        <f>IF(Tabla14[[#This Row],[Fecha]]&gt;0,_xlfn.ISOWEEKNUM(Tabla14[[#This Row],[Fecha]]),0)</f>
        <v>3</v>
      </c>
      <c r="F23" s="74">
        <v>87</v>
      </c>
      <c r="G23" s="268" t="s">
        <v>157</v>
      </c>
      <c r="H23" s="293" t="str">
        <f>_xlfn.XLOOKUP(Tabla14[[#This Row],[Codigo Finca]],Tabla4[Codigo Finca],Tabla4[Nombre Finca],"")</f>
        <v>Pedrito</v>
      </c>
      <c r="I23" s="262">
        <f>_xlfn.XLOOKUP(Tabla14[[#This Row],[Codigo Finca]],Tabla4[Codigo Finca],Tabla4[Precio Caja],0)</f>
        <v>2100</v>
      </c>
      <c r="J23" s="262">
        <f>_xlfn.XLOOKUP(Tabla14[[#This Row],[Codigo Finca]],Tabla4[Codigo Finca],Tabla4[Precio Caja Segunda],0)</f>
        <v>1000</v>
      </c>
      <c r="K23" s="262">
        <f>_xlfn.XLOOKUP(Tabla14[[#This Row],[Codigo Finca]],Tabla4[Codigo Finca],Tabla4[Precio Rechazo],0)</f>
        <v>500</v>
      </c>
      <c r="L23" s="262">
        <f t="shared" si="0"/>
        <v>522</v>
      </c>
      <c r="M23" s="272">
        <f t="shared" si="1"/>
        <v>6</v>
      </c>
      <c r="N23" s="269"/>
      <c r="O23" s="270"/>
      <c r="P23" s="251">
        <f t="shared" si="2"/>
        <v>0</v>
      </c>
      <c r="Q23" s="263">
        <f t="shared" si="3"/>
        <v>0</v>
      </c>
      <c r="R23" s="265">
        <f t="shared" si="4"/>
        <v>0</v>
      </c>
      <c r="S23" s="269">
        <v>522</v>
      </c>
      <c r="T23" s="268">
        <v>7</v>
      </c>
      <c r="U23" s="251">
        <f t="shared" si="5"/>
        <v>87</v>
      </c>
      <c r="V23" s="263">
        <f t="shared" si="6"/>
        <v>12.428571428571429</v>
      </c>
      <c r="W23" s="265">
        <f t="shared" si="7"/>
        <v>26100</v>
      </c>
      <c r="X23" s="269"/>
      <c r="Y23" s="268"/>
      <c r="Z23" s="251">
        <f>Tabla14[[#This Row],[Cajas Segunda]]</f>
        <v>0</v>
      </c>
      <c r="AA23" s="263">
        <f t="shared" si="8"/>
        <v>0</v>
      </c>
      <c r="AB23" s="265">
        <f t="shared" si="9"/>
        <v>0</v>
      </c>
      <c r="AC23" s="273">
        <v>37.4</v>
      </c>
      <c r="AD23" s="271"/>
      <c r="AE23" s="271"/>
      <c r="AF23" s="271"/>
      <c r="AG23" s="271">
        <v>7</v>
      </c>
      <c r="AH23" s="251">
        <f t="shared" si="10"/>
        <v>37.4</v>
      </c>
      <c r="AI23" s="263">
        <f t="shared" si="11"/>
        <v>5.3428571428571425</v>
      </c>
      <c r="AJ23" s="265">
        <f t="shared" si="12"/>
        <v>2671.4285714285711</v>
      </c>
      <c r="AK23" s="264">
        <f>Tabla14[[#This Row],[Cajas por Personas]]</f>
        <v>0</v>
      </c>
      <c r="AL23" s="267">
        <f>Tabla14[[#This Row],[Valor Precorte Pesona]]</f>
        <v>0</v>
      </c>
      <c r="AM23" s="294">
        <f>Tabla14[[#This Row],[Personas Precorte]]</f>
        <v>0</v>
      </c>
      <c r="AN23" s="305">
        <f>Tabla14[[#This Row],[Valor Precorte Pesona Precorte]]*Tabla14[[#This Row],[Perzonas Precorte]]</f>
        <v>0</v>
      </c>
      <c r="AO23" s="264">
        <f>Tabla14[[#This Row],[Cajas por Personas2]]</f>
        <v>12.428571428571429</v>
      </c>
      <c r="AP23" s="267">
        <f>Tabla14[[#This Row],[Valor Embarque Pesona]]</f>
        <v>26100</v>
      </c>
      <c r="AQ23" s="295">
        <f>Tabla14[[#This Row],[Personas Precorte2]]</f>
        <v>7</v>
      </c>
      <c r="AR23" s="304">
        <f>Tabla14[[#This Row],[Valor Embarque Pesona3]]*Tabla14[[#This Row],[Perzona Primera]]</f>
        <v>182700</v>
      </c>
      <c r="AS23" s="264">
        <f>Tabla14[[#This Row],[Columna2]]</f>
        <v>0</v>
      </c>
      <c r="AT23" s="267">
        <f>Tabla14[[#This Row],[Columna1]]</f>
        <v>0</v>
      </c>
      <c r="AU23" s="302">
        <f>Tabla14[[#This Row],[Personas Intervienen]]</f>
        <v>0</v>
      </c>
      <c r="AV23" s="303">
        <f>Tabla14[[#This Row],[Valor Embarque Pesona5]]*Tabla14[[#This Row],[Presonas Segunda]]</f>
        <v>0</v>
      </c>
      <c r="AW23" s="264">
        <f>Tabla14[[#This Row],[Bolsas Por Personas]]</f>
        <v>5.3428571428571425</v>
      </c>
      <c r="AX23" s="267">
        <f>Tabla14[[#This Row],[Valor bolsas Pesona]]</f>
        <v>2671.4285714285711</v>
      </c>
      <c r="AY23" s="290">
        <f>Tabla14[[#This Row],[Personas13]]</f>
        <v>7</v>
      </c>
      <c r="AZ23" s="301">
        <f>Tabla14[[#This Row],[Valor bolsas Pesona2]]*Tabla14[[#This Row],[Personas Rechazo]]</f>
        <v>18699.999999999996</v>
      </c>
      <c r="BA23" s="300">
        <f>+Tabla14[[#This Row],[Total Valor Segunda]]+Tabla14[[#This Row],[Total Valor Primera]]+Tabla14[[#This Row],[Total Valor Precorte]]</f>
        <v>182700</v>
      </c>
      <c r="BB23" s="292">
        <f>Tabla14[[#This Row],[Valor bolsas Pesona2]]+Tabla14[[#This Row],[Valor Embarque Pesona3]]</f>
        <v>28771.428571428572</v>
      </c>
      <c r="BD23" s="292">
        <f>Tabla14[[#This Row],[VALOR GANADO]]-Tabla14[[#This Row],[REAJUSTADO]]</f>
        <v>28771.428571428572</v>
      </c>
      <c r="BE23" s="250">
        <f>Tabla14[[#This Row],[CUANTO SE REAJUSTA]]*Tabla14[[#This Row],[Personas Rechazo]]</f>
        <v>201400</v>
      </c>
      <c r="BF23" s="250">
        <f>Tabla14[[#This Row],[REAJUSTADO]]/25000</f>
        <v>0</v>
      </c>
      <c r="BG23" s="302">
        <f>Tabla14[[#This Row],[REAJUSTADO]]*Tabla14[[#This Row],[Personas Rechazo]]</f>
        <v>0</v>
      </c>
      <c r="BH23" s="292" t="str">
        <f>Tabla14[[#This Row],[Finca]]</f>
        <v>Pedrito</v>
      </c>
      <c r="BJ23" s="330">
        <f>Tabla14[[#This Row],[Numero de Ocacionales]]*Tabla14[[#This Row],[REAJUSTADO]]</f>
        <v>0</v>
      </c>
      <c r="BM23" s="330">
        <f>+Tabla14[[#This Row],[CUANTO SE REAJUSTA]]*3</f>
        <v>86314.28571428571</v>
      </c>
    </row>
    <row r="24" spans="3:65" hidden="1" x14ac:dyDescent="0.25">
      <c r="C24" s="71">
        <v>44579</v>
      </c>
      <c r="D24" s="507">
        <f>YEAR(Tabla14[[#This Row],[Fecha]])</f>
        <v>2022</v>
      </c>
      <c r="E24" s="306">
        <f>IF(Tabla14[[#This Row],[Fecha]]&gt;0,_xlfn.ISOWEEKNUM(Tabla14[[#This Row],[Fecha]]),0)</f>
        <v>3</v>
      </c>
      <c r="F24" s="74">
        <v>162</v>
      </c>
      <c r="G24" s="268" t="s">
        <v>155</v>
      </c>
      <c r="H24" s="293" t="str">
        <f>_xlfn.XLOOKUP(Tabla14[[#This Row],[Codigo Finca]],Tabla4[Codigo Finca],Tabla4[Nombre Finca],"")</f>
        <v>Damaquiel</v>
      </c>
      <c r="I24" s="262">
        <f>_xlfn.XLOOKUP(Tabla14[[#This Row],[Codigo Finca]],Tabla4[Codigo Finca],Tabla4[Precio Caja],0)</f>
        <v>1500</v>
      </c>
      <c r="J24" s="262">
        <f>_xlfn.XLOOKUP(Tabla14[[#This Row],[Codigo Finca]],Tabla4[Codigo Finca],Tabla4[Precio Caja Segunda],0)</f>
        <v>1000</v>
      </c>
      <c r="K24" s="262">
        <f>_xlfn.XLOOKUP(Tabla14[[#This Row],[Codigo Finca]],Tabla4[Codigo Finca],Tabla4[Precio Rechazo],0)</f>
        <v>500</v>
      </c>
      <c r="L24" s="262">
        <f t="shared" si="0"/>
        <v>735</v>
      </c>
      <c r="M24" s="272">
        <f t="shared" si="1"/>
        <v>4.5370370370370372</v>
      </c>
      <c r="N24" s="269"/>
      <c r="O24" s="270"/>
      <c r="P24" s="251">
        <f t="shared" si="2"/>
        <v>0</v>
      </c>
      <c r="Q24" s="263">
        <f t="shared" si="3"/>
        <v>0</v>
      </c>
      <c r="R24" s="265">
        <f t="shared" si="4"/>
        <v>0</v>
      </c>
      <c r="S24" s="269">
        <v>735</v>
      </c>
      <c r="T24" s="268">
        <v>7</v>
      </c>
      <c r="U24" s="251">
        <f t="shared" si="5"/>
        <v>162</v>
      </c>
      <c r="V24" s="263">
        <f t="shared" si="6"/>
        <v>23.142857142857142</v>
      </c>
      <c r="W24" s="265">
        <f t="shared" si="7"/>
        <v>34714.285714285717</v>
      </c>
      <c r="X24" s="269"/>
      <c r="Y24" s="268"/>
      <c r="Z24" s="251">
        <f>Tabla14[[#This Row],[Cajas Segunda]]</f>
        <v>0</v>
      </c>
      <c r="AA24" s="263">
        <f t="shared" si="8"/>
        <v>0</v>
      </c>
      <c r="AB24" s="265">
        <f t="shared" si="9"/>
        <v>0</v>
      </c>
      <c r="AC24" s="273">
        <v>18</v>
      </c>
      <c r="AD24" s="271"/>
      <c r="AE24" s="271"/>
      <c r="AF24" s="271"/>
      <c r="AG24" s="271">
        <v>7</v>
      </c>
      <c r="AH24" s="251">
        <f t="shared" si="10"/>
        <v>18</v>
      </c>
      <c r="AI24" s="263">
        <f t="shared" si="11"/>
        <v>2.5714285714285716</v>
      </c>
      <c r="AJ24" s="265">
        <f t="shared" si="12"/>
        <v>1285.7142857142858</v>
      </c>
      <c r="AK24" s="264">
        <f>Tabla14[[#This Row],[Cajas por Personas]]</f>
        <v>0</v>
      </c>
      <c r="AL24" s="267">
        <f>Tabla14[[#This Row],[Valor Precorte Pesona]]</f>
        <v>0</v>
      </c>
      <c r="AM24" s="294">
        <f>Tabla14[[#This Row],[Personas Precorte]]</f>
        <v>0</v>
      </c>
      <c r="AN24" s="305">
        <f>Tabla14[[#This Row],[Valor Precorte Pesona Precorte]]*Tabla14[[#This Row],[Perzonas Precorte]]</f>
        <v>0</v>
      </c>
      <c r="AO24" s="264">
        <f>Tabla14[[#This Row],[Cajas por Personas2]]</f>
        <v>23.142857142857142</v>
      </c>
      <c r="AP24" s="267">
        <f>Tabla14[[#This Row],[Valor Embarque Pesona]]</f>
        <v>34714.285714285717</v>
      </c>
      <c r="AQ24" s="295">
        <f>Tabla14[[#This Row],[Personas Precorte2]]</f>
        <v>7</v>
      </c>
      <c r="AR24" s="304">
        <f>Tabla14[[#This Row],[Valor Embarque Pesona3]]*Tabla14[[#This Row],[Perzona Primera]]</f>
        <v>243000.00000000003</v>
      </c>
      <c r="AS24" s="264">
        <f>Tabla14[[#This Row],[Columna2]]</f>
        <v>0</v>
      </c>
      <c r="AT24" s="267">
        <f>Tabla14[[#This Row],[Columna1]]</f>
        <v>0</v>
      </c>
      <c r="AU24" s="302">
        <f>Tabla14[[#This Row],[Personas Intervienen]]</f>
        <v>0</v>
      </c>
      <c r="AV24" s="303">
        <f>Tabla14[[#This Row],[Valor Embarque Pesona5]]*Tabla14[[#This Row],[Presonas Segunda]]</f>
        <v>0</v>
      </c>
      <c r="AW24" s="264">
        <f>Tabla14[[#This Row],[Bolsas Por Personas]]</f>
        <v>2.5714285714285716</v>
      </c>
      <c r="AX24" s="267">
        <f>Tabla14[[#This Row],[Valor bolsas Pesona]]</f>
        <v>1285.7142857142858</v>
      </c>
      <c r="AY24" s="290">
        <f>Tabla14[[#This Row],[Personas13]]</f>
        <v>7</v>
      </c>
      <c r="AZ24" s="301">
        <f>Tabla14[[#This Row],[Valor bolsas Pesona2]]*Tabla14[[#This Row],[Personas Rechazo]]</f>
        <v>9000</v>
      </c>
      <c r="BA24" s="300">
        <f>+Tabla14[[#This Row],[Total Valor Segunda]]+Tabla14[[#This Row],[Total Valor Primera]]+Tabla14[[#This Row],[Total Valor Precorte]]</f>
        <v>243000.00000000003</v>
      </c>
      <c r="BB24" s="292">
        <f>Tabla14[[#This Row],[Valor bolsas Pesona2]]+Tabla14[[#This Row],[Valor Embarque Pesona3]]</f>
        <v>36000</v>
      </c>
      <c r="BD24" s="292">
        <f>Tabla14[[#This Row],[VALOR GANADO]]-Tabla14[[#This Row],[REAJUSTADO]]</f>
        <v>36000</v>
      </c>
      <c r="BE24" s="250">
        <f>Tabla14[[#This Row],[CUANTO SE REAJUSTA]]*Tabla14[[#This Row],[Personas Rechazo]]</f>
        <v>252000</v>
      </c>
      <c r="BF24" s="250">
        <f>Tabla14[[#This Row],[REAJUSTADO]]/25000</f>
        <v>0</v>
      </c>
      <c r="BG24" s="302">
        <f>Tabla14[[#This Row],[REAJUSTADO]]*Tabla14[[#This Row],[Personas Rechazo]]</f>
        <v>0</v>
      </c>
      <c r="BH24" s="292" t="str">
        <f>Tabla14[[#This Row],[Finca]]</f>
        <v>Damaquiel</v>
      </c>
      <c r="BJ24" s="330">
        <f>Tabla14[[#This Row],[Numero de Ocacionales]]*Tabla14[[#This Row],[REAJUSTADO]]</f>
        <v>0</v>
      </c>
      <c r="BM24" s="330">
        <f>+Tabla14[[#This Row],[CUANTO SE REAJUSTA]]*3</f>
        <v>108000</v>
      </c>
    </row>
    <row r="25" spans="3:65" hidden="1" x14ac:dyDescent="0.25">
      <c r="C25" s="71">
        <v>44580</v>
      </c>
      <c r="D25" s="507">
        <f>YEAR(Tabla14[[#This Row],[Fecha]])</f>
        <v>2022</v>
      </c>
      <c r="E25" s="306">
        <f>IF(Tabla14[[#This Row],[Fecha]]&gt;0,_xlfn.ISOWEEKNUM(Tabla14[[#This Row],[Fecha]]),0)</f>
        <v>3</v>
      </c>
      <c r="F25" s="74">
        <v>412</v>
      </c>
      <c r="G25" s="268" t="s">
        <v>152</v>
      </c>
      <c r="H25" s="293" t="str">
        <f>_xlfn.XLOOKUP(Tabla14[[#This Row],[Codigo Finca]],Tabla4[Codigo Finca],Tabla4[Nombre Finca],"")</f>
        <v>San Pedro</v>
      </c>
      <c r="I25" s="262">
        <f>_xlfn.XLOOKUP(Tabla14[[#This Row],[Codigo Finca]],Tabla4[Codigo Finca],Tabla4[Precio Caja],0)</f>
        <v>1500</v>
      </c>
      <c r="J25" s="262">
        <f>_xlfn.XLOOKUP(Tabla14[[#This Row],[Codigo Finca]],Tabla4[Codigo Finca],Tabla4[Precio Caja Segunda],0)</f>
        <v>1000</v>
      </c>
      <c r="K25" s="262">
        <f>_xlfn.XLOOKUP(Tabla14[[#This Row],[Codigo Finca]],Tabla4[Codigo Finca],Tabla4[Precio Rechazo],0)</f>
        <v>500</v>
      </c>
      <c r="L25" s="262">
        <f t="shared" si="0"/>
        <v>1287</v>
      </c>
      <c r="M25" s="272">
        <f t="shared" si="1"/>
        <v>3.1237864077669903</v>
      </c>
      <c r="N25" s="269"/>
      <c r="O25" s="270"/>
      <c r="P25" s="251">
        <f t="shared" si="2"/>
        <v>0</v>
      </c>
      <c r="Q25" s="263">
        <f t="shared" si="3"/>
        <v>0</v>
      </c>
      <c r="R25" s="265">
        <f t="shared" si="4"/>
        <v>0</v>
      </c>
      <c r="S25" s="269">
        <v>1287</v>
      </c>
      <c r="T25" s="268">
        <v>15</v>
      </c>
      <c r="U25" s="251">
        <f t="shared" si="5"/>
        <v>412</v>
      </c>
      <c r="V25" s="263">
        <f t="shared" si="6"/>
        <v>27.466666666666665</v>
      </c>
      <c r="W25" s="265">
        <f t="shared" si="7"/>
        <v>41200</v>
      </c>
      <c r="X25" s="269"/>
      <c r="Y25" s="268"/>
      <c r="Z25" s="251">
        <f>Tabla14[[#This Row],[Cajas Segunda]]</f>
        <v>0</v>
      </c>
      <c r="AA25" s="263">
        <f t="shared" si="8"/>
        <v>0</v>
      </c>
      <c r="AB25" s="265">
        <f t="shared" si="9"/>
        <v>0</v>
      </c>
      <c r="AC25" s="273">
        <v>17</v>
      </c>
      <c r="AD25" s="271"/>
      <c r="AE25" s="271"/>
      <c r="AF25" s="271"/>
      <c r="AG25" s="271">
        <v>15</v>
      </c>
      <c r="AH25" s="251">
        <f t="shared" si="10"/>
        <v>17</v>
      </c>
      <c r="AI25" s="263">
        <f t="shared" si="11"/>
        <v>1.1333333333333333</v>
      </c>
      <c r="AJ25" s="265">
        <f t="shared" si="12"/>
        <v>566.66666666666663</v>
      </c>
      <c r="AK25" s="264">
        <f>Tabla14[[#This Row],[Cajas por Personas]]</f>
        <v>0</v>
      </c>
      <c r="AL25" s="267">
        <f>Tabla14[[#This Row],[Valor Precorte Pesona]]</f>
        <v>0</v>
      </c>
      <c r="AM25" s="294">
        <f>Tabla14[[#This Row],[Personas Precorte]]</f>
        <v>0</v>
      </c>
      <c r="AN25" s="305">
        <f>Tabla14[[#This Row],[Valor Precorte Pesona Precorte]]*Tabla14[[#This Row],[Perzonas Precorte]]</f>
        <v>0</v>
      </c>
      <c r="AO25" s="264">
        <f>Tabla14[[#This Row],[Cajas por Personas2]]</f>
        <v>27.466666666666665</v>
      </c>
      <c r="AP25" s="267">
        <f>Tabla14[[#This Row],[Valor Embarque Pesona]]</f>
        <v>41200</v>
      </c>
      <c r="AQ25" s="295">
        <f>Tabla14[[#This Row],[Personas Precorte2]]</f>
        <v>15</v>
      </c>
      <c r="AR25" s="304">
        <f>Tabla14[[#This Row],[Valor Embarque Pesona3]]*Tabla14[[#This Row],[Perzona Primera]]</f>
        <v>618000</v>
      </c>
      <c r="AS25" s="264">
        <f>Tabla14[[#This Row],[Columna2]]</f>
        <v>0</v>
      </c>
      <c r="AT25" s="267">
        <f>Tabla14[[#This Row],[Columna1]]</f>
        <v>0</v>
      </c>
      <c r="AU25" s="302">
        <f>Tabla14[[#This Row],[Personas Intervienen]]</f>
        <v>0</v>
      </c>
      <c r="AV25" s="303">
        <f>Tabla14[[#This Row],[Valor Embarque Pesona5]]*Tabla14[[#This Row],[Presonas Segunda]]</f>
        <v>0</v>
      </c>
      <c r="AW25" s="264">
        <f>Tabla14[[#This Row],[Bolsas Por Personas]]</f>
        <v>1.1333333333333333</v>
      </c>
      <c r="AX25" s="267">
        <f>Tabla14[[#This Row],[Valor bolsas Pesona]]</f>
        <v>566.66666666666663</v>
      </c>
      <c r="AY25" s="290">
        <f>Tabla14[[#This Row],[Personas13]]</f>
        <v>15</v>
      </c>
      <c r="AZ25" s="301">
        <f>Tabla14[[#This Row],[Valor bolsas Pesona2]]*Tabla14[[#This Row],[Personas Rechazo]]</f>
        <v>8500</v>
      </c>
      <c r="BA25" s="300">
        <f>+Tabla14[[#This Row],[Total Valor Segunda]]+Tabla14[[#This Row],[Total Valor Primera]]+Tabla14[[#This Row],[Total Valor Precorte]]</f>
        <v>618000</v>
      </c>
      <c r="BB25" s="292">
        <f>Tabla14[[#This Row],[Valor bolsas Pesona2]]+Tabla14[[#This Row],[Valor Embarque Pesona3]]</f>
        <v>41766.666666666664</v>
      </c>
      <c r="BD25" s="292">
        <f>Tabla14[[#This Row],[VALOR GANADO]]-Tabla14[[#This Row],[REAJUSTADO]]</f>
        <v>41766.666666666664</v>
      </c>
      <c r="BE25" s="250">
        <f>Tabla14[[#This Row],[CUANTO SE REAJUSTA]]*Tabla14[[#This Row],[Personas Rechazo]]</f>
        <v>626500</v>
      </c>
      <c r="BF25" s="250">
        <f>Tabla14[[#This Row],[REAJUSTADO]]/25000</f>
        <v>0</v>
      </c>
      <c r="BG25" s="302">
        <f>Tabla14[[#This Row],[REAJUSTADO]]*Tabla14[[#This Row],[Personas Rechazo]]</f>
        <v>0</v>
      </c>
      <c r="BH25" s="292" t="str">
        <f>Tabla14[[#This Row],[Finca]]</f>
        <v>San Pedro</v>
      </c>
      <c r="BJ25" s="330">
        <f>Tabla14[[#This Row],[Numero de Ocacionales]]*Tabla14[[#This Row],[REAJUSTADO]]</f>
        <v>0</v>
      </c>
      <c r="BM25" s="330">
        <f>+Tabla14[[#This Row],[CUANTO SE REAJUSTA]]*3</f>
        <v>125300</v>
      </c>
    </row>
    <row r="26" spans="3:65" hidden="1" x14ac:dyDescent="0.25">
      <c r="C26" s="71">
        <v>44586</v>
      </c>
      <c r="D26" s="507">
        <f>YEAR(Tabla14[[#This Row],[Fecha]])</f>
        <v>2022</v>
      </c>
      <c r="E26" s="306">
        <f>IF(Tabla14[[#This Row],[Fecha]]&gt;0,_xlfn.ISOWEEKNUM(Tabla14[[#This Row],[Fecha]]),0)</f>
        <v>4</v>
      </c>
      <c r="F26" s="74">
        <v>339</v>
      </c>
      <c r="G26" s="268" t="s">
        <v>152</v>
      </c>
      <c r="H26" s="293" t="str">
        <f>_xlfn.XLOOKUP(Tabla14[[#This Row],[Codigo Finca]],Tabla4[Codigo Finca],Tabla4[Nombre Finca],"")</f>
        <v>San Pedro</v>
      </c>
      <c r="I26" s="262">
        <f>_xlfn.XLOOKUP(Tabla14[[#This Row],[Codigo Finca]],Tabla4[Codigo Finca],Tabla4[Precio Caja],0)</f>
        <v>1500</v>
      </c>
      <c r="J26" s="262">
        <f>_xlfn.XLOOKUP(Tabla14[[#This Row],[Codigo Finca]],Tabla4[Codigo Finca],Tabla4[Precio Caja Segunda],0)</f>
        <v>1000</v>
      </c>
      <c r="K26" s="262">
        <f>_xlfn.XLOOKUP(Tabla14[[#This Row],[Codigo Finca]],Tabla4[Codigo Finca],Tabla4[Precio Rechazo],0)</f>
        <v>500</v>
      </c>
      <c r="L26" s="262">
        <f t="shared" si="0"/>
        <v>1029</v>
      </c>
      <c r="M26" s="272">
        <f t="shared" si="1"/>
        <v>3.0353982300884956</v>
      </c>
      <c r="N26" s="269"/>
      <c r="O26" s="270"/>
      <c r="P26" s="251">
        <f t="shared" si="2"/>
        <v>0</v>
      </c>
      <c r="Q26" s="263">
        <f t="shared" si="3"/>
        <v>0</v>
      </c>
      <c r="R26" s="265">
        <f t="shared" si="4"/>
        <v>0</v>
      </c>
      <c r="S26" s="269">
        <v>1029</v>
      </c>
      <c r="T26" s="268">
        <v>11</v>
      </c>
      <c r="U26" s="251">
        <f t="shared" si="5"/>
        <v>339</v>
      </c>
      <c r="V26" s="263">
        <f t="shared" si="6"/>
        <v>30.818181818181817</v>
      </c>
      <c r="W26" s="265">
        <f t="shared" si="7"/>
        <v>46227.272727272728</v>
      </c>
      <c r="X26" s="269"/>
      <c r="Y26" s="268"/>
      <c r="Z26" s="251">
        <f>Tabla14[[#This Row],[Cajas Segunda]]</f>
        <v>0</v>
      </c>
      <c r="AA26" s="263">
        <f t="shared" si="8"/>
        <v>0</v>
      </c>
      <c r="AB26" s="265">
        <f t="shared" si="9"/>
        <v>0</v>
      </c>
      <c r="AC26" s="273">
        <v>17</v>
      </c>
      <c r="AD26" s="271"/>
      <c r="AE26" s="271"/>
      <c r="AF26" s="271"/>
      <c r="AG26" s="271">
        <v>11</v>
      </c>
      <c r="AH26" s="251">
        <f t="shared" si="10"/>
        <v>17</v>
      </c>
      <c r="AI26" s="263">
        <f t="shared" si="11"/>
        <v>1.5454545454545454</v>
      </c>
      <c r="AJ26" s="265">
        <f t="shared" si="12"/>
        <v>772.72727272727275</v>
      </c>
      <c r="AK26" s="264">
        <f>Tabla14[[#This Row],[Cajas por Personas]]</f>
        <v>0</v>
      </c>
      <c r="AL26" s="267">
        <f>Tabla14[[#This Row],[Valor Precorte Pesona]]</f>
        <v>0</v>
      </c>
      <c r="AM26" s="294">
        <f>Tabla14[[#This Row],[Personas Precorte]]</f>
        <v>0</v>
      </c>
      <c r="AN26" s="305">
        <f>Tabla14[[#This Row],[Valor Precorte Pesona Precorte]]*Tabla14[[#This Row],[Perzonas Precorte]]</f>
        <v>0</v>
      </c>
      <c r="AO26" s="264">
        <f>Tabla14[[#This Row],[Cajas por Personas2]]</f>
        <v>30.818181818181817</v>
      </c>
      <c r="AP26" s="267">
        <f>Tabla14[[#This Row],[Valor Embarque Pesona]]</f>
        <v>46227.272727272728</v>
      </c>
      <c r="AQ26" s="295">
        <f>Tabla14[[#This Row],[Personas Precorte2]]</f>
        <v>11</v>
      </c>
      <c r="AR26" s="304">
        <f>Tabla14[[#This Row],[Valor Embarque Pesona3]]*Tabla14[[#This Row],[Perzona Primera]]</f>
        <v>508500</v>
      </c>
      <c r="AS26" s="264">
        <f>Tabla14[[#This Row],[Columna2]]</f>
        <v>0</v>
      </c>
      <c r="AT26" s="267">
        <f>Tabla14[[#This Row],[Columna1]]</f>
        <v>0</v>
      </c>
      <c r="AU26" s="302">
        <f>Tabla14[[#This Row],[Personas Intervienen]]</f>
        <v>0</v>
      </c>
      <c r="AV26" s="303">
        <f>Tabla14[[#This Row],[Valor Embarque Pesona5]]*Tabla14[[#This Row],[Presonas Segunda]]</f>
        <v>0</v>
      </c>
      <c r="AW26" s="264">
        <f>Tabla14[[#This Row],[Bolsas Por Personas]]</f>
        <v>1.5454545454545454</v>
      </c>
      <c r="AX26" s="267">
        <f>Tabla14[[#This Row],[Valor bolsas Pesona]]</f>
        <v>772.72727272727275</v>
      </c>
      <c r="AY26" s="290">
        <f>Tabla14[[#This Row],[Personas13]]</f>
        <v>11</v>
      </c>
      <c r="AZ26" s="301">
        <f>Tabla14[[#This Row],[Valor bolsas Pesona2]]*Tabla14[[#This Row],[Personas Rechazo]]</f>
        <v>8500</v>
      </c>
      <c r="BA26" s="300">
        <f>+Tabla14[[#This Row],[Total Valor Segunda]]+Tabla14[[#This Row],[Total Valor Primera]]+Tabla14[[#This Row],[Total Valor Precorte]]</f>
        <v>508500</v>
      </c>
      <c r="BB26" s="292">
        <f>Tabla14[[#This Row],[Valor bolsas Pesona2]]+Tabla14[[#This Row],[Valor Embarque Pesona3]]</f>
        <v>47000</v>
      </c>
      <c r="BD26" s="292">
        <f>Tabla14[[#This Row],[VALOR GANADO]]-Tabla14[[#This Row],[REAJUSTADO]]</f>
        <v>47000</v>
      </c>
      <c r="BE26" s="250">
        <f>Tabla14[[#This Row],[CUANTO SE REAJUSTA]]*Tabla14[[#This Row],[Personas Rechazo]]</f>
        <v>517000</v>
      </c>
      <c r="BF26" s="250">
        <f>Tabla14[[#This Row],[REAJUSTADO]]/25000</f>
        <v>0</v>
      </c>
      <c r="BG26" s="302">
        <f>Tabla14[[#This Row],[REAJUSTADO]]*Tabla14[[#This Row],[Personas Rechazo]]</f>
        <v>0</v>
      </c>
      <c r="BH26" s="292" t="str">
        <f>Tabla14[[#This Row],[Finca]]</f>
        <v>San Pedro</v>
      </c>
      <c r="BJ26" s="330">
        <f>Tabla14[[#This Row],[Numero de Ocacionales]]*Tabla14[[#This Row],[REAJUSTADO]]</f>
        <v>0</v>
      </c>
      <c r="BM26" s="330">
        <f>+Tabla14[[#This Row],[CUANTO SE REAJUSTA]]*3</f>
        <v>141000</v>
      </c>
    </row>
    <row r="27" spans="3:65" hidden="1" x14ac:dyDescent="0.25">
      <c r="C27" s="71">
        <v>44586</v>
      </c>
      <c r="D27" s="507">
        <f>YEAR(Tabla14[[#This Row],[Fecha]])</f>
        <v>2022</v>
      </c>
      <c r="E27" s="306">
        <f>IF(Tabla14[[#This Row],[Fecha]]&gt;0,_xlfn.ISOWEEKNUM(Tabla14[[#This Row],[Fecha]]),0)</f>
        <v>4</v>
      </c>
      <c r="F27" s="74">
        <v>77</v>
      </c>
      <c r="G27" s="268" t="s">
        <v>153</v>
      </c>
      <c r="H27" s="293" t="str">
        <f>_xlfn.XLOOKUP(Tabla14[[#This Row],[Codigo Finca]],Tabla4[Codigo Finca],Tabla4[Nombre Finca],"")</f>
        <v>Uveros</v>
      </c>
      <c r="I27" s="262">
        <f>_xlfn.XLOOKUP(Tabla14[[#This Row],[Codigo Finca]],Tabla4[Codigo Finca],Tabla4[Precio Caja],0)</f>
        <v>1500</v>
      </c>
      <c r="J27" s="262">
        <f>_xlfn.XLOOKUP(Tabla14[[#This Row],[Codigo Finca]],Tabla4[Codigo Finca],Tabla4[Precio Caja Segunda],0)</f>
        <v>1000</v>
      </c>
      <c r="K27" s="262">
        <f>_xlfn.XLOOKUP(Tabla14[[#This Row],[Codigo Finca]],Tabla4[Codigo Finca],Tabla4[Precio Rechazo],0)</f>
        <v>500</v>
      </c>
      <c r="L27" s="262">
        <f t="shared" si="0"/>
        <v>309</v>
      </c>
      <c r="M27" s="272">
        <f t="shared" si="1"/>
        <v>4.0129870129870131</v>
      </c>
      <c r="N27" s="269"/>
      <c r="O27" s="270"/>
      <c r="P27" s="251">
        <f t="shared" si="2"/>
        <v>0</v>
      </c>
      <c r="Q27" s="263">
        <f t="shared" si="3"/>
        <v>0</v>
      </c>
      <c r="R27" s="265">
        <f t="shared" si="4"/>
        <v>0</v>
      </c>
      <c r="S27" s="269">
        <v>309</v>
      </c>
      <c r="T27" s="268">
        <v>3</v>
      </c>
      <c r="U27" s="251">
        <f t="shared" si="5"/>
        <v>77</v>
      </c>
      <c r="V27" s="263">
        <f t="shared" si="6"/>
        <v>25.666666666666668</v>
      </c>
      <c r="W27" s="265">
        <f t="shared" si="7"/>
        <v>38500</v>
      </c>
      <c r="X27" s="269"/>
      <c r="Y27" s="268"/>
      <c r="Z27" s="251">
        <f>Tabla14[[#This Row],[Cajas Segunda]]</f>
        <v>0</v>
      </c>
      <c r="AA27" s="263">
        <f t="shared" si="8"/>
        <v>0</v>
      </c>
      <c r="AB27" s="265">
        <f t="shared" si="9"/>
        <v>0</v>
      </c>
      <c r="AC27" s="273">
        <v>3.4</v>
      </c>
      <c r="AD27" s="271"/>
      <c r="AE27" s="271"/>
      <c r="AF27" s="271"/>
      <c r="AG27" s="271">
        <v>3</v>
      </c>
      <c r="AH27" s="251">
        <f t="shared" si="10"/>
        <v>3.4</v>
      </c>
      <c r="AI27" s="263">
        <f t="shared" si="11"/>
        <v>1.1333333333333333</v>
      </c>
      <c r="AJ27" s="265">
        <f t="shared" si="12"/>
        <v>566.66666666666663</v>
      </c>
      <c r="AK27" s="264">
        <f>Tabla14[[#This Row],[Cajas por Personas]]</f>
        <v>0</v>
      </c>
      <c r="AL27" s="267">
        <f>Tabla14[[#This Row],[Valor Precorte Pesona]]</f>
        <v>0</v>
      </c>
      <c r="AM27" s="294">
        <f>Tabla14[[#This Row],[Personas Precorte]]</f>
        <v>0</v>
      </c>
      <c r="AN27" s="305">
        <f>Tabla14[[#This Row],[Valor Precorte Pesona Precorte]]*Tabla14[[#This Row],[Perzonas Precorte]]</f>
        <v>0</v>
      </c>
      <c r="AO27" s="264">
        <f>Tabla14[[#This Row],[Cajas por Personas2]]</f>
        <v>25.666666666666668</v>
      </c>
      <c r="AP27" s="267">
        <f>Tabla14[[#This Row],[Valor Embarque Pesona]]</f>
        <v>38500</v>
      </c>
      <c r="AQ27" s="295">
        <f>Tabla14[[#This Row],[Personas Precorte2]]</f>
        <v>3</v>
      </c>
      <c r="AR27" s="304">
        <f>Tabla14[[#This Row],[Valor Embarque Pesona3]]*Tabla14[[#This Row],[Perzona Primera]]</f>
        <v>115500</v>
      </c>
      <c r="AS27" s="264">
        <f>Tabla14[[#This Row],[Columna2]]</f>
        <v>0</v>
      </c>
      <c r="AT27" s="267">
        <f>Tabla14[[#This Row],[Columna1]]</f>
        <v>0</v>
      </c>
      <c r="AU27" s="302">
        <f>Tabla14[[#This Row],[Personas Intervienen]]</f>
        <v>0</v>
      </c>
      <c r="AV27" s="303">
        <f>Tabla14[[#This Row],[Valor Embarque Pesona5]]*Tabla14[[#This Row],[Presonas Segunda]]</f>
        <v>0</v>
      </c>
      <c r="AW27" s="264">
        <f>Tabla14[[#This Row],[Bolsas Por Personas]]</f>
        <v>1.1333333333333333</v>
      </c>
      <c r="AX27" s="267">
        <f>Tabla14[[#This Row],[Valor bolsas Pesona]]</f>
        <v>566.66666666666663</v>
      </c>
      <c r="AY27" s="290">
        <f>Tabla14[[#This Row],[Personas13]]</f>
        <v>3</v>
      </c>
      <c r="AZ27" s="301">
        <f>Tabla14[[#This Row],[Valor bolsas Pesona2]]*Tabla14[[#This Row],[Personas Rechazo]]</f>
        <v>1700</v>
      </c>
      <c r="BA27" s="300">
        <f>+Tabla14[[#This Row],[Total Valor Segunda]]+Tabla14[[#This Row],[Total Valor Primera]]+Tabla14[[#This Row],[Total Valor Precorte]]</f>
        <v>115500</v>
      </c>
      <c r="BB27" s="292">
        <f>Tabla14[[#This Row],[Valor bolsas Pesona2]]+Tabla14[[#This Row],[Valor Embarque Pesona3]]</f>
        <v>39066.666666666664</v>
      </c>
      <c r="BD27" s="292">
        <f>Tabla14[[#This Row],[VALOR GANADO]]-Tabla14[[#This Row],[REAJUSTADO]]</f>
        <v>39066.666666666664</v>
      </c>
      <c r="BE27" s="250">
        <f>Tabla14[[#This Row],[CUANTO SE REAJUSTA]]*Tabla14[[#This Row],[Personas Rechazo]]</f>
        <v>117200</v>
      </c>
      <c r="BF27" s="250">
        <f>Tabla14[[#This Row],[REAJUSTADO]]/25000</f>
        <v>0</v>
      </c>
      <c r="BG27" s="302">
        <f>Tabla14[[#This Row],[REAJUSTADO]]*Tabla14[[#This Row],[Personas Rechazo]]</f>
        <v>0</v>
      </c>
      <c r="BH27" s="292" t="str">
        <f>Tabla14[[#This Row],[Finca]]</f>
        <v>Uveros</v>
      </c>
      <c r="BJ27" s="330">
        <f>Tabla14[[#This Row],[Numero de Ocacionales]]*Tabla14[[#This Row],[REAJUSTADO]]</f>
        <v>0</v>
      </c>
      <c r="BM27" s="330">
        <f>+Tabla14[[#This Row],[CUANTO SE REAJUSTA]]*3</f>
        <v>117200</v>
      </c>
    </row>
    <row r="28" spans="3:65" hidden="1" x14ac:dyDescent="0.25">
      <c r="C28" s="71">
        <v>44587</v>
      </c>
      <c r="D28" s="507">
        <f>YEAR(Tabla14[[#This Row],[Fecha]])</f>
        <v>2022</v>
      </c>
      <c r="E28" s="306">
        <f>IF(Tabla14[[#This Row],[Fecha]]&gt;0,_xlfn.ISOWEEKNUM(Tabla14[[#This Row],[Fecha]]),0)</f>
        <v>4</v>
      </c>
      <c r="F28" s="74">
        <v>87</v>
      </c>
      <c r="G28" s="268" t="s">
        <v>157</v>
      </c>
      <c r="H28" s="293" t="str">
        <f>_xlfn.XLOOKUP(Tabla14[[#This Row],[Codigo Finca]],Tabla4[Codigo Finca],Tabla4[Nombre Finca],"")</f>
        <v>Pedrito</v>
      </c>
      <c r="I28" s="262">
        <f>_xlfn.XLOOKUP(Tabla14[[#This Row],[Codigo Finca]],Tabla4[Codigo Finca],Tabla4[Precio Caja],0)</f>
        <v>2100</v>
      </c>
      <c r="J28" s="262">
        <f>_xlfn.XLOOKUP(Tabla14[[#This Row],[Codigo Finca]],Tabla4[Codigo Finca],Tabla4[Precio Caja Segunda],0)</f>
        <v>1000</v>
      </c>
      <c r="K28" s="262">
        <f>_xlfn.XLOOKUP(Tabla14[[#This Row],[Codigo Finca]],Tabla4[Codigo Finca],Tabla4[Precio Rechazo],0)</f>
        <v>500</v>
      </c>
      <c r="L28" s="262">
        <f t="shared" si="0"/>
        <v>556</v>
      </c>
      <c r="M28" s="272">
        <f t="shared" si="1"/>
        <v>6.3908045977011492</v>
      </c>
      <c r="N28" s="269"/>
      <c r="O28" s="270"/>
      <c r="P28" s="251">
        <f t="shared" si="2"/>
        <v>0</v>
      </c>
      <c r="Q28" s="263">
        <f t="shared" si="3"/>
        <v>0</v>
      </c>
      <c r="R28" s="265">
        <f t="shared" si="4"/>
        <v>0</v>
      </c>
      <c r="S28" s="269">
        <v>556</v>
      </c>
      <c r="T28" s="268">
        <v>6</v>
      </c>
      <c r="U28" s="251">
        <f t="shared" si="5"/>
        <v>87</v>
      </c>
      <c r="V28" s="263">
        <f t="shared" si="6"/>
        <v>14.5</v>
      </c>
      <c r="W28" s="265">
        <f t="shared" si="7"/>
        <v>30450</v>
      </c>
      <c r="X28" s="269"/>
      <c r="Y28" s="268"/>
      <c r="Z28" s="251">
        <f>Tabla14[[#This Row],[Cajas Segunda]]</f>
        <v>0</v>
      </c>
      <c r="AA28" s="263">
        <f t="shared" si="8"/>
        <v>0</v>
      </c>
      <c r="AB28" s="265">
        <f t="shared" si="9"/>
        <v>0</v>
      </c>
      <c r="AC28" s="273">
        <v>42.5</v>
      </c>
      <c r="AD28" s="271"/>
      <c r="AE28" s="271"/>
      <c r="AF28" s="271"/>
      <c r="AG28" s="271">
        <v>6</v>
      </c>
      <c r="AH28" s="251">
        <f t="shared" si="10"/>
        <v>42.5</v>
      </c>
      <c r="AI28" s="263">
        <f t="shared" si="11"/>
        <v>7.083333333333333</v>
      </c>
      <c r="AJ28" s="265">
        <f t="shared" si="12"/>
        <v>3541.6666666666665</v>
      </c>
      <c r="AK28" s="264">
        <f>Tabla14[[#This Row],[Cajas por Personas]]</f>
        <v>0</v>
      </c>
      <c r="AL28" s="267">
        <f>Tabla14[[#This Row],[Valor Precorte Pesona]]</f>
        <v>0</v>
      </c>
      <c r="AM28" s="294">
        <f>Tabla14[[#This Row],[Personas Precorte]]</f>
        <v>0</v>
      </c>
      <c r="AN28" s="305">
        <f>Tabla14[[#This Row],[Valor Precorte Pesona Precorte]]*Tabla14[[#This Row],[Perzonas Precorte]]</f>
        <v>0</v>
      </c>
      <c r="AO28" s="264">
        <f>Tabla14[[#This Row],[Cajas por Personas2]]</f>
        <v>14.5</v>
      </c>
      <c r="AP28" s="267">
        <f>Tabla14[[#This Row],[Valor Embarque Pesona]]</f>
        <v>30450</v>
      </c>
      <c r="AQ28" s="295">
        <f>Tabla14[[#This Row],[Personas Precorte2]]</f>
        <v>6</v>
      </c>
      <c r="AR28" s="304">
        <f>Tabla14[[#This Row],[Valor Embarque Pesona3]]*Tabla14[[#This Row],[Perzona Primera]]</f>
        <v>182700</v>
      </c>
      <c r="AS28" s="264">
        <f>Tabla14[[#This Row],[Columna2]]</f>
        <v>0</v>
      </c>
      <c r="AT28" s="267">
        <f>Tabla14[[#This Row],[Columna1]]</f>
        <v>0</v>
      </c>
      <c r="AU28" s="302">
        <f>Tabla14[[#This Row],[Personas Intervienen]]</f>
        <v>0</v>
      </c>
      <c r="AV28" s="303">
        <f>Tabla14[[#This Row],[Valor Embarque Pesona5]]*Tabla14[[#This Row],[Presonas Segunda]]</f>
        <v>0</v>
      </c>
      <c r="AW28" s="264">
        <f>Tabla14[[#This Row],[Bolsas Por Personas]]</f>
        <v>7.083333333333333</v>
      </c>
      <c r="AX28" s="267">
        <f>Tabla14[[#This Row],[Valor bolsas Pesona]]</f>
        <v>3541.6666666666665</v>
      </c>
      <c r="AY28" s="290">
        <f>Tabla14[[#This Row],[Personas13]]</f>
        <v>6</v>
      </c>
      <c r="AZ28" s="301">
        <f>Tabla14[[#This Row],[Valor bolsas Pesona2]]*Tabla14[[#This Row],[Personas Rechazo]]</f>
        <v>21250</v>
      </c>
      <c r="BA28" s="300">
        <f>+Tabla14[[#This Row],[Total Valor Segunda]]+Tabla14[[#This Row],[Total Valor Primera]]+Tabla14[[#This Row],[Total Valor Precorte]]</f>
        <v>182700</v>
      </c>
      <c r="BB28" s="292">
        <f>Tabla14[[#This Row],[Valor bolsas Pesona2]]+Tabla14[[#This Row],[Valor Embarque Pesona3]]</f>
        <v>33991.666666666664</v>
      </c>
      <c r="BD28" s="292">
        <f>Tabla14[[#This Row],[VALOR GANADO]]-Tabla14[[#This Row],[REAJUSTADO]]</f>
        <v>33991.666666666664</v>
      </c>
      <c r="BE28" s="250">
        <f>Tabla14[[#This Row],[CUANTO SE REAJUSTA]]*Tabla14[[#This Row],[Personas Rechazo]]</f>
        <v>203950</v>
      </c>
      <c r="BF28" s="250">
        <f>Tabla14[[#This Row],[REAJUSTADO]]/25000</f>
        <v>0</v>
      </c>
      <c r="BG28" s="302">
        <f>Tabla14[[#This Row],[REAJUSTADO]]*Tabla14[[#This Row],[Personas Rechazo]]</f>
        <v>0</v>
      </c>
      <c r="BH28" s="292" t="str">
        <f>Tabla14[[#This Row],[Finca]]</f>
        <v>Pedrito</v>
      </c>
      <c r="BJ28" s="330">
        <f>Tabla14[[#This Row],[Numero de Ocacionales]]*Tabla14[[#This Row],[REAJUSTADO]]</f>
        <v>0</v>
      </c>
      <c r="BM28" s="330">
        <f>+Tabla14[[#This Row],[CUANTO SE REAJUSTA]]*3</f>
        <v>101975</v>
      </c>
    </row>
    <row r="29" spans="3:65" hidden="1" x14ac:dyDescent="0.25">
      <c r="C29" s="71">
        <v>44587</v>
      </c>
      <c r="D29" s="507">
        <f>YEAR(Tabla14[[#This Row],[Fecha]])</f>
        <v>2022</v>
      </c>
      <c r="E29" s="306">
        <f>IF(Tabla14[[#This Row],[Fecha]]&gt;0,_xlfn.ISOWEEKNUM(Tabla14[[#This Row],[Fecha]]),0)</f>
        <v>4</v>
      </c>
      <c r="F29" s="74">
        <v>120</v>
      </c>
      <c r="G29" s="268" t="s">
        <v>155</v>
      </c>
      <c r="H29" s="293" t="str">
        <f>_xlfn.XLOOKUP(Tabla14[[#This Row],[Codigo Finca]],Tabla4[Codigo Finca],Tabla4[Nombre Finca],"")</f>
        <v>Damaquiel</v>
      </c>
      <c r="I29" s="262">
        <f>_xlfn.XLOOKUP(Tabla14[[#This Row],[Codigo Finca]],Tabla4[Codigo Finca],Tabla4[Precio Caja],0)</f>
        <v>1500</v>
      </c>
      <c r="J29" s="262">
        <f>_xlfn.XLOOKUP(Tabla14[[#This Row],[Codigo Finca]],Tabla4[Codigo Finca],Tabla4[Precio Caja Segunda],0)</f>
        <v>1000</v>
      </c>
      <c r="K29" s="262">
        <f>_xlfn.XLOOKUP(Tabla14[[#This Row],[Codigo Finca]],Tabla4[Codigo Finca],Tabla4[Precio Rechazo],0)</f>
        <v>500</v>
      </c>
      <c r="L29" s="262">
        <f t="shared" si="0"/>
        <v>681</v>
      </c>
      <c r="M29" s="272">
        <f t="shared" si="1"/>
        <v>5.6749999999999998</v>
      </c>
      <c r="N29" s="269"/>
      <c r="O29" s="270"/>
      <c r="P29" s="251">
        <f t="shared" si="2"/>
        <v>0</v>
      </c>
      <c r="Q29" s="263">
        <f t="shared" si="3"/>
        <v>0</v>
      </c>
      <c r="R29" s="265">
        <f t="shared" si="4"/>
        <v>0</v>
      </c>
      <c r="S29" s="269">
        <v>681</v>
      </c>
      <c r="T29" s="268">
        <v>6</v>
      </c>
      <c r="U29" s="251">
        <f t="shared" si="5"/>
        <v>120</v>
      </c>
      <c r="V29" s="263">
        <f t="shared" si="6"/>
        <v>20</v>
      </c>
      <c r="W29" s="265">
        <f t="shared" si="7"/>
        <v>30000</v>
      </c>
      <c r="X29" s="269"/>
      <c r="Y29" s="268"/>
      <c r="Z29" s="251">
        <f>Tabla14[[#This Row],[Cajas Segunda]]</f>
        <v>0</v>
      </c>
      <c r="AA29" s="263">
        <f t="shared" si="8"/>
        <v>0</v>
      </c>
      <c r="AB29" s="265">
        <f t="shared" si="9"/>
        <v>0</v>
      </c>
      <c r="AC29" s="273">
        <v>14.4</v>
      </c>
      <c r="AD29" s="271"/>
      <c r="AE29" s="271"/>
      <c r="AF29" s="271"/>
      <c r="AG29" s="271">
        <v>6</v>
      </c>
      <c r="AH29" s="251">
        <f t="shared" si="10"/>
        <v>14.4</v>
      </c>
      <c r="AI29" s="263">
        <f t="shared" si="11"/>
        <v>2.4</v>
      </c>
      <c r="AJ29" s="265">
        <f t="shared" si="12"/>
        <v>1200</v>
      </c>
      <c r="AK29" s="264">
        <f>Tabla14[[#This Row],[Cajas por Personas]]</f>
        <v>0</v>
      </c>
      <c r="AL29" s="267">
        <f>Tabla14[[#This Row],[Valor Precorte Pesona]]</f>
        <v>0</v>
      </c>
      <c r="AM29" s="294">
        <f>Tabla14[[#This Row],[Personas Precorte]]</f>
        <v>0</v>
      </c>
      <c r="AN29" s="305">
        <f>Tabla14[[#This Row],[Valor Precorte Pesona Precorte]]*Tabla14[[#This Row],[Perzonas Precorte]]</f>
        <v>0</v>
      </c>
      <c r="AO29" s="264">
        <f>Tabla14[[#This Row],[Cajas por Personas2]]</f>
        <v>20</v>
      </c>
      <c r="AP29" s="267">
        <f>Tabla14[[#This Row],[Valor Embarque Pesona]]</f>
        <v>30000</v>
      </c>
      <c r="AQ29" s="295">
        <f>Tabla14[[#This Row],[Personas Precorte2]]</f>
        <v>6</v>
      </c>
      <c r="AR29" s="304">
        <f>Tabla14[[#This Row],[Valor Embarque Pesona3]]*Tabla14[[#This Row],[Perzona Primera]]</f>
        <v>180000</v>
      </c>
      <c r="AS29" s="264">
        <f>Tabla14[[#This Row],[Columna2]]</f>
        <v>0</v>
      </c>
      <c r="AT29" s="267">
        <f>Tabla14[[#This Row],[Columna1]]</f>
        <v>0</v>
      </c>
      <c r="AU29" s="302">
        <f>Tabla14[[#This Row],[Personas Intervienen]]</f>
        <v>0</v>
      </c>
      <c r="AV29" s="303">
        <f>Tabla14[[#This Row],[Valor Embarque Pesona5]]*Tabla14[[#This Row],[Presonas Segunda]]</f>
        <v>0</v>
      </c>
      <c r="AW29" s="264">
        <f>Tabla14[[#This Row],[Bolsas Por Personas]]</f>
        <v>2.4</v>
      </c>
      <c r="AX29" s="267">
        <f>Tabla14[[#This Row],[Valor bolsas Pesona]]</f>
        <v>1200</v>
      </c>
      <c r="AY29" s="290">
        <f>Tabla14[[#This Row],[Personas13]]</f>
        <v>6</v>
      </c>
      <c r="AZ29" s="301">
        <f>Tabla14[[#This Row],[Valor bolsas Pesona2]]*Tabla14[[#This Row],[Personas Rechazo]]</f>
        <v>7200</v>
      </c>
      <c r="BA29" s="300">
        <f>+Tabla14[[#This Row],[Total Valor Segunda]]+Tabla14[[#This Row],[Total Valor Primera]]+Tabla14[[#This Row],[Total Valor Precorte]]</f>
        <v>180000</v>
      </c>
      <c r="BB29" s="292">
        <f>Tabla14[[#This Row],[Valor bolsas Pesona2]]+Tabla14[[#This Row],[Valor Embarque Pesona3]]</f>
        <v>31200</v>
      </c>
      <c r="BD29" s="292">
        <f>Tabla14[[#This Row],[VALOR GANADO]]-Tabla14[[#This Row],[REAJUSTADO]]</f>
        <v>31200</v>
      </c>
      <c r="BE29" s="250">
        <f>Tabla14[[#This Row],[CUANTO SE REAJUSTA]]*Tabla14[[#This Row],[Personas Rechazo]]</f>
        <v>187200</v>
      </c>
      <c r="BF29" s="250">
        <f>Tabla14[[#This Row],[REAJUSTADO]]/25000</f>
        <v>0</v>
      </c>
      <c r="BG29" s="302">
        <f>Tabla14[[#This Row],[REAJUSTADO]]*Tabla14[[#This Row],[Personas Rechazo]]</f>
        <v>0</v>
      </c>
      <c r="BH29" s="292" t="str">
        <f>Tabla14[[#This Row],[Finca]]</f>
        <v>Damaquiel</v>
      </c>
      <c r="BJ29" s="330">
        <f>Tabla14[[#This Row],[Numero de Ocacionales]]*Tabla14[[#This Row],[REAJUSTADO]]</f>
        <v>0</v>
      </c>
      <c r="BM29" s="330">
        <f>+Tabla14[[#This Row],[CUANTO SE REAJUSTA]]*3</f>
        <v>93600</v>
      </c>
    </row>
    <row r="30" spans="3:65" hidden="1" x14ac:dyDescent="0.25">
      <c r="C30" s="71">
        <v>44588</v>
      </c>
      <c r="D30" s="507">
        <f>YEAR(Tabla14[[#This Row],[Fecha]])</f>
        <v>2022</v>
      </c>
      <c r="E30" s="306">
        <f>IF(Tabla14[[#This Row],[Fecha]]&gt;0,_xlfn.ISOWEEKNUM(Tabla14[[#This Row],[Fecha]]),0)</f>
        <v>4</v>
      </c>
      <c r="F30" s="74">
        <v>273</v>
      </c>
      <c r="G30" s="268" t="s">
        <v>152</v>
      </c>
      <c r="H30" s="293" t="str">
        <f>_xlfn.XLOOKUP(Tabla14[[#This Row],[Codigo Finca]],Tabla4[Codigo Finca],Tabla4[Nombre Finca],"")</f>
        <v>San Pedro</v>
      </c>
      <c r="I30" s="262">
        <f>_xlfn.XLOOKUP(Tabla14[[#This Row],[Codigo Finca]],Tabla4[Codigo Finca],Tabla4[Precio Caja],0)</f>
        <v>1500</v>
      </c>
      <c r="J30" s="262">
        <f>_xlfn.XLOOKUP(Tabla14[[#This Row],[Codigo Finca]],Tabla4[Codigo Finca],Tabla4[Precio Caja Segunda],0)</f>
        <v>1000</v>
      </c>
      <c r="K30" s="262">
        <f>_xlfn.XLOOKUP(Tabla14[[#This Row],[Codigo Finca]],Tabla4[Codigo Finca],Tabla4[Precio Rechazo],0)</f>
        <v>500</v>
      </c>
      <c r="L30" s="262">
        <f t="shared" si="0"/>
        <v>979</v>
      </c>
      <c r="M30" s="272">
        <f t="shared" si="1"/>
        <v>3.5860805860805862</v>
      </c>
      <c r="N30" s="269"/>
      <c r="O30" s="270"/>
      <c r="P30" s="251">
        <f t="shared" si="2"/>
        <v>0</v>
      </c>
      <c r="Q30" s="263">
        <f t="shared" si="3"/>
        <v>0</v>
      </c>
      <c r="R30" s="265">
        <f t="shared" si="4"/>
        <v>0</v>
      </c>
      <c r="S30" s="269">
        <v>979</v>
      </c>
      <c r="T30" s="268">
        <v>12</v>
      </c>
      <c r="U30" s="251">
        <f t="shared" si="5"/>
        <v>273</v>
      </c>
      <c r="V30" s="263">
        <f t="shared" si="6"/>
        <v>22.75</v>
      </c>
      <c r="W30" s="265">
        <f t="shared" si="7"/>
        <v>34125</v>
      </c>
      <c r="X30" s="269"/>
      <c r="Y30" s="268"/>
      <c r="Z30" s="251">
        <f>Tabla14[[#This Row],[Cajas Segunda]]</f>
        <v>0</v>
      </c>
      <c r="AA30" s="263">
        <f t="shared" si="8"/>
        <v>0</v>
      </c>
      <c r="AB30" s="265">
        <f t="shared" si="9"/>
        <v>0</v>
      </c>
      <c r="AC30" s="273">
        <v>51</v>
      </c>
      <c r="AD30" s="271"/>
      <c r="AE30" s="271"/>
      <c r="AF30" s="271"/>
      <c r="AG30" s="271">
        <v>12</v>
      </c>
      <c r="AH30" s="251">
        <f t="shared" si="10"/>
        <v>51</v>
      </c>
      <c r="AI30" s="263">
        <f t="shared" si="11"/>
        <v>4.25</v>
      </c>
      <c r="AJ30" s="265">
        <f t="shared" si="12"/>
        <v>2125</v>
      </c>
      <c r="AK30" s="264">
        <f>Tabla14[[#This Row],[Cajas por Personas]]</f>
        <v>0</v>
      </c>
      <c r="AL30" s="267">
        <f>Tabla14[[#This Row],[Valor Precorte Pesona]]</f>
        <v>0</v>
      </c>
      <c r="AM30" s="294">
        <f>Tabla14[[#This Row],[Personas Precorte]]</f>
        <v>0</v>
      </c>
      <c r="AN30" s="305">
        <f>Tabla14[[#This Row],[Valor Precorte Pesona Precorte]]*Tabla14[[#This Row],[Perzonas Precorte]]</f>
        <v>0</v>
      </c>
      <c r="AO30" s="264">
        <f>Tabla14[[#This Row],[Cajas por Personas2]]</f>
        <v>22.75</v>
      </c>
      <c r="AP30" s="267">
        <f>Tabla14[[#This Row],[Valor Embarque Pesona]]</f>
        <v>34125</v>
      </c>
      <c r="AQ30" s="295">
        <f>Tabla14[[#This Row],[Personas Precorte2]]</f>
        <v>12</v>
      </c>
      <c r="AR30" s="304">
        <f>Tabla14[[#This Row],[Valor Embarque Pesona3]]*Tabla14[[#This Row],[Perzona Primera]]</f>
        <v>409500</v>
      </c>
      <c r="AS30" s="264">
        <f>Tabla14[[#This Row],[Columna2]]</f>
        <v>0</v>
      </c>
      <c r="AT30" s="267">
        <f>Tabla14[[#This Row],[Columna1]]</f>
        <v>0</v>
      </c>
      <c r="AU30" s="302">
        <f>Tabla14[[#This Row],[Personas Intervienen]]</f>
        <v>0</v>
      </c>
      <c r="AV30" s="303">
        <f>Tabla14[[#This Row],[Valor Embarque Pesona5]]*Tabla14[[#This Row],[Presonas Segunda]]</f>
        <v>0</v>
      </c>
      <c r="AW30" s="264">
        <f>Tabla14[[#This Row],[Bolsas Por Personas]]</f>
        <v>4.25</v>
      </c>
      <c r="AX30" s="267">
        <f>Tabla14[[#This Row],[Valor bolsas Pesona]]</f>
        <v>2125</v>
      </c>
      <c r="AY30" s="290">
        <f>Tabla14[[#This Row],[Personas13]]</f>
        <v>12</v>
      </c>
      <c r="AZ30" s="301">
        <f>Tabla14[[#This Row],[Valor bolsas Pesona2]]*Tabla14[[#This Row],[Personas Rechazo]]</f>
        <v>25500</v>
      </c>
      <c r="BA30" s="300">
        <f>+Tabla14[[#This Row],[Total Valor Segunda]]+Tabla14[[#This Row],[Total Valor Primera]]+Tabla14[[#This Row],[Total Valor Precorte]]</f>
        <v>409500</v>
      </c>
      <c r="BB30" s="292">
        <f>Tabla14[[#This Row],[Valor bolsas Pesona2]]+Tabla14[[#This Row],[Valor Embarque Pesona3]]</f>
        <v>36250</v>
      </c>
      <c r="BD30" s="292">
        <f>Tabla14[[#This Row],[VALOR GANADO]]-Tabla14[[#This Row],[REAJUSTADO]]</f>
        <v>36250</v>
      </c>
      <c r="BE30" s="250">
        <f>Tabla14[[#This Row],[CUANTO SE REAJUSTA]]*Tabla14[[#This Row],[Personas Rechazo]]</f>
        <v>435000</v>
      </c>
      <c r="BF30" s="250">
        <f>Tabla14[[#This Row],[REAJUSTADO]]/25000</f>
        <v>0</v>
      </c>
      <c r="BG30" s="302">
        <f>Tabla14[[#This Row],[REAJUSTADO]]*Tabla14[[#This Row],[Personas Rechazo]]</f>
        <v>0</v>
      </c>
      <c r="BH30" s="292" t="str">
        <f>Tabla14[[#This Row],[Finca]]</f>
        <v>San Pedro</v>
      </c>
      <c r="BJ30" s="330">
        <f>Tabla14[[#This Row],[Numero de Ocacionales]]*Tabla14[[#This Row],[REAJUSTADO]]</f>
        <v>0</v>
      </c>
      <c r="BM30" s="330">
        <f>+Tabla14[[#This Row],[CUANTO SE REAJUSTA]]*3</f>
        <v>108750</v>
      </c>
    </row>
    <row r="31" spans="3:65" hidden="1" x14ac:dyDescent="0.25">
      <c r="C31" s="71">
        <v>44593</v>
      </c>
      <c r="D31" s="507">
        <f>YEAR(Tabla14[[#This Row],[Fecha]])</f>
        <v>2022</v>
      </c>
      <c r="E31" s="306">
        <f>IF(Tabla14[[#This Row],[Fecha]]&gt;0,_xlfn.ISOWEEKNUM(Tabla14[[#This Row],[Fecha]]),0)</f>
        <v>5</v>
      </c>
      <c r="F31" s="139">
        <v>435</v>
      </c>
      <c r="G31" s="268" t="s">
        <v>152</v>
      </c>
      <c r="H31" s="293" t="str">
        <f>_xlfn.XLOOKUP(Tabla14[[#This Row],[Codigo Finca]],Tabla4[Codigo Finca],Tabla4[Nombre Finca],"")</f>
        <v>San Pedro</v>
      </c>
      <c r="I31" s="262">
        <f>_xlfn.XLOOKUP(Tabla14[[#This Row],[Codigo Finca]],Tabla4[Codigo Finca],Tabla4[Precio Caja],0)</f>
        <v>1500</v>
      </c>
      <c r="J31" s="262">
        <f>_xlfn.XLOOKUP(Tabla14[[#This Row],[Codigo Finca]],Tabla4[Codigo Finca],Tabla4[Precio Caja Segunda],0)</f>
        <v>1000</v>
      </c>
      <c r="K31" s="262">
        <f>_xlfn.XLOOKUP(Tabla14[[#This Row],[Codigo Finca]],Tabla4[Codigo Finca],Tabla4[Precio Rechazo],0)</f>
        <v>500</v>
      </c>
      <c r="L31" s="262">
        <f t="shared" si="0"/>
        <v>1389</v>
      </c>
      <c r="M31" s="272">
        <f t="shared" si="1"/>
        <v>3.193103448275862</v>
      </c>
      <c r="N31" s="269"/>
      <c r="O31" s="270"/>
      <c r="P31" s="251">
        <f t="shared" si="2"/>
        <v>0</v>
      </c>
      <c r="Q31" s="263">
        <f t="shared" si="3"/>
        <v>0</v>
      </c>
      <c r="R31" s="265">
        <f t="shared" si="4"/>
        <v>0</v>
      </c>
      <c r="S31" s="269">
        <v>1389</v>
      </c>
      <c r="T31" s="268">
        <v>22</v>
      </c>
      <c r="U31" s="251">
        <f t="shared" si="5"/>
        <v>435</v>
      </c>
      <c r="V31" s="263">
        <f t="shared" si="6"/>
        <v>19.772727272727273</v>
      </c>
      <c r="W31" s="265">
        <f t="shared" si="7"/>
        <v>29659.090909090908</v>
      </c>
      <c r="X31" s="269"/>
      <c r="Y31" s="268"/>
      <c r="Z31" s="251">
        <f>Tabla14[[#This Row],[Cajas Segunda]]</f>
        <v>0</v>
      </c>
      <c r="AA31" s="263">
        <f t="shared" si="8"/>
        <v>0</v>
      </c>
      <c r="AB31" s="265">
        <f t="shared" si="9"/>
        <v>0</v>
      </c>
      <c r="AC31" s="273">
        <v>27.2</v>
      </c>
      <c r="AD31" s="271"/>
      <c r="AE31" s="271"/>
      <c r="AF31" s="271"/>
      <c r="AG31" s="271">
        <v>22</v>
      </c>
      <c r="AH31" s="251">
        <f t="shared" si="10"/>
        <v>27.2</v>
      </c>
      <c r="AI31" s="263">
        <f t="shared" si="11"/>
        <v>1.2363636363636363</v>
      </c>
      <c r="AJ31" s="265">
        <f t="shared" si="12"/>
        <v>618.18181818181813</v>
      </c>
      <c r="AK31" s="264">
        <f>Tabla14[[#This Row],[Cajas por Personas]]</f>
        <v>0</v>
      </c>
      <c r="AL31" s="267">
        <f>Tabla14[[#This Row],[Valor Precorte Pesona]]</f>
        <v>0</v>
      </c>
      <c r="AM31" s="294">
        <f>Tabla14[[#This Row],[Personas Precorte]]</f>
        <v>0</v>
      </c>
      <c r="AN31" s="305">
        <f>Tabla14[[#This Row],[Valor Precorte Pesona Precorte]]*Tabla14[[#This Row],[Perzonas Precorte]]</f>
        <v>0</v>
      </c>
      <c r="AO31" s="264">
        <f>Tabla14[[#This Row],[Cajas por Personas2]]</f>
        <v>19.772727272727273</v>
      </c>
      <c r="AP31" s="267">
        <f>Tabla14[[#This Row],[Valor Embarque Pesona]]</f>
        <v>29659.090909090908</v>
      </c>
      <c r="AQ31" s="295">
        <f>Tabla14[[#This Row],[Personas Precorte2]]</f>
        <v>22</v>
      </c>
      <c r="AR31" s="304">
        <f>Tabla14[[#This Row],[Valor Embarque Pesona3]]*Tabla14[[#This Row],[Perzona Primera]]</f>
        <v>652500</v>
      </c>
      <c r="AS31" s="264">
        <f>Tabla14[[#This Row],[Columna2]]</f>
        <v>0</v>
      </c>
      <c r="AT31" s="267">
        <f>Tabla14[[#This Row],[Columna1]]</f>
        <v>0</v>
      </c>
      <c r="AU31" s="302">
        <f>Tabla14[[#This Row],[Personas Intervienen]]</f>
        <v>0</v>
      </c>
      <c r="AV31" s="303">
        <f>Tabla14[[#This Row],[Valor Embarque Pesona5]]*Tabla14[[#This Row],[Presonas Segunda]]</f>
        <v>0</v>
      </c>
      <c r="AW31" s="264">
        <f>Tabla14[[#This Row],[Bolsas Por Personas]]</f>
        <v>1.2363636363636363</v>
      </c>
      <c r="AX31" s="267">
        <f>Tabla14[[#This Row],[Valor bolsas Pesona]]</f>
        <v>618.18181818181813</v>
      </c>
      <c r="AY31" s="290">
        <f>Tabla14[[#This Row],[Personas13]]</f>
        <v>22</v>
      </c>
      <c r="AZ31" s="301">
        <f>Tabla14[[#This Row],[Valor bolsas Pesona2]]*Tabla14[[#This Row],[Personas Rechazo]]</f>
        <v>13599.999999999998</v>
      </c>
      <c r="BA31" s="300">
        <f>+Tabla14[[#This Row],[Total Valor Segunda]]+Tabla14[[#This Row],[Total Valor Primera]]+Tabla14[[#This Row],[Total Valor Precorte]]</f>
        <v>652500</v>
      </c>
      <c r="BB31" s="292">
        <f>Tabla14[[#This Row],[Valor bolsas Pesona2]]+Tabla14[[#This Row],[Valor Embarque Pesona3]]</f>
        <v>30277.272727272728</v>
      </c>
      <c r="BD31" s="292">
        <f>Tabla14[[#This Row],[VALOR GANADO]]-Tabla14[[#This Row],[REAJUSTADO]]</f>
        <v>30277.272727272728</v>
      </c>
      <c r="BE31" s="250">
        <f>Tabla14[[#This Row],[CUANTO SE REAJUSTA]]*Tabla14[[#This Row],[Personas Rechazo]]</f>
        <v>666100</v>
      </c>
      <c r="BF31" s="250">
        <f>Tabla14[[#This Row],[REAJUSTADO]]/25000</f>
        <v>0</v>
      </c>
      <c r="BG31" s="302">
        <f>Tabla14[[#This Row],[REAJUSTADO]]*Tabla14[[#This Row],[Personas Rechazo]]</f>
        <v>0</v>
      </c>
      <c r="BH31" s="292" t="str">
        <f>Tabla14[[#This Row],[Finca]]</f>
        <v>San Pedro</v>
      </c>
      <c r="BJ31" s="330">
        <f>Tabla14[[#This Row],[Numero de Ocacionales]]*Tabla14[[#This Row],[REAJUSTADO]]</f>
        <v>0</v>
      </c>
      <c r="BM31" s="330">
        <f>+Tabla14[[#This Row],[CUANTO SE REAJUSTA]]*3</f>
        <v>90831.818181818177</v>
      </c>
    </row>
    <row r="32" spans="3:65" hidden="1" x14ac:dyDescent="0.25">
      <c r="C32" s="71">
        <v>44593</v>
      </c>
      <c r="D32" s="507">
        <f>YEAR(Tabla14[[#This Row],[Fecha]])</f>
        <v>2022</v>
      </c>
      <c r="E32" s="306">
        <f>IF(Tabla14[[#This Row],[Fecha]]&gt;0,_xlfn.ISOWEEKNUM(Tabla14[[#This Row],[Fecha]]),0)</f>
        <v>5</v>
      </c>
      <c r="F32" s="74">
        <v>110</v>
      </c>
      <c r="G32" s="268" t="s">
        <v>153</v>
      </c>
      <c r="H32" s="293" t="str">
        <f>_xlfn.XLOOKUP(Tabla14[[#This Row],[Codigo Finca]],Tabla4[Codigo Finca],Tabla4[Nombre Finca],"")</f>
        <v>Uveros</v>
      </c>
      <c r="I32" s="262">
        <f>_xlfn.XLOOKUP(Tabla14[[#This Row],[Codigo Finca]],Tabla4[Codigo Finca],Tabla4[Precio Caja],0)</f>
        <v>1500</v>
      </c>
      <c r="J32" s="262">
        <f>_xlfn.XLOOKUP(Tabla14[[#This Row],[Codigo Finca]],Tabla4[Codigo Finca],Tabla4[Precio Caja Segunda],0)</f>
        <v>1000</v>
      </c>
      <c r="K32" s="262">
        <f>_xlfn.XLOOKUP(Tabla14[[#This Row],[Codigo Finca]],Tabla4[Codigo Finca],Tabla4[Precio Rechazo],0)</f>
        <v>500</v>
      </c>
      <c r="L32" s="262">
        <f t="shared" si="0"/>
        <v>440</v>
      </c>
      <c r="M32" s="272">
        <f t="shared" si="1"/>
        <v>4</v>
      </c>
      <c r="N32" s="269"/>
      <c r="O32" s="270"/>
      <c r="P32" s="251">
        <f t="shared" si="2"/>
        <v>0</v>
      </c>
      <c r="Q32" s="263">
        <f t="shared" si="3"/>
        <v>0</v>
      </c>
      <c r="R32" s="265">
        <f t="shared" si="4"/>
        <v>0</v>
      </c>
      <c r="S32" s="269">
        <v>440</v>
      </c>
      <c r="T32" s="268">
        <v>5</v>
      </c>
      <c r="U32" s="251">
        <f t="shared" si="5"/>
        <v>110</v>
      </c>
      <c r="V32" s="263">
        <f t="shared" si="6"/>
        <v>22</v>
      </c>
      <c r="W32" s="289">
        <f t="shared" si="7"/>
        <v>33000</v>
      </c>
      <c r="X32" s="269"/>
      <c r="Y32" s="268"/>
      <c r="Z32" s="251">
        <f>Tabla14[[#This Row],[Cajas Segunda]]</f>
        <v>0</v>
      </c>
      <c r="AA32" s="263">
        <f t="shared" si="8"/>
        <v>0</v>
      </c>
      <c r="AB32" s="265">
        <f t="shared" si="9"/>
        <v>0</v>
      </c>
      <c r="AC32" s="273">
        <v>3.4</v>
      </c>
      <c r="AD32" s="271"/>
      <c r="AE32" s="271"/>
      <c r="AF32" s="271"/>
      <c r="AG32" s="271">
        <v>5</v>
      </c>
      <c r="AH32" s="251">
        <f t="shared" si="10"/>
        <v>3.4</v>
      </c>
      <c r="AI32" s="263">
        <f t="shared" si="11"/>
        <v>0.67999999999999994</v>
      </c>
      <c r="AJ32" s="265">
        <f t="shared" si="12"/>
        <v>339.99999999999994</v>
      </c>
      <c r="AK32" s="264">
        <f>Tabla14[[#This Row],[Cajas por Personas]]</f>
        <v>0</v>
      </c>
      <c r="AL32" s="267">
        <f>Tabla14[[#This Row],[Valor Precorte Pesona]]</f>
        <v>0</v>
      </c>
      <c r="AM32" s="294">
        <f>Tabla14[[#This Row],[Personas Precorte]]</f>
        <v>0</v>
      </c>
      <c r="AN32" s="305">
        <f>Tabla14[[#This Row],[Valor Precorte Pesona Precorte]]*Tabla14[[#This Row],[Perzonas Precorte]]</f>
        <v>0</v>
      </c>
      <c r="AO32" s="264">
        <f>Tabla14[[#This Row],[Cajas por Personas2]]</f>
        <v>22</v>
      </c>
      <c r="AP32" s="267">
        <f>Tabla14[[#This Row],[Valor Embarque Pesona]]</f>
        <v>33000</v>
      </c>
      <c r="AQ32" s="295">
        <f>Tabla14[[#This Row],[Personas Precorte2]]</f>
        <v>5</v>
      </c>
      <c r="AR32" s="304">
        <f>Tabla14[[#This Row],[Valor Embarque Pesona3]]*Tabla14[[#This Row],[Perzona Primera]]</f>
        <v>165000</v>
      </c>
      <c r="AS32" s="264">
        <f>Tabla14[[#This Row],[Columna2]]</f>
        <v>0</v>
      </c>
      <c r="AT32" s="267">
        <f>Tabla14[[#This Row],[Columna1]]</f>
        <v>0</v>
      </c>
      <c r="AU32" s="302">
        <f>Tabla14[[#This Row],[Personas Intervienen]]</f>
        <v>0</v>
      </c>
      <c r="AV32" s="303">
        <f>Tabla14[[#This Row],[Valor Embarque Pesona5]]*Tabla14[[#This Row],[Presonas Segunda]]</f>
        <v>0</v>
      </c>
      <c r="AW32" s="264">
        <f>Tabla14[[#This Row],[Bolsas Por Personas]]</f>
        <v>0.67999999999999994</v>
      </c>
      <c r="AX32" s="267">
        <f>Tabla14[[#This Row],[Valor bolsas Pesona]]</f>
        <v>339.99999999999994</v>
      </c>
      <c r="AY32" s="290">
        <f>Tabla14[[#This Row],[Personas13]]</f>
        <v>5</v>
      </c>
      <c r="AZ32" s="301">
        <f>Tabla14[[#This Row],[Valor bolsas Pesona2]]*Tabla14[[#This Row],[Personas Rechazo]]</f>
        <v>1699.9999999999998</v>
      </c>
      <c r="BA32" s="300">
        <f>+Tabla14[[#This Row],[Total Valor Segunda]]+Tabla14[[#This Row],[Total Valor Primera]]+Tabla14[[#This Row],[Total Valor Precorte]]</f>
        <v>165000</v>
      </c>
      <c r="BB32" s="292">
        <f>Tabla14[[#This Row],[Valor bolsas Pesona2]]+Tabla14[[#This Row],[Valor Embarque Pesona3]]</f>
        <v>33340</v>
      </c>
      <c r="BD32" s="292">
        <f>Tabla14[[#This Row],[VALOR GANADO]]-Tabla14[[#This Row],[REAJUSTADO]]</f>
        <v>33340</v>
      </c>
      <c r="BE32" s="250">
        <f>Tabla14[[#This Row],[CUANTO SE REAJUSTA]]*Tabla14[[#This Row],[Personas Rechazo]]</f>
        <v>166700</v>
      </c>
      <c r="BF32" s="250">
        <f>Tabla14[[#This Row],[REAJUSTADO]]/25000</f>
        <v>0</v>
      </c>
      <c r="BG32" s="302">
        <f>Tabla14[[#This Row],[REAJUSTADO]]*Tabla14[[#This Row],[Personas Rechazo]]</f>
        <v>0</v>
      </c>
      <c r="BH32" s="292" t="str">
        <f>Tabla14[[#This Row],[Finca]]</f>
        <v>Uveros</v>
      </c>
      <c r="BJ32" s="330">
        <f>Tabla14[[#This Row],[Numero de Ocacionales]]*Tabla14[[#This Row],[REAJUSTADO]]</f>
        <v>0</v>
      </c>
      <c r="BM32" s="330">
        <f>+Tabla14[[#This Row],[CUANTO SE REAJUSTA]]*3</f>
        <v>100020</v>
      </c>
    </row>
    <row r="33" spans="3:65" hidden="1" x14ac:dyDescent="0.25">
      <c r="C33" s="71">
        <v>44594</v>
      </c>
      <c r="D33" s="507">
        <f>YEAR(Tabla14[[#This Row],[Fecha]])</f>
        <v>2022</v>
      </c>
      <c r="E33" s="306">
        <f>IF(Tabla14[[#This Row],[Fecha]]&gt;0,_xlfn.ISOWEEKNUM(Tabla14[[#This Row],[Fecha]]),0)</f>
        <v>5</v>
      </c>
      <c r="F33" s="74">
        <v>92</v>
      </c>
      <c r="G33" s="268" t="s">
        <v>157</v>
      </c>
      <c r="H33" s="293" t="str">
        <f>_xlfn.XLOOKUP(Tabla14[[#This Row],[Codigo Finca]],Tabla4[Codigo Finca],Tabla4[Nombre Finca],"")</f>
        <v>Pedrito</v>
      </c>
      <c r="I33" s="262">
        <f>_xlfn.XLOOKUP(Tabla14[[#This Row],[Codigo Finca]],Tabla4[Codigo Finca],Tabla4[Precio Caja],0)</f>
        <v>2100</v>
      </c>
      <c r="J33" s="262">
        <f>_xlfn.XLOOKUP(Tabla14[[#This Row],[Codigo Finca]],Tabla4[Codigo Finca],Tabla4[Precio Caja Segunda],0)</f>
        <v>1000</v>
      </c>
      <c r="K33" s="262">
        <f>_xlfn.XLOOKUP(Tabla14[[#This Row],[Codigo Finca]],Tabla4[Codigo Finca],Tabla4[Precio Rechazo],0)</f>
        <v>500</v>
      </c>
      <c r="L33" s="262">
        <f t="shared" si="0"/>
        <v>731</v>
      </c>
      <c r="M33" s="272">
        <f t="shared" si="1"/>
        <v>7.9456521739130439</v>
      </c>
      <c r="N33" s="269"/>
      <c r="O33" s="270"/>
      <c r="P33" s="251">
        <f t="shared" si="2"/>
        <v>0</v>
      </c>
      <c r="Q33" s="263">
        <f t="shared" si="3"/>
        <v>0</v>
      </c>
      <c r="R33" s="265">
        <f t="shared" si="4"/>
        <v>0</v>
      </c>
      <c r="S33" s="269">
        <v>731</v>
      </c>
      <c r="T33" s="268">
        <v>7</v>
      </c>
      <c r="U33" s="251">
        <f t="shared" si="5"/>
        <v>92</v>
      </c>
      <c r="V33" s="263">
        <f t="shared" si="6"/>
        <v>13.142857142857142</v>
      </c>
      <c r="W33" s="265">
        <f t="shared" si="7"/>
        <v>27600</v>
      </c>
      <c r="X33" s="269"/>
      <c r="Y33" s="268"/>
      <c r="Z33" s="251">
        <f>Tabla14[[#This Row],[Cajas Segunda]]</f>
        <v>0</v>
      </c>
      <c r="AA33" s="263">
        <f t="shared" si="8"/>
        <v>0</v>
      </c>
      <c r="AB33" s="265">
        <f t="shared" si="9"/>
        <v>0</v>
      </c>
      <c r="AC33" s="273">
        <v>61.2</v>
      </c>
      <c r="AD33" s="271"/>
      <c r="AE33" s="271"/>
      <c r="AF33" s="271"/>
      <c r="AG33" s="271">
        <v>7</v>
      </c>
      <c r="AH33" s="251">
        <f t="shared" si="10"/>
        <v>61.2</v>
      </c>
      <c r="AI33" s="263">
        <f t="shared" si="11"/>
        <v>8.7428571428571438</v>
      </c>
      <c r="AJ33" s="265">
        <f t="shared" si="12"/>
        <v>4371.4285714285716</v>
      </c>
      <c r="AK33" s="264">
        <f>Tabla14[[#This Row],[Cajas por Personas]]</f>
        <v>0</v>
      </c>
      <c r="AL33" s="267">
        <f>Tabla14[[#This Row],[Valor Precorte Pesona]]</f>
        <v>0</v>
      </c>
      <c r="AM33" s="294">
        <f>Tabla14[[#This Row],[Personas Precorte]]</f>
        <v>0</v>
      </c>
      <c r="AN33" s="305">
        <f>Tabla14[[#This Row],[Valor Precorte Pesona Precorte]]*Tabla14[[#This Row],[Perzonas Precorte]]</f>
        <v>0</v>
      </c>
      <c r="AO33" s="264">
        <f>Tabla14[[#This Row],[Cajas por Personas2]]</f>
        <v>13.142857142857142</v>
      </c>
      <c r="AP33" s="267">
        <f>Tabla14[[#This Row],[Valor Embarque Pesona]]</f>
        <v>27600</v>
      </c>
      <c r="AQ33" s="295">
        <f>Tabla14[[#This Row],[Personas Precorte2]]</f>
        <v>7</v>
      </c>
      <c r="AR33" s="304">
        <f>Tabla14[[#This Row],[Valor Embarque Pesona3]]*Tabla14[[#This Row],[Perzona Primera]]</f>
        <v>193200</v>
      </c>
      <c r="AS33" s="264">
        <f>Tabla14[[#This Row],[Columna2]]</f>
        <v>0</v>
      </c>
      <c r="AT33" s="267">
        <f>Tabla14[[#This Row],[Columna1]]</f>
        <v>0</v>
      </c>
      <c r="AU33" s="302">
        <f>Tabla14[[#This Row],[Personas Intervienen]]</f>
        <v>0</v>
      </c>
      <c r="AV33" s="303">
        <f>Tabla14[[#This Row],[Valor Embarque Pesona5]]*Tabla14[[#This Row],[Presonas Segunda]]</f>
        <v>0</v>
      </c>
      <c r="AW33" s="264">
        <f>Tabla14[[#This Row],[Bolsas Por Personas]]</f>
        <v>8.7428571428571438</v>
      </c>
      <c r="AX33" s="267">
        <f>Tabla14[[#This Row],[Valor bolsas Pesona]]</f>
        <v>4371.4285714285716</v>
      </c>
      <c r="AY33" s="290">
        <f>Tabla14[[#This Row],[Personas13]]</f>
        <v>7</v>
      </c>
      <c r="AZ33" s="301">
        <f>Tabla14[[#This Row],[Valor bolsas Pesona2]]*Tabla14[[#This Row],[Personas Rechazo]]</f>
        <v>30600</v>
      </c>
      <c r="BA33" s="300">
        <f>+Tabla14[[#This Row],[Total Valor Segunda]]+Tabla14[[#This Row],[Total Valor Primera]]+Tabla14[[#This Row],[Total Valor Precorte]]</f>
        <v>193200</v>
      </c>
      <c r="BB33" s="292">
        <f>Tabla14[[#This Row],[Valor bolsas Pesona2]]+Tabla14[[#This Row],[Valor Embarque Pesona3]]</f>
        <v>31971.428571428572</v>
      </c>
      <c r="BD33" s="292">
        <f>Tabla14[[#This Row],[VALOR GANADO]]-Tabla14[[#This Row],[REAJUSTADO]]</f>
        <v>31971.428571428572</v>
      </c>
      <c r="BE33" s="250">
        <f>Tabla14[[#This Row],[CUANTO SE REAJUSTA]]*Tabla14[[#This Row],[Personas Rechazo]]</f>
        <v>223800</v>
      </c>
      <c r="BF33" s="250">
        <f>Tabla14[[#This Row],[REAJUSTADO]]/25000</f>
        <v>0</v>
      </c>
      <c r="BG33" s="302">
        <f>Tabla14[[#This Row],[REAJUSTADO]]*Tabla14[[#This Row],[Personas Rechazo]]</f>
        <v>0</v>
      </c>
      <c r="BH33" s="292" t="str">
        <f>Tabla14[[#This Row],[Finca]]</f>
        <v>Pedrito</v>
      </c>
      <c r="BJ33" s="330">
        <f>Tabla14[[#This Row],[Numero de Ocacionales]]*Tabla14[[#This Row],[REAJUSTADO]]</f>
        <v>0</v>
      </c>
      <c r="BM33" s="330">
        <f>+Tabla14[[#This Row],[CUANTO SE REAJUSTA]]*3</f>
        <v>95914.28571428571</v>
      </c>
    </row>
    <row r="34" spans="3:65" hidden="1" x14ac:dyDescent="0.25">
      <c r="C34" s="71">
        <v>44594</v>
      </c>
      <c r="D34" s="507">
        <f>YEAR(Tabla14[[#This Row],[Fecha]])</f>
        <v>2022</v>
      </c>
      <c r="E34" s="306">
        <f>IF(Tabla14[[#This Row],[Fecha]]&gt;0,_xlfn.ISOWEEKNUM(Tabla14[[#This Row],[Fecha]]),0)</f>
        <v>5</v>
      </c>
      <c r="F34" s="74">
        <v>144</v>
      </c>
      <c r="G34" s="268" t="s">
        <v>155</v>
      </c>
      <c r="H34" s="293" t="str">
        <f>_xlfn.XLOOKUP(Tabla14[[#This Row],[Codigo Finca]],Tabla4[Codigo Finca],Tabla4[Nombre Finca],"")</f>
        <v>Damaquiel</v>
      </c>
      <c r="I34" s="262">
        <f>_xlfn.XLOOKUP(Tabla14[[#This Row],[Codigo Finca]],Tabla4[Codigo Finca],Tabla4[Precio Caja],0)</f>
        <v>1500</v>
      </c>
      <c r="J34" s="262">
        <f>_xlfn.XLOOKUP(Tabla14[[#This Row],[Codigo Finca]],Tabla4[Codigo Finca],Tabla4[Precio Caja Segunda],0)</f>
        <v>1000</v>
      </c>
      <c r="K34" s="262">
        <f>_xlfn.XLOOKUP(Tabla14[[#This Row],[Codigo Finca]],Tabla4[Codigo Finca],Tabla4[Precio Rechazo],0)</f>
        <v>500</v>
      </c>
      <c r="L34" s="262">
        <f t="shared" si="0"/>
        <v>695</v>
      </c>
      <c r="M34" s="272">
        <f t="shared" si="1"/>
        <v>4.8263888888888893</v>
      </c>
      <c r="N34" s="269"/>
      <c r="O34" s="270"/>
      <c r="P34" s="251">
        <f t="shared" si="2"/>
        <v>0</v>
      </c>
      <c r="Q34" s="263">
        <f t="shared" si="3"/>
        <v>0</v>
      </c>
      <c r="R34" s="265">
        <f t="shared" si="4"/>
        <v>0</v>
      </c>
      <c r="S34" s="269">
        <v>695</v>
      </c>
      <c r="T34" s="268">
        <v>6</v>
      </c>
      <c r="U34" s="251">
        <f t="shared" si="5"/>
        <v>144</v>
      </c>
      <c r="V34" s="263">
        <f t="shared" si="6"/>
        <v>24</v>
      </c>
      <c r="W34" s="265">
        <f t="shared" si="7"/>
        <v>36000</v>
      </c>
      <c r="X34" s="269"/>
      <c r="Y34" s="268"/>
      <c r="Z34" s="251">
        <f>Tabla14[[#This Row],[Cajas Segunda]]</f>
        <v>0</v>
      </c>
      <c r="AA34" s="263">
        <f t="shared" si="8"/>
        <v>0</v>
      </c>
      <c r="AB34" s="265">
        <f t="shared" si="9"/>
        <v>0</v>
      </c>
      <c r="AC34" s="273">
        <v>21.6</v>
      </c>
      <c r="AD34" s="271"/>
      <c r="AE34" s="271"/>
      <c r="AF34" s="271"/>
      <c r="AG34" s="271">
        <v>6</v>
      </c>
      <c r="AH34" s="251">
        <f t="shared" si="10"/>
        <v>21.6</v>
      </c>
      <c r="AI34" s="263">
        <f t="shared" si="11"/>
        <v>3.6</v>
      </c>
      <c r="AJ34" s="265">
        <f t="shared" si="12"/>
        <v>1800</v>
      </c>
      <c r="AK34" s="264">
        <f>Tabla14[[#This Row],[Cajas por Personas]]</f>
        <v>0</v>
      </c>
      <c r="AL34" s="267">
        <f>Tabla14[[#This Row],[Valor Precorte Pesona]]</f>
        <v>0</v>
      </c>
      <c r="AM34" s="294">
        <f>Tabla14[[#This Row],[Personas Precorte]]</f>
        <v>0</v>
      </c>
      <c r="AN34" s="305">
        <f>Tabla14[[#This Row],[Valor Precorte Pesona Precorte]]*Tabla14[[#This Row],[Perzonas Precorte]]</f>
        <v>0</v>
      </c>
      <c r="AO34" s="264">
        <f>Tabla14[[#This Row],[Cajas por Personas2]]</f>
        <v>24</v>
      </c>
      <c r="AP34" s="267">
        <f>Tabla14[[#This Row],[Valor Embarque Pesona]]</f>
        <v>36000</v>
      </c>
      <c r="AQ34" s="295">
        <f>Tabla14[[#This Row],[Personas Precorte2]]</f>
        <v>6</v>
      </c>
      <c r="AR34" s="304">
        <f>Tabla14[[#This Row],[Valor Embarque Pesona3]]*Tabla14[[#This Row],[Perzona Primera]]</f>
        <v>216000</v>
      </c>
      <c r="AS34" s="264">
        <f>Tabla14[[#This Row],[Columna2]]</f>
        <v>0</v>
      </c>
      <c r="AT34" s="267">
        <f>Tabla14[[#This Row],[Columna1]]</f>
        <v>0</v>
      </c>
      <c r="AU34" s="302">
        <f>Tabla14[[#This Row],[Personas Intervienen]]</f>
        <v>0</v>
      </c>
      <c r="AV34" s="303">
        <f>Tabla14[[#This Row],[Valor Embarque Pesona5]]*Tabla14[[#This Row],[Presonas Segunda]]</f>
        <v>0</v>
      </c>
      <c r="AW34" s="264">
        <f>Tabla14[[#This Row],[Bolsas Por Personas]]</f>
        <v>3.6</v>
      </c>
      <c r="AX34" s="267">
        <f>Tabla14[[#This Row],[Valor bolsas Pesona]]</f>
        <v>1800</v>
      </c>
      <c r="AY34" s="290">
        <f>Tabla14[[#This Row],[Personas13]]</f>
        <v>6</v>
      </c>
      <c r="AZ34" s="301">
        <f>Tabla14[[#This Row],[Valor bolsas Pesona2]]*Tabla14[[#This Row],[Personas Rechazo]]</f>
        <v>10800</v>
      </c>
      <c r="BA34" s="300">
        <f>+Tabla14[[#This Row],[Total Valor Segunda]]+Tabla14[[#This Row],[Total Valor Primera]]+Tabla14[[#This Row],[Total Valor Precorte]]</f>
        <v>216000</v>
      </c>
      <c r="BB34" s="292">
        <f>Tabla14[[#This Row],[Valor bolsas Pesona2]]+Tabla14[[#This Row],[Valor Embarque Pesona3]]</f>
        <v>37800</v>
      </c>
      <c r="BD34" s="292">
        <f>Tabla14[[#This Row],[VALOR GANADO]]-Tabla14[[#This Row],[REAJUSTADO]]</f>
        <v>37800</v>
      </c>
      <c r="BE34" s="250">
        <f>Tabla14[[#This Row],[CUANTO SE REAJUSTA]]*Tabla14[[#This Row],[Personas Rechazo]]</f>
        <v>226800</v>
      </c>
      <c r="BF34" s="250">
        <f>Tabla14[[#This Row],[REAJUSTADO]]/25000</f>
        <v>0</v>
      </c>
      <c r="BG34" s="302">
        <f>Tabla14[[#This Row],[REAJUSTADO]]*Tabla14[[#This Row],[Personas Rechazo]]</f>
        <v>0</v>
      </c>
      <c r="BH34" s="292" t="str">
        <f>Tabla14[[#This Row],[Finca]]</f>
        <v>Damaquiel</v>
      </c>
      <c r="BJ34" s="330">
        <f>Tabla14[[#This Row],[Numero de Ocacionales]]*Tabla14[[#This Row],[REAJUSTADO]]</f>
        <v>0</v>
      </c>
      <c r="BM34" s="330">
        <f>+Tabla14[[#This Row],[CUANTO SE REAJUSTA]]*3</f>
        <v>113400</v>
      </c>
    </row>
    <row r="35" spans="3:65" hidden="1" x14ac:dyDescent="0.25">
      <c r="C35" s="71">
        <v>44600</v>
      </c>
      <c r="D35" s="507">
        <f>YEAR(Tabla14[[#This Row],[Fecha]])</f>
        <v>2022</v>
      </c>
      <c r="E35" s="306">
        <f>IF(Tabla14[[#This Row],[Fecha]]&gt;0,_xlfn.ISOWEEKNUM(Tabla14[[#This Row],[Fecha]]),0)</f>
        <v>6</v>
      </c>
      <c r="F35" s="74">
        <v>353</v>
      </c>
      <c r="G35" s="268" t="s">
        <v>152</v>
      </c>
      <c r="H35" s="293" t="str">
        <f>_xlfn.XLOOKUP(Tabla14[[#This Row],[Codigo Finca]],Tabla4[Codigo Finca],Tabla4[Nombre Finca],"")</f>
        <v>San Pedro</v>
      </c>
      <c r="I35" s="262">
        <f>_xlfn.XLOOKUP(Tabla14[[#This Row],[Codigo Finca]],Tabla4[Codigo Finca],Tabla4[Precio Caja],0)</f>
        <v>1500</v>
      </c>
      <c r="J35" s="262">
        <f>_xlfn.XLOOKUP(Tabla14[[#This Row],[Codigo Finca]],Tabla4[Codigo Finca],Tabla4[Precio Caja Segunda],0)</f>
        <v>1000</v>
      </c>
      <c r="K35" s="262">
        <f>_xlfn.XLOOKUP(Tabla14[[#This Row],[Codigo Finca]],Tabla4[Codigo Finca],Tabla4[Precio Rechazo],0)</f>
        <v>500</v>
      </c>
      <c r="L35" s="262">
        <f t="shared" si="0"/>
        <v>1251</v>
      </c>
      <c r="M35" s="272">
        <f t="shared" si="1"/>
        <v>3.5439093484419262</v>
      </c>
      <c r="N35" s="269"/>
      <c r="O35" s="270"/>
      <c r="P35" s="251">
        <f t="shared" si="2"/>
        <v>0</v>
      </c>
      <c r="Q35" s="263">
        <f t="shared" si="3"/>
        <v>0</v>
      </c>
      <c r="R35" s="265">
        <f t="shared" si="4"/>
        <v>0</v>
      </c>
      <c r="S35" s="269">
        <v>1251</v>
      </c>
      <c r="T35" s="268">
        <v>17</v>
      </c>
      <c r="U35" s="251">
        <f t="shared" si="5"/>
        <v>353</v>
      </c>
      <c r="V35" s="263">
        <f t="shared" si="6"/>
        <v>20.764705882352942</v>
      </c>
      <c r="W35" s="265">
        <f t="shared" si="7"/>
        <v>31147.058823529413</v>
      </c>
      <c r="X35" s="269"/>
      <c r="Y35" s="268"/>
      <c r="Z35" s="251">
        <f>Tabla14[[#This Row],[Cajas Segunda]]</f>
        <v>0</v>
      </c>
      <c r="AA35" s="263">
        <f t="shared" si="8"/>
        <v>0</v>
      </c>
      <c r="AB35" s="265">
        <f t="shared" si="9"/>
        <v>0</v>
      </c>
      <c r="AC35" s="273">
        <v>64.599999999999994</v>
      </c>
      <c r="AD35" s="271"/>
      <c r="AE35" s="271"/>
      <c r="AF35" s="271"/>
      <c r="AG35" s="271">
        <v>17</v>
      </c>
      <c r="AH35" s="251">
        <f t="shared" si="10"/>
        <v>64.599999999999994</v>
      </c>
      <c r="AI35" s="263">
        <f t="shared" si="11"/>
        <v>3.8</v>
      </c>
      <c r="AJ35" s="265">
        <f t="shared" si="12"/>
        <v>1900</v>
      </c>
      <c r="AK35" s="264">
        <f>Tabla14[[#This Row],[Cajas por Personas]]</f>
        <v>0</v>
      </c>
      <c r="AL35" s="267">
        <f>Tabla14[[#This Row],[Valor Precorte Pesona]]</f>
        <v>0</v>
      </c>
      <c r="AM35" s="294">
        <f>Tabla14[[#This Row],[Personas Precorte]]</f>
        <v>0</v>
      </c>
      <c r="AN35" s="305">
        <f>Tabla14[[#This Row],[Valor Precorte Pesona Precorte]]*Tabla14[[#This Row],[Perzonas Precorte]]</f>
        <v>0</v>
      </c>
      <c r="AO35" s="264">
        <f>Tabla14[[#This Row],[Cajas por Personas2]]</f>
        <v>20.764705882352942</v>
      </c>
      <c r="AP35" s="267">
        <f>Tabla14[[#This Row],[Valor Embarque Pesona]]</f>
        <v>31147.058823529413</v>
      </c>
      <c r="AQ35" s="295">
        <f>Tabla14[[#This Row],[Personas Precorte2]]</f>
        <v>17</v>
      </c>
      <c r="AR35" s="304">
        <f>Tabla14[[#This Row],[Valor Embarque Pesona3]]*Tabla14[[#This Row],[Perzona Primera]]</f>
        <v>529500</v>
      </c>
      <c r="AS35" s="264">
        <f>Tabla14[[#This Row],[Columna2]]</f>
        <v>0</v>
      </c>
      <c r="AT35" s="267">
        <f>Tabla14[[#This Row],[Columna1]]</f>
        <v>0</v>
      </c>
      <c r="AU35" s="302">
        <f>Tabla14[[#This Row],[Personas Intervienen]]</f>
        <v>0</v>
      </c>
      <c r="AV35" s="303">
        <f>Tabla14[[#This Row],[Valor Embarque Pesona5]]*Tabla14[[#This Row],[Presonas Segunda]]</f>
        <v>0</v>
      </c>
      <c r="AW35" s="264">
        <f>Tabla14[[#This Row],[Bolsas Por Personas]]</f>
        <v>3.8</v>
      </c>
      <c r="AX35" s="267">
        <f>Tabla14[[#This Row],[Valor bolsas Pesona]]</f>
        <v>1900</v>
      </c>
      <c r="AY35" s="290">
        <f>Tabla14[[#This Row],[Personas13]]</f>
        <v>17</v>
      </c>
      <c r="AZ35" s="301">
        <f>Tabla14[[#This Row],[Valor bolsas Pesona2]]*Tabla14[[#This Row],[Personas Rechazo]]</f>
        <v>32300</v>
      </c>
      <c r="BA35" s="300">
        <f>+Tabla14[[#This Row],[Total Valor Segunda]]+Tabla14[[#This Row],[Total Valor Primera]]+Tabla14[[#This Row],[Total Valor Precorte]]</f>
        <v>529500</v>
      </c>
      <c r="BB35" s="292">
        <f>Tabla14[[#This Row],[Valor bolsas Pesona2]]+Tabla14[[#This Row],[Valor Embarque Pesona3]]</f>
        <v>33047.058823529413</v>
      </c>
      <c r="BD35" s="292">
        <f>Tabla14[[#This Row],[VALOR GANADO]]-Tabla14[[#This Row],[REAJUSTADO]]</f>
        <v>33047.058823529413</v>
      </c>
      <c r="BE35" s="250">
        <f>Tabla14[[#This Row],[CUANTO SE REAJUSTA]]*Tabla14[[#This Row],[Personas Rechazo]]</f>
        <v>561800</v>
      </c>
      <c r="BF35" s="250">
        <f>Tabla14[[#This Row],[REAJUSTADO]]/25000</f>
        <v>0</v>
      </c>
      <c r="BG35" s="302">
        <f>Tabla14[[#This Row],[REAJUSTADO]]*Tabla14[[#This Row],[Personas Rechazo]]</f>
        <v>0</v>
      </c>
      <c r="BH35" s="292" t="str">
        <f>Tabla14[[#This Row],[Finca]]</f>
        <v>San Pedro</v>
      </c>
      <c r="BJ35" s="330">
        <f>Tabla14[[#This Row],[Numero de Ocacionales]]*Tabla14[[#This Row],[REAJUSTADO]]</f>
        <v>0</v>
      </c>
      <c r="BM35" s="330">
        <f>+Tabla14[[#This Row],[CUANTO SE REAJUSTA]]*3</f>
        <v>99141.176470588238</v>
      </c>
    </row>
    <row r="36" spans="3:65" hidden="1" x14ac:dyDescent="0.25">
      <c r="C36" s="71">
        <v>44600</v>
      </c>
      <c r="D36" s="507">
        <f>YEAR(Tabla14[[#This Row],[Fecha]])</f>
        <v>2022</v>
      </c>
      <c r="E36" s="306">
        <f>IF(Tabla14[[#This Row],[Fecha]]&gt;0,_xlfn.ISOWEEKNUM(Tabla14[[#This Row],[Fecha]]),0)</f>
        <v>6</v>
      </c>
      <c r="F36" s="74">
        <v>90</v>
      </c>
      <c r="G36" s="268" t="s">
        <v>153</v>
      </c>
      <c r="H36" s="293" t="str">
        <f>_xlfn.XLOOKUP(Tabla14[[#This Row],[Codigo Finca]],Tabla4[Codigo Finca],Tabla4[Nombre Finca],"")</f>
        <v>Uveros</v>
      </c>
      <c r="I36" s="262">
        <f>_xlfn.XLOOKUP(Tabla14[[#This Row],[Codigo Finca]],Tabla4[Codigo Finca],Tabla4[Precio Caja],0)</f>
        <v>1500</v>
      </c>
      <c r="J36" s="262">
        <f>_xlfn.XLOOKUP(Tabla14[[#This Row],[Codigo Finca]],Tabla4[Codigo Finca],Tabla4[Precio Caja Segunda],0)</f>
        <v>1000</v>
      </c>
      <c r="K36" s="262">
        <f>_xlfn.XLOOKUP(Tabla14[[#This Row],[Codigo Finca]],Tabla4[Codigo Finca],Tabla4[Precio Rechazo],0)</f>
        <v>500</v>
      </c>
      <c r="L36" s="262">
        <f t="shared" si="0"/>
        <v>367</v>
      </c>
      <c r="M36" s="272">
        <f t="shared" si="1"/>
        <v>4.0777777777777775</v>
      </c>
      <c r="N36" s="269"/>
      <c r="O36" s="270"/>
      <c r="P36" s="251">
        <f t="shared" si="2"/>
        <v>0</v>
      </c>
      <c r="Q36" s="263">
        <f t="shared" si="3"/>
        <v>0</v>
      </c>
      <c r="R36" s="265">
        <f t="shared" si="4"/>
        <v>0</v>
      </c>
      <c r="S36" s="269">
        <v>367</v>
      </c>
      <c r="T36" s="268">
        <v>5</v>
      </c>
      <c r="U36" s="251">
        <f t="shared" si="5"/>
        <v>90</v>
      </c>
      <c r="V36" s="263">
        <f t="shared" si="6"/>
        <v>18</v>
      </c>
      <c r="W36" s="265">
        <f t="shared" si="7"/>
        <v>27000</v>
      </c>
      <c r="X36" s="269"/>
      <c r="Y36" s="268"/>
      <c r="Z36" s="251">
        <f>Tabla14[[#This Row],[Cajas Segunda]]</f>
        <v>0</v>
      </c>
      <c r="AA36" s="263">
        <f t="shared" si="8"/>
        <v>0</v>
      </c>
      <c r="AB36" s="265">
        <f t="shared" si="9"/>
        <v>0</v>
      </c>
      <c r="AC36" s="273">
        <v>9.6</v>
      </c>
      <c r="AD36" s="271"/>
      <c r="AE36" s="271"/>
      <c r="AF36" s="271"/>
      <c r="AG36" s="271">
        <v>5</v>
      </c>
      <c r="AH36" s="251">
        <f t="shared" si="10"/>
        <v>9.6</v>
      </c>
      <c r="AI36" s="263">
        <f t="shared" si="11"/>
        <v>1.92</v>
      </c>
      <c r="AJ36" s="265">
        <f t="shared" si="12"/>
        <v>960</v>
      </c>
      <c r="AK36" s="264">
        <f>Tabla14[[#This Row],[Cajas por Personas]]</f>
        <v>0</v>
      </c>
      <c r="AL36" s="267">
        <f>Tabla14[[#This Row],[Valor Precorte Pesona]]</f>
        <v>0</v>
      </c>
      <c r="AM36" s="294">
        <f>Tabla14[[#This Row],[Personas Precorte]]</f>
        <v>0</v>
      </c>
      <c r="AN36" s="305">
        <f>Tabla14[[#This Row],[Valor Precorte Pesona Precorte]]*Tabla14[[#This Row],[Perzonas Precorte]]</f>
        <v>0</v>
      </c>
      <c r="AO36" s="264">
        <f>Tabla14[[#This Row],[Cajas por Personas2]]</f>
        <v>18</v>
      </c>
      <c r="AP36" s="267">
        <f>Tabla14[[#This Row],[Valor Embarque Pesona]]</f>
        <v>27000</v>
      </c>
      <c r="AQ36" s="295">
        <f>Tabla14[[#This Row],[Personas Precorte2]]</f>
        <v>5</v>
      </c>
      <c r="AR36" s="304">
        <f>Tabla14[[#This Row],[Valor Embarque Pesona3]]*Tabla14[[#This Row],[Perzona Primera]]</f>
        <v>135000</v>
      </c>
      <c r="AS36" s="264">
        <f>Tabla14[[#This Row],[Columna2]]</f>
        <v>0</v>
      </c>
      <c r="AT36" s="267">
        <f>Tabla14[[#This Row],[Columna1]]</f>
        <v>0</v>
      </c>
      <c r="AU36" s="302">
        <f>Tabla14[[#This Row],[Personas Intervienen]]</f>
        <v>0</v>
      </c>
      <c r="AV36" s="303">
        <f>Tabla14[[#This Row],[Valor Embarque Pesona5]]*Tabla14[[#This Row],[Presonas Segunda]]</f>
        <v>0</v>
      </c>
      <c r="AW36" s="264">
        <f>Tabla14[[#This Row],[Bolsas Por Personas]]</f>
        <v>1.92</v>
      </c>
      <c r="AX36" s="267">
        <f>Tabla14[[#This Row],[Valor bolsas Pesona]]</f>
        <v>960</v>
      </c>
      <c r="AY36" s="290">
        <f>Tabla14[[#This Row],[Personas13]]</f>
        <v>5</v>
      </c>
      <c r="AZ36" s="301">
        <f>Tabla14[[#This Row],[Valor bolsas Pesona2]]*Tabla14[[#This Row],[Personas Rechazo]]</f>
        <v>4800</v>
      </c>
      <c r="BA36" s="300">
        <f>+Tabla14[[#This Row],[Total Valor Segunda]]+Tabla14[[#This Row],[Total Valor Primera]]+Tabla14[[#This Row],[Total Valor Precorte]]</f>
        <v>135000</v>
      </c>
      <c r="BB36" s="292">
        <f>Tabla14[[#This Row],[Valor bolsas Pesona2]]+Tabla14[[#This Row],[Valor Embarque Pesona3]]</f>
        <v>27960</v>
      </c>
      <c r="BD36" s="292">
        <f>Tabla14[[#This Row],[VALOR GANADO]]-Tabla14[[#This Row],[REAJUSTADO]]</f>
        <v>27960</v>
      </c>
      <c r="BE36" s="250">
        <f>Tabla14[[#This Row],[CUANTO SE REAJUSTA]]*Tabla14[[#This Row],[Personas Rechazo]]</f>
        <v>139800</v>
      </c>
      <c r="BF36" s="250">
        <f>Tabla14[[#This Row],[REAJUSTADO]]/25000</f>
        <v>0</v>
      </c>
      <c r="BG36" s="302">
        <f>Tabla14[[#This Row],[REAJUSTADO]]*Tabla14[[#This Row],[Personas Rechazo]]</f>
        <v>0</v>
      </c>
      <c r="BH36" s="292" t="str">
        <f>Tabla14[[#This Row],[Finca]]</f>
        <v>Uveros</v>
      </c>
      <c r="BJ36" s="330">
        <f>Tabla14[[#This Row],[Numero de Ocacionales]]*Tabla14[[#This Row],[REAJUSTADO]]</f>
        <v>0</v>
      </c>
      <c r="BM36" s="330">
        <f>+Tabla14[[#This Row],[CUANTO SE REAJUSTA]]*3</f>
        <v>83880</v>
      </c>
    </row>
    <row r="37" spans="3:65" hidden="1" x14ac:dyDescent="0.25">
      <c r="C37" s="71">
        <v>44601</v>
      </c>
      <c r="D37" s="507">
        <f>YEAR(Tabla14[[#This Row],[Fecha]])</f>
        <v>2022</v>
      </c>
      <c r="E37" s="306">
        <f>IF(Tabla14[[#This Row],[Fecha]]&gt;0,_xlfn.ISOWEEKNUM(Tabla14[[#This Row],[Fecha]]),0)</f>
        <v>6</v>
      </c>
      <c r="F37" s="74">
        <v>300</v>
      </c>
      <c r="G37" s="268" t="s">
        <v>152</v>
      </c>
      <c r="H37" s="293" t="str">
        <f>_xlfn.XLOOKUP(Tabla14[[#This Row],[Codigo Finca]],Tabla4[Codigo Finca],Tabla4[Nombre Finca],"")</f>
        <v>San Pedro</v>
      </c>
      <c r="I37" s="262">
        <f>_xlfn.XLOOKUP(Tabla14[[#This Row],[Codigo Finca]],Tabla4[Codigo Finca],Tabla4[Precio Caja],0)</f>
        <v>1500</v>
      </c>
      <c r="J37" s="262">
        <f>_xlfn.XLOOKUP(Tabla14[[#This Row],[Codigo Finca]],Tabla4[Codigo Finca],Tabla4[Precio Caja Segunda],0)</f>
        <v>1000</v>
      </c>
      <c r="K37" s="262">
        <f>_xlfn.XLOOKUP(Tabla14[[#This Row],[Codigo Finca]],Tabla4[Codigo Finca],Tabla4[Precio Rechazo],0)</f>
        <v>500</v>
      </c>
      <c r="L37" s="262">
        <f t="shared" si="0"/>
        <v>979</v>
      </c>
      <c r="M37" s="272">
        <f t="shared" si="1"/>
        <v>3.2633333333333332</v>
      </c>
      <c r="N37" s="269"/>
      <c r="O37" s="270"/>
      <c r="P37" s="251">
        <f t="shared" si="2"/>
        <v>0</v>
      </c>
      <c r="Q37" s="263">
        <f t="shared" si="3"/>
        <v>0</v>
      </c>
      <c r="R37" s="265">
        <f t="shared" si="4"/>
        <v>0</v>
      </c>
      <c r="S37" s="269">
        <v>979</v>
      </c>
      <c r="T37" s="268">
        <v>13</v>
      </c>
      <c r="U37" s="251">
        <f t="shared" si="5"/>
        <v>300</v>
      </c>
      <c r="V37" s="263">
        <f t="shared" si="6"/>
        <v>23.076923076923077</v>
      </c>
      <c r="W37" s="265">
        <f t="shared" si="7"/>
        <v>34615.384615384617</v>
      </c>
      <c r="X37" s="269"/>
      <c r="Y37" s="268"/>
      <c r="Z37" s="251">
        <f>Tabla14[[#This Row],[Cajas Segunda]]</f>
        <v>0</v>
      </c>
      <c r="AA37" s="263">
        <f t="shared" si="8"/>
        <v>0</v>
      </c>
      <c r="AB37" s="265">
        <f t="shared" si="9"/>
        <v>0</v>
      </c>
      <c r="AC37" s="273">
        <v>40.799999999999997</v>
      </c>
      <c r="AD37" s="271"/>
      <c r="AE37" s="271"/>
      <c r="AF37" s="271"/>
      <c r="AG37" s="271">
        <v>13</v>
      </c>
      <c r="AH37" s="251">
        <f t="shared" si="10"/>
        <v>40.799999999999997</v>
      </c>
      <c r="AI37" s="263">
        <f t="shared" si="11"/>
        <v>3.1384615384615384</v>
      </c>
      <c r="AJ37" s="265">
        <f t="shared" si="12"/>
        <v>1569.2307692307693</v>
      </c>
      <c r="AK37" s="264">
        <f>Tabla14[[#This Row],[Cajas por Personas]]</f>
        <v>0</v>
      </c>
      <c r="AL37" s="267">
        <f>Tabla14[[#This Row],[Valor Precorte Pesona]]</f>
        <v>0</v>
      </c>
      <c r="AM37" s="294">
        <f>Tabla14[[#This Row],[Personas Precorte]]</f>
        <v>0</v>
      </c>
      <c r="AN37" s="305">
        <f>Tabla14[[#This Row],[Valor Precorte Pesona Precorte]]*Tabla14[[#This Row],[Perzonas Precorte]]</f>
        <v>0</v>
      </c>
      <c r="AO37" s="264">
        <f>Tabla14[[#This Row],[Cajas por Personas2]]</f>
        <v>23.076923076923077</v>
      </c>
      <c r="AP37" s="267">
        <f>Tabla14[[#This Row],[Valor Embarque Pesona]]</f>
        <v>34615.384615384617</v>
      </c>
      <c r="AQ37" s="295">
        <f>Tabla14[[#This Row],[Personas Precorte2]]</f>
        <v>13</v>
      </c>
      <c r="AR37" s="304">
        <f>Tabla14[[#This Row],[Valor Embarque Pesona3]]*Tabla14[[#This Row],[Perzona Primera]]</f>
        <v>450000</v>
      </c>
      <c r="AS37" s="264">
        <f>Tabla14[[#This Row],[Columna2]]</f>
        <v>0</v>
      </c>
      <c r="AT37" s="267">
        <f>Tabla14[[#This Row],[Columna1]]</f>
        <v>0</v>
      </c>
      <c r="AU37" s="302">
        <f>Tabla14[[#This Row],[Personas Intervienen]]</f>
        <v>0</v>
      </c>
      <c r="AV37" s="303">
        <f>Tabla14[[#This Row],[Valor Embarque Pesona5]]*Tabla14[[#This Row],[Presonas Segunda]]</f>
        <v>0</v>
      </c>
      <c r="AW37" s="264">
        <f>Tabla14[[#This Row],[Bolsas Por Personas]]</f>
        <v>3.1384615384615384</v>
      </c>
      <c r="AX37" s="267">
        <f>Tabla14[[#This Row],[Valor bolsas Pesona]]</f>
        <v>1569.2307692307693</v>
      </c>
      <c r="AY37" s="290">
        <f>Tabla14[[#This Row],[Personas13]]</f>
        <v>13</v>
      </c>
      <c r="AZ37" s="301">
        <f>Tabla14[[#This Row],[Valor bolsas Pesona2]]*Tabla14[[#This Row],[Personas Rechazo]]</f>
        <v>20400</v>
      </c>
      <c r="BA37" s="300">
        <f>+Tabla14[[#This Row],[Total Valor Segunda]]+Tabla14[[#This Row],[Total Valor Primera]]+Tabla14[[#This Row],[Total Valor Precorte]]</f>
        <v>450000</v>
      </c>
      <c r="BB37" s="292">
        <f>Tabla14[[#This Row],[Valor bolsas Pesona2]]+Tabla14[[#This Row],[Valor Embarque Pesona3]]</f>
        <v>36184.615384615383</v>
      </c>
      <c r="BD37" s="292">
        <f>Tabla14[[#This Row],[VALOR GANADO]]-Tabla14[[#This Row],[REAJUSTADO]]</f>
        <v>36184.615384615383</v>
      </c>
      <c r="BE37" s="250">
        <f>Tabla14[[#This Row],[CUANTO SE REAJUSTA]]*Tabla14[[#This Row],[Personas Rechazo]]</f>
        <v>470400</v>
      </c>
      <c r="BF37" s="250">
        <f>Tabla14[[#This Row],[REAJUSTADO]]/25000</f>
        <v>0</v>
      </c>
      <c r="BG37" s="302">
        <f>Tabla14[[#This Row],[REAJUSTADO]]*Tabla14[[#This Row],[Personas Rechazo]]</f>
        <v>0</v>
      </c>
      <c r="BH37" s="292" t="str">
        <f>Tabla14[[#This Row],[Finca]]</f>
        <v>San Pedro</v>
      </c>
      <c r="BJ37" s="330">
        <f>Tabla14[[#This Row],[Numero de Ocacionales]]*Tabla14[[#This Row],[REAJUSTADO]]</f>
        <v>0</v>
      </c>
      <c r="BM37" s="330">
        <f>+Tabla14[[#This Row],[CUANTO SE REAJUSTA]]*3</f>
        <v>108553.84615384616</v>
      </c>
    </row>
    <row r="38" spans="3:65" hidden="1" x14ac:dyDescent="0.25">
      <c r="C38" s="71">
        <v>44601</v>
      </c>
      <c r="D38" s="507">
        <f>YEAR(Tabla14[[#This Row],[Fecha]])</f>
        <v>2022</v>
      </c>
      <c r="E38" s="306">
        <f>IF(Tabla14[[#This Row],[Fecha]]&gt;0,_xlfn.ISOWEEKNUM(Tabla14[[#This Row],[Fecha]]),0)</f>
        <v>6</v>
      </c>
      <c r="F38" s="74">
        <v>156</v>
      </c>
      <c r="G38" s="268" t="s">
        <v>155</v>
      </c>
      <c r="H38" s="293" t="str">
        <f>_xlfn.XLOOKUP(Tabla14[[#This Row],[Codigo Finca]],Tabla4[Codigo Finca],Tabla4[Nombre Finca],"")</f>
        <v>Damaquiel</v>
      </c>
      <c r="I38" s="262">
        <f>_xlfn.XLOOKUP(Tabla14[[#This Row],[Codigo Finca]],Tabla4[Codigo Finca],Tabla4[Precio Caja],0)</f>
        <v>1500</v>
      </c>
      <c r="J38" s="262">
        <f>_xlfn.XLOOKUP(Tabla14[[#This Row],[Codigo Finca]],Tabla4[Codigo Finca],Tabla4[Precio Caja Segunda],0)</f>
        <v>1000</v>
      </c>
      <c r="K38" s="262">
        <f>_xlfn.XLOOKUP(Tabla14[[#This Row],[Codigo Finca]],Tabla4[Codigo Finca],Tabla4[Precio Rechazo],0)</f>
        <v>500</v>
      </c>
      <c r="L38" s="262">
        <f t="shared" si="0"/>
        <v>367</v>
      </c>
      <c r="M38" s="272">
        <f t="shared" si="1"/>
        <v>2.3525641025641026</v>
      </c>
      <c r="N38" s="269"/>
      <c r="O38" s="270"/>
      <c r="P38" s="251">
        <f t="shared" si="2"/>
        <v>0</v>
      </c>
      <c r="Q38" s="263">
        <f t="shared" si="3"/>
        <v>0</v>
      </c>
      <c r="R38" s="265">
        <f t="shared" si="4"/>
        <v>0</v>
      </c>
      <c r="S38" s="269">
        <v>367</v>
      </c>
      <c r="T38" s="268">
        <v>10</v>
      </c>
      <c r="U38" s="251">
        <f t="shared" si="5"/>
        <v>156</v>
      </c>
      <c r="V38" s="263">
        <f t="shared" si="6"/>
        <v>15.6</v>
      </c>
      <c r="W38" s="265">
        <f t="shared" si="7"/>
        <v>23400</v>
      </c>
      <c r="X38" s="269"/>
      <c r="Y38" s="268"/>
      <c r="Z38" s="251">
        <f>Tabla14[[#This Row],[Cajas Segunda]]</f>
        <v>0</v>
      </c>
      <c r="AA38" s="263">
        <f t="shared" si="8"/>
        <v>0</v>
      </c>
      <c r="AB38" s="265">
        <f t="shared" si="9"/>
        <v>0</v>
      </c>
      <c r="AC38" s="273">
        <v>36</v>
      </c>
      <c r="AD38" s="271"/>
      <c r="AE38" s="271"/>
      <c r="AF38" s="271"/>
      <c r="AG38" s="271">
        <v>10</v>
      </c>
      <c r="AH38" s="251">
        <f t="shared" si="10"/>
        <v>36</v>
      </c>
      <c r="AI38" s="263">
        <f t="shared" si="11"/>
        <v>3.6</v>
      </c>
      <c r="AJ38" s="265">
        <f t="shared" si="12"/>
        <v>1800</v>
      </c>
      <c r="AK38" s="264">
        <f>Tabla14[[#This Row],[Cajas por Personas]]</f>
        <v>0</v>
      </c>
      <c r="AL38" s="267">
        <f>Tabla14[[#This Row],[Valor Precorte Pesona]]</f>
        <v>0</v>
      </c>
      <c r="AM38" s="294">
        <f>Tabla14[[#This Row],[Personas Precorte]]</f>
        <v>0</v>
      </c>
      <c r="AN38" s="305">
        <f>Tabla14[[#This Row],[Valor Precorte Pesona Precorte]]*Tabla14[[#This Row],[Perzonas Precorte]]</f>
        <v>0</v>
      </c>
      <c r="AO38" s="264">
        <f>Tabla14[[#This Row],[Cajas por Personas2]]</f>
        <v>15.6</v>
      </c>
      <c r="AP38" s="267">
        <f>Tabla14[[#This Row],[Valor Embarque Pesona]]</f>
        <v>23400</v>
      </c>
      <c r="AQ38" s="295">
        <f>Tabla14[[#This Row],[Personas Precorte2]]</f>
        <v>10</v>
      </c>
      <c r="AR38" s="304">
        <f>Tabla14[[#This Row],[Valor Embarque Pesona3]]*Tabla14[[#This Row],[Perzona Primera]]</f>
        <v>234000</v>
      </c>
      <c r="AS38" s="264">
        <f>Tabla14[[#This Row],[Columna2]]</f>
        <v>0</v>
      </c>
      <c r="AT38" s="267">
        <f>Tabla14[[#This Row],[Columna1]]</f>
        <v>0</v>
      </c>
      <c r="AU38" s="302">
        <f>Tabla14[[#This Row],[Personas Intervienen]]</f>
        <v>0</v>
      </c>
      <c r="AV38" s="303">
        <f>Tabla14[[#This Row],[Valor Embarque Pesona5]]*Tabla14[[#This Row],[Presonas Segunda]]</f>
        <v>0</v>
      </c>
      <c r="AW38" s="264">
        <f>Tabla14[[#This Row],[Bolsas Por Personas]]</f>
        <v>3.6</v>
      </c>
      <c r="AX38" s="267">
        <f>Tabla14[[#This Row],[Valor bolsas Pesona]]</f>
        <v>1800</v>
      </c>
      <c r="AY38" s="290">
        <f>Tabla14[[#This Row],[Personas13]]</f>
        <v>10</v>
      </c>
      <c r="AZ38" s="301">
        <f>Tabla14[[#This Row],[Valor bolsas Pesona2]]*Tabla14[[#This Row],[Personas Rechazo]]</f>
        <v>18000</v>
      </c>
      <c r="BA38" s="300">
        <f>+Tabla14[[#This Row],[Total Valor Segunda]]+Tabla14[[#This Row],[Total Valor Primera]]+Tabla14[[#This Row],[Total Valor Precorte]]</f>
        <v>234000</v>
      </c>
      <c r="BB38" s="292">
        <f>Tabla14[[#This Row],[Valor bolsas Pesona2]]+Tabla14[[#This Row],[Valor Embarque Pesona3]]</f>
        <v>25200</v>
      </c>
      <c r="BD38" s="292">
        <f>Tabla14[[#This Row],[VALOR GANADO]]-Tabla14[[#This Row],[REAJUSTADO]]</f>
        <v>25200</v>
      </c>
      <c r="BE38" s="250">
        <f>Tabla14[[#This Row],[CUANTO SE REAJUSTA]]*Tabla14[[#This Row],[Personas Rechazo]]</f>
        <v>252000</v>
      </c>
      <c r="BF38" s="250">
        <f>Tabla14[[#This Row],[REAJUSTADO]]/25000</f>
        <v>0</v>
      </c>
      <c r="BG38" s="302">
        <f>Tabla14[[#This Row],[REAJUSTADO]]*Tabla14[[#This Row],[Personas Rechazo]]</f>
        <v>0</v>
      </c>
      <c r="BH38" s="292" t="str">
        <f>Tabla14[[#This Row],[Finca]]</f>
        <v>Damaquiel</v>
      </c>
      <c r="BJ38" s="330">
        <f>Tabla14[[#This Row],[Numero de Ocacionales]]*Tabla14[[#This Row],[REAJUSTADO]]</f>
        <v>0</v>
      </c>
      <c r="BM38" s="330">
        <f>+Tabla14[[#This Row],[CUANTO SE REAJUSTA]]*3</f>
        <v>75600</v>
      </c>
    </row>
    <row r="39" spans="3:65" hidden="1" x14ac:dyDescent="0.25">
      <c r="C39" s="71">
        <v>44601</v>
      </c>
      <c r="D39" s="507">
        <f>YEAR(Tabla14[[#This Row],[Fecha]])</f>
        <v>2022</v>
      </c>
      <c r="E39" s="306">
        <f>IF(Tabla14[[#This Row],[Fecha]]&gt;0,_xlfn.ISOWEEKNUM(Tabla14[[#This Row],[Fecha]]),0)</f>
        <v>6</v>
      </c>
      <c r="F39" s="74">
        <v>78</v>
      </c>
      <c r="G39" s="268" t="s">
        <v>157</v>
      </c>
      <c r="H39" s="293" t="str">
        <f>_xlfn.XLOOKUP(Tabla14[[#This Row],[Codigo Finca]],Tabla4[Codigo Finca],Tabla4[Nombre Finca],"")</f>
        <v>Pedrito</v>
      </c>
      <c r="I39" s="262">
        <f>_xlfn.XLOOKUP(Tabla14[[#This Row],[Codigo Finca]],Tabla4[Codigo Finca],Tabla4[Precio Caja],0)</f>
        <v>2100</v>
      </c>
      <c r="J39" s="262">
        <f>_xlfn.XLOOKUP(Tabla14[[#This Row],[Codigo Finca]],Tabla4[Codigo Finca],Tabla4[Precio Caja Segunda],0)</f>
        <v>1000</v>
      </c>
      <c r="K39" s="262">
        <f>_xlfn.XLOOKUP(Tabla14[[#This Row],[Codigo Finca]],Tabla4[Codigo Finca],Tabla4[Precio Rechazo],0)</f>
        <v>500</v>
      </c>
      <c r="L39" s="262">
        <f t="shared" ref="L39:L70" si="13">S39+N39</f>
        <v>592</v>
      </c>
      <c r="M39" s="272">
        <f t="shared" ref="M39:M70" si="14">IF(F39&gt;0,L39/F39,0)</f>
        <v>7.5897435897435894</v>
      </c>
      <c r="N39" s="269"/>
      <c r="O39" s="270"/>
      <c r="P39" s="251">
        <f t="shared" ref="P39:P78" si="15">IF(N39&gt;0,(N39/M39)/2,0)</f>
        <v>0</v>
      </c>
      <c r="Q39" s="263">
        <f t="shared" ref="Q39:Q70" si="16">IF(O39&gt;0,P39/O39,0)</f>
        <v>0</v>
      </c>
      <c r="R39" s="265">
        <f t="shared" ref="R39:R70" si="17">IF(I39&gt;0,Q39*I39,)</f>
        <v>0</v>
      </c>
      <c r="S39" s="269">
        <v>592</v>
      </c>
      <c r="T39" s="268">
        <v>6</v>
      </c>
      <c r="U39" s="251">
        <f t="shared" ref="U39:U70" si="18">F39-P39</f>
        <v>78</v>
      </c>
      <c r="V39" s="263">
        <f t="shared" ref="V39:V70" si="19">IF(T39&gt;0,U39/T39,0)</f>
        <v>13</v>
      </c>
      <c r="W39" s="265">
        <f t="shared" ref="W39:W70" si="20">IF(T39&gt;0,(U39*I39)/T39,0)</f>
        <v>27300</v>
      </c>
      <c r="X39" s="269"/>
      <c r="Y39" s="268"/>
      <c r="Z39" s="251">
        <f>Tabla14[[#This Row],[Cajas Segunda]]</f>
        <v>0</v>
      </c>
      <c r="AA39" s="263">
        <f t="shared" ref="AA39:AA70" si="21">IF(Y39&gt;0,Z39/Y39,0)</f>
        <v>0</v>
      </c>
      <c r="AB39" s="265">
        <f t="shared" ref="AB39:AB70" si="22">IF(Y39&gt;0,(Z39*J39)/Y39,0)</f>
        <v>0</v>
      </c>
      <c r="AC39" s="273"/>
      <c r="AD39" s="271"/>
      <c r="AE39" s="271"/>
      <c r="AF39" s="271"/>
      <c r="AG39" s="271">
        <v>6</v>
      </c>
      <c r="AH39" s="251">
        <f t="shared" ref="AH39:AH70" si="23">IF(AND(AC39&gt;0,AE39=0,AF39=0,AD39=0),AC39,IF(AND(AC39=0,AE39&gt;0,AF39&gt;0,AD39=0),AE39*AF39/25,IF(AND(AC39=0,AE39=0,AF39=0,AD39&gt;0),AD39/25,0)))</f>
        <v>0</v>
      </c>
      <c r="AI39" s="263">
        <f t="shared" ref="AI39:AI70" si="24">IF(AG39&gt;0,AH39/AG39,0)</f>
        <v>0</v>
      </c>
      <c r="AJ39" s="265">
        <f t="shared" ref="AJ39:AJ70" si="25">AI39*K39</f>
        <v>0</v>
      </c>
      <c r="AK39" s="264">
        <f>Tabla14[[#This Row],[Cajas por Personas]]</f>
        <v>0</v>
      </c>
      <c r="AL39" s="267">
        <f>Tabla14[[#This Row],[Valor Precorte Pesona]]</f>
        <v>0</v>
      </c>
      <c r="AM39" s="294">
        <f>Tabla14[[#This Row],[Personas Precorte]]</f>
        <v>0</v>
      </c>
      <c r="AN39" s="305">
        <f>Tabla14[[#This Row],[Valor Precorte Pesona Precorte]]*Tabla14[[#This Row],[Perzonas Precorte]]</f>
        <v>0</v>
      </c>
      <c r="AO39" s="264">
        <f>Tabla14[[#This Row],[Cajas por Personas2]]</f>
        <v>13</v>
      </c>
      <c r="AP39" s="267">
        <f>Tabla14[[#This Row],[Valor Embarque Pesona]]</f>
        <v>27300</v>
      </c>
      <c r="AQ39" s="295">
        <f>Tabla14[[#This Row],[Personas Precorte2]]</f>
        <v>6</v>
      </c>
      <c r="AR39" s="304">
        <f>Tabla14[[#This Row],[Valor Embarque Pesona3]]*Tabla14[[#This Row],[Perzona Primera]]</f>
        <v>163800</v>
      </c>
      <c r="AS39" s="264">
        <f>Tabla14[[#This Row],[Columna2]]</f>
        <v>0</v>
      </c>
      <c r="AT39" s="267">
        <f>Tabla14[[#This Row],[Columna1]]</f>
        <v>0</v>
      </c>
      <c r="AU39" s="302">
        <f>Tabla14[[#This Row],[Personas Intervienen]]</f>
        <v>0</v>
      </c>
      <c r="AV39" s="303">
        <f>Tabla14[[#This Row],[Valor Embarque Pesona5]]*Tabla14[[#This Row],[Presonas Segunda]]</f>
        <v>0</v>
      </c>
      <c r="AW39" s="264">
        <f>Tabla14[[#This Row],[Bolsas Por Personas]]</f>
        <v>0</v>
      </c>
      <c r="AX39" s="267">
        <f>Tabla14[[#This Row],[Valor bolsas Pesona]]</f>
        <v>0</v>
      </c>
      <c r="AY39" s="290">
        <f>Tabla14[[#This Row],[Personas13]]</f>
        <v>6</v>
      </c>
      <c r="AZ39" s="301">
        <f>Tabla14[[#This Row],[Valor bolsas Pesona2]]*Tabla14[[#This Row],[Personas Rechazo]]</f>
        <v>0</v>
      </c>
      <c r="BA39" s="300">
        <f>+Tabla14[[#This Row],[Total Valor Segunda]]+Tabla14[[#This Row],[Total Valor Primera]]+Tabla14[[#This Row],[Total Valor Precorte]]</f>
        <v>163800</v>
      </c>
      <c r="BB39" s="292">
        <f>Tabla14[[#This Row],[Valor bolsas Pesona2]]+Tabla14[[#This Row],[Valor Embarque Pesona3]]</f>
        <v>27300</v>
      </c>
      <c r="BD39" s="292">
        <f>Tabla14[[#This Row],[VALOR GANADO]]-Tabla14[[#This Row],[REAJUSTADO]]</f>
        <v>27300</v>
      </c>
      <c r="BE39" s="250">
        <f>Tabla14[[#This Row],[CUANTO SE REAJUSTA]]*Tabla14[[#This Row],[Personas Rechazo]]</f>
        <v>163800</v>
      </c>
      <c r="BF39" s="250">
        <f>Tabla14[[#This Row],[REAJUSTADO]]/25000</f>
        <v>0</v>
      </c>
      <c r="BG39" s="302">
        <f>Tabla14[[#This Row],[REAJUSTADO]]*Tabla14[[#This Row],[Personas Rechazo]]</f>
        <v>0</v>
      </c>
      <c r="BH39" s="292" t="str">
        <f>Tabla14[[#This Row],[Finca]]</f>
        <v>Pedrito</v>
      </c>
      <c r="BJ39" s="330">
        <f>Tabla14[[#This Row],[Numero de Ocacionales]]*Tabla14[[#This Row],[REAJUSTADO]]</f>
        <v>0</v>
      </c>
      <c r="BM39" s="330">
        <f>+Tabla14[[#This Row],[CUANTO SE REAJUSTA]]*3</f>
        <v>81900</v>
      </c>
    </row>
    <row r="40" spans="3:65" hidden="1" x14ac:dyDescent="0.25">
      <c r="C40" s="71">
        <v>44607</v>
      </c>
      <c r="D40" s="507">
        <f>YEAR(Tabla14[[#This Row],[Fecha]])</f>
        <v>2022</v>
      </c>
      <c r="E40" s="306">
        <f>IF(Tabla14[[#This Row],[Fecha]]&gt;0,_xlfn.ISOWEEKNUM(Tabla14[[#This Row],[Fecha]]),0)</f>
        <v>7</v>
      </c>
      <c r="F40" s="74">
        <v>276</v>
      </c>
      <c r="G40" s="268" t="s">
        <v>152</v>
      </c>
      <c r="H40" s="293" t="str">
        <f>_xlfn.XLOOKUP(Tabla14[[#This Row],[Codigo Finca]],Tabla4[Codigo Finca],Tabla4[Nombre Finca],"")</f>
        <v>San Pedro</v>
      </c>
      <c r="I40" s="262">
        <f>_xlfn.XLOOKUP(Tabla14[[#This Row],[Codigo Finca]],Tabla4[Codigo Finca],Tabla4[Precio Caja],0)</f>
        <v>1500</v>
      </c>
      <c r="J40" s="262">
        <f>_xlfn.XLOOKUP(Tabla14[[#This Row],[Codigo Finca]],Tabla4[Codigo Finca],Tabla4[Precio Caja Segunda],0)</f>
        <v>1000</v>
      </c>
      <c r="K40" s="262">
        <f>_xlfn.XLOOKUP(Tabla14[[#This Row],[Codigo Finca]],Tabla4[Codigo Finca],Tabla4[Precio Rechazo],0)</f>
        <v>500</v>
      </c>
      <c r="L40" s="262">
        <f t="shared" si="13"/>
        <v>1126</v>
      </c>
      <c r="M40" s="272">
        <f t="shared" si="14"/>
        <v>4.0797101449275361</v>
      </c>
      <c r="N40" s="269"/>
      <c r="O40" s="270"/>
      <c r="P40" s="251">
        <f t="shared" si="15"/>
        <v>0</v>
      </c>
      <c r="Q40" s="263">
        <f t="shared" si="16"/>
        <v>0</v>
      </c>
      <c r="R40" s="265">
        <f t="shared" si="17"/>
        <v>0</v>
      </c>
      <c r="S40" s="269">
        <v>1126</v>
      </c>
      <c r="T40" s="268">
        <v>15</v>
      </c>
      <c r="U40" s="251">
        <f t="shared" si="18"/>
        <v>276</v>
      </c>
      <c r="V40" s="263">
        <f t="shared" si="19"/>
        <v>18.399999999999999</v>
      </c>
      <c r="W40" s="265">
        <f t="shared" si="20"/>
        <v>27600</v>
      </c>
      <c r="X40" s="269"/>
      <c r="Y40" s="268"/>
      <c r="Z40" s="251">
        <f>Tabla14[[#This Row],[Cajas Segunda]]</f>
        <v>0</v>
      </c>
      <c r="AA40" s="263">
        <f t="shared" si="21"/>
        <v>0</v>
      </c>
      <c r="AB40" s="265">
        <f t="shared" si="22"/>
        <v>0</v>
      </c>
      <c r="AC40" s="273">
        <v>56.12</v>
      </c>
      <c r="AD40" s="271"/>
      <c r="AE40" s="271"/>
      <c r="AF40" s="271"/>
      <c r="AG40" s="271">
        <v>15</v>
      </c>
      <c r="AH40" s="251">
        <f t="shared" si="23"/>
        <v>56.12</v>
      </c>
      <c r="AI40" s="263">
        <f t="shared" si="24"/>
        <v>3.741333333333333</v>
      </c>
      <c r="AJ40" s="265">
        <f t="shared" si="25"/>
        <v>1870.6666666666665</v>
      </c>
      <c r="AK40" s="264">
        <f>Tabla14[[#This Row],[Cajas por Personas]]</f>
        <v>0</v>
      </c>
      <c r="AL40" s="267">
        <f>Tabla14[[#This Row],[Valor Precorte Pesona]]</f>
        <v>0</v>
      </c>
      <c r="AM40" s="294">
        <f>Tabla14[[#This Row],[Personas Precorte]]</f>
        <v>0</v>
      </c>
      <c r="AN40" s="305">
        <f>Tabla14[[#This Row],[Valor Precorte Pesona Precorte]]*Tabla14[[#This Row],[Perzonas Precorte]]</f>
        <v>0</v>
      </c>
      <c r="AO40" s="264">
        <f>Tabla14[[#This Row],[Cajas por Personas2]]</f>
        <v>18.399999999999999</v>
      </c>
      <c r="AP40" s="267">
        <f>Tabla14[[#This Row],[Valor Embarque Pesona]]</f>
        <v>27600</v>
      </c>
      <c r="AQ40" s="295">
        <f>Tabla14[[#This Row],[Personas Precorte2]]</f>
        <v>15</v>
      </c>
      <c r="AR40" s="304">
        <f>Tabla14[[#This Row],[Valor Embarque Pesona3]]*Tabla14[[#This Row],[Perzona Primera]]</f>
        <v>414000</v>
      </c>
      <c r="AS40" s="264">
        <f>Tabla14[[#This Row],[Columna2]]</f>
        <v>0</v>
      </c>
      <c r="AT40" s="267">
        <f>Tabla14[[#This Row],[Columna1]]</f>
        <v>0</v>
      </c>
      <c r="AU40" s="302">
        <f>Tabla14[[#This Row],[Personas Intervienen]]</f>
        <v>0</v>
      </c>
      <c r="AV40" s="303">
        <f>Tabla14[[#This Row],[Valor Embarque Pesona5]]*Tabla14[[#This Row],[Presonas Segunda]]</f>
        <v>0</v>
      </c>
      <c r="AW40" s="264">
        <f>Tabla14[[#This Row],[Bolsas Por Personas]]</f>
        <v>3.741333333333333</v>
      </c>
      <c r="AX40" s="267">
        <f>Tabla14[[#This Row],[Valor bolsas Pesona]]</f>
        <v>1870.6666666666665</v>
      </c>
      <c r="AY40" s="290">
        <f>Tabla14[[#This Row],[Personas13]]</f>
        <v>15</v>
      </c>
      <c r="AZ40" s="301">
        <f>Tabla14[[#This Row],[Valor bolsas Pesona2]]*Tabla14[[#This Row],[Personas Rechazo]]</f>
        <v>28059.999999999996</v>
      </c>
      <c r="BA40" s="300">
        <f>+Tabla14[[#This Row],[Total Valor Segunda]]+Tabla14[[#This Row],[Total Valor Primera]]+Tabla14[[#This Row],[Total Valor Precorte]]</f>
        <v>414000</v>
      </c>
      <c r="BB40" s="292">
        <f>Tabla14[[#This Row],[Valor bolsas Pesona2]]+Tabla14[[#This Row],[Valor Embarque Pesona3]]</f>
        <v>29470.666666666668</v>
      </c>
      <c r="BD40" s="292">
        <f>Tabla14[[#This Row],[VALOR GANADO]]-Tabla14[[#This Row],[REAJUSTADO]]</f>
        <v>29470.666666666668</v>
      </c>
      <c r="BE40" s="250">
        <f>Tabla14[[#This Row],[CUANTO SE REAJUSTA]]*Tabla14[[#This Row],[Personas Rechazo]]</f>
        <v>442060</v>
      </c>
      <c r="BF40" s="250">
        <f>Tabla14[[#This Row],[REAJUSTADO]]/25000</f>
        <v>0</v>
      </c>
      <c r="BG40" s="302">
        <f>Tabla14[[#This Row],[REAJUSTADO]]*Tabla14[[#This Row],[Personas Rechazo]]</f>
        <v>0</v>
      </c>
      <c r="BH40" s="292" t="str">
        <f>Tabla14[[#This Row],[Finca]]</f>
        <v>San Pedro</v>
      </c>
      <c r="BJ40" s="330">
        <f>Tabla14[[#This Row],[Numero de Ocacionales]]*Tabla14[[#This Row],[REAJUSTADO]]</f>
        <v>0</v>
      </c>
      <c r="BM40" s="330">
        <f>+Tabla14[[#This Row],[CUANTO SE REAJUSTA]]*3</f>
        <v>88412</v>
      </c>
    </row>
    <row r="41" spans="3:65" hidden="1" x14ac:dyDescent="0.25">
      <c r="C41" s="71">
        <v>44607</v>
      </c>
      <c r="D41" s="507">
        <f>YEAR(Tabla14[[#This Row],[Fecha]])</f>
        <v>2022</v>
      </c>
      <c r="E41" s="306">
        <f>IF(Tabla14[[#This Row],[Fecha]]&gt;0,_xlfn.ISOWEEKNUM(Tabla14[[#This Row],[Fecha]]),0)</f>
        <v>7</v>
      </c>
      <c r="F41" s="74">
        <v>90</v>
      </c>
      <c r="G41" s="268" t="s">
        <v>153</v>
      </c>
      <c r="H41" s="293" t="str">
        <f>_xlfn.XLOOKUP(Tabla14[[#This Row],[Codigo Finca]],Tabla4[Codigo Finca],Tabla4[Nombre Finca],"")</f>
        <v>Uveros</v>
      </c>
      <c r="I41" s="262">
        <f>_xlfn.XLOOKUP(Tabla14[[#This Row],[Codigo Finca]],Tabla4[Codigo Finca],Tabla4[Precio Caja],0)</f>
        <v>1500</v>
      </c>
      <c r="J41" s="262">
        <f>_xlfn.XLOOKUP(Tabla14[[#This Row],[Codigo Finca]],Tabla4[Codigo Finca],Tabla4[Precio Caja Segunda],0)</f>
        <v>1000</v>
      </c>
      <c r="K41" s="262">
        <f>_xlfn.XLOOKUP(Tabla14[[#This Row],[Codigo Finca]],Tabla4[Codigo Finca],Tabla4[Precio Rechazo],0)</f>
        <v>500</v>
      </c>
      <c r="L41" s="262">
        <f t="shared" si="13"/>
        <v>392</v>
      </c>
      <c r="M41" s="272">
        <f t="shared" si="14"/>
        <v>4.3555555555555552</v>
      </c>
      <c r="N41" s="269"/>
      <c r="O41" s="270"/>
      <c r="P41" s="251">
        <f t="shared" si="15"/>
        <v>0</v>
      </c>
      <c r="Q41" s="263">
        <f t="shared" si="16"/>
        <v>0</v>
      </c>
      <c r="R41" s="265">
        <f t="shared" si="17"/>
        <v>0</v>
      </c>
      <c r="S41" s="269">
        <v>392</v>
      </c>
      <c r="T41" s="268">
        <v>5</v>
      </c>
      <c r="U41" s="251">
        <f t="shared" si="18"/>
        <v>90</v>
      </c>
      <c r="V41" s="263">
        <f t="shared" si="19"/>
        <v>18</v>
      </c>
      <c r="W41" s="265">
        <f t="shared" si="20"/>
        <v>27000</v>
      </c>
      <c r="X41" s="269"/>
      <c r="Y41" s="268"/>
      <c r="Z41" s="251">
        <f>Tabla14[[#This Row],[Cajas Segunda]]</f>
        <v>0</v>
      </c>
      <c r="AA41" s="263">
        <f t="shared" si="21"/>
        <v>0</v>
      </c>
      <c r="AB41" s="265">
        <f t="shared" si="22"/>
        <v>0</v>
      </c>
      <c r="AC41" s="273">
        <v>10.8</v>
      </c>
      <c r="AD41" s="271"/>
      <c r="AE41" s="271"/>
      <c r="AF41" s="271"/>
      <c r="AG41" s="271">
        <v>5</v>
      </c>
      <c r="AH41" s="251">
        <f t="shared" si="23"/>
        <v>10.8</v>
      </c>
      <c r="AI41" s="263">
        <f t="shared" si="24"/>
        <v>2.16</v>
      </c>
      <c r="AJ41" s="265">
        <f t="shared" si="25"/>
        <v>1080</v>
      </c>
      <c r="AK41" s="264">
        <f>Tabla14[[#This Row],[Cajas por Personas]]</f>
        <v>0</v>
      </c>
      <c r="AL41" s="267">
        <f>Tabla14[[#This Row],[Valor Precorte Pesona]]</f>
        <v>0</v>
      </c>
      <c r="AM41" s="294">
        <f>Tabla14[[#This Row],[Personas Precorte]]</f>
        <v>0</v>
      </c>
      <c r="AN41" s="305">
        <f>Tabla14[[#This Row],[Valor Precorte Pesona Precorte]]*Tabla14[[#This Row],[Perzonas Precorte]]</f>
        <v>0</v>
      </c>
      <c r="AO41" s="264">
        <f>Tabla14[[#This Row],[Cajas por Personas2]]</f>
        <v>18</v>
      </c>
      <c r="AP41" s="267">
        <f>Tabla14[[#This Row],[Valor Embarque Pesona]]</f>
        <v>27000</v>
      </c>
      <c r="AQ41" s="295">
        <f>Tabla14[[#This Row],[Personas Precorte2]]</f>
        <v>5</v>
      </c>
      <c r="AR41" s="304">
        <f>Tabla14[[#This Row],[Valor Embarque Pesona3]]*Tabla14[[#This Row],[Perzona Primera]]</f>
        <v>135000</v>
      </c>
      <c r="AS41" s="264">
        <f>Tabla14[[#This Row],[Columna2]]</f>
        <v>0</v>
      </c>
      <c r="AT41" s="267">
        <f>Tabla14[[#This Row],[Columna1]]</f>
        <v>0</v>
      </c>
      <c r="AU41" s="302">
        <f>Tabla14[[#This Row],[Personas Intervienen]]</f>
        <v>0</v>
      </c>
      <c r="AV41" s="303">
        <f>Tabla14[[#This Row],[Valor Embarque Pesona5]]*Tabla14[[#This Row],[Presonas Segunda]]</f>
        <v>0</v>
      </c>
      <c r="AW41" s="264">
        <f>Tabla14[[#This Row],[Bolsas Por Personas]]</f>
        <v>2.16</v>
      </c>
      <c r="AX41" s="267">
        <f>Tabla14[[#This Row],[Valor bolsas Pesona]]</f>
        <v>1080</v>
      </c>
      <c r="AY41" s="290">
        <f>Tabla14[[#This Row],[Personas13]]</f>
        <v>5</v>
      </c>
      <c r="AZ41" s="301">
        <f>Tabla14[[#This Row],[Valor bolsas Pesona2]]*Tabla14[[#This Row],[Personas Rechazo]]</f>
        <v>5400</v>
      </c>
      <c r="BA41" s="300">
        <f>+Tabla14[[#This Row],[Total Valor Segunda]]+Tabla14[[#This Row],[Total Valor Primera]]+Tabla14[[#This Row],[Total Valor Precorte]]</f>
        <v>135000</v>
      </c>
      <c r="BB41" s="292">
        <f>Tabla14[[#This Row],[Valor bolsas Pesona2]]+Tabla14[[#This Row],[Valor Embarque Pesona3]]</f>
        <v>28080</v>
      </c>
      <c r="BD41" s="292">
        <f>Tabla14[[#This Row],[VALOR GANADO]]-Tabla14[[#This Row],[REAJUSTADO]]</f>
        <v>28080</v>
      </c>
      <c r="BE41" s="250">
        <f>Tabla14[[#This Row],[CUANTO SE REAJUSTA]]*Tabla14[[#This Row],[Personas Rechazo]]</f>
        <v>140400</v>
      </c>
      <c r="BF41" s="250">
        <f>Tabla14[[#This Row],[REAJUSTADO]]/25000</f>
        <v>0</v>
      </c>
      <c r="BG41" s="302">
        <f>Tabla14[[#This Row],[REAJUSTADO]]*Tabla14[[#This Row],[Personas Rechazo]]</f>
        <v>0</v>
      </c>
      <c r="BH41" s="292" t="str">
        <f>Tabla14[[#This Row],[Finca]]</f>
        <v>Uveros</v>
      </c>
      <c r="BJ41" s="330">
        <f>Tabla14[[#This Row],[Numero de Ocacionales]]*Tabla14[[#This Row],[REAJUSTADO]]</f>
        <v>0</v>
      </c>
      <c r="BM41" s="330">
        <f>+Tabla14[[#This Row],[CUANTO SE REAJUSTA]]*3</f>
        <v>84240</v>
      </c>
    </row>
    <row r="42" spans="3:65" hidden="1" x14ac:dyDescent="0.25">
      <c r="C42" s="71">
        <v>44608</v>
      </c>
      <c r="D42" s="507">
        <f>YEAR(Tabla14[[#This Row],[Fecha]])</f>
        <v>2022</v>
      </c>
      <c r="E42" s="306">
        <f>IF(Tabla14[[#This Row],[Fecha]]&gt;0,_xlfn.ISOWEEKNUM(Tabla14[[#This Row],[Fecha]]),0)</f>
        <v>7</v>
      </c>
      <c r="F42" s="74">
        <v>307</v>
      </c>
      <c r="G42" s="268" t="s">
        <v>152</v>
      </c>
      <c r="H42" s="293" t="str">
        <f>_xlfn.XLOOKUP(Tabla14[[#This Row],[Codigo Finca]],Tabla4[Codigo Finca],Tabla4[Nombre Finca],"")</f>
        <v>San Pedro</v>
      </c>
      <c r="I42" s="262">
        <f>_xlfn.XLOOKUP(Tabla14[[#This Row],[Codigo Finca]],Tabla4[Codigo Finca],Tabla4[Precio Caja],0)</f>
        <v>1500</v>
      </c>
      <c r="J42" s="262">
        <f>_xlfn.XLOOKUP(Tabla14[[#This Row],[Codigo Finca]],Tabla4[Codigo Finca],Tabla4[Precio Caja Segunda],0)</f>
        <v>1000</v>
      </c>
      <c r="K42" s="262">
        <f>_xlfn.XLOOKUP(Tabla14[[#This Row],[Codigo Finca]],Tabla4[Codigo Finca],Tabla4[Precio Rechazo],0)</f>
        <v>500</v>
      </c>
      <c r="L42" s="262">
        <f t="shared" si="13"/>
        <v>1266</v>
      </c>
      <c r="M42" s="272">
        <f t="shared" si="14"/>
        <v>4.1237785016286646</v>
      </c>
      <c r="N42" s="269"/>
      <c r="O42" s="270"/>
      <c r="P42" s="251">
        <f t="shared" si="15"/>
        <v>0</v>
      </c>
      <c r="Q42" s="263">
        <f t="shared" si="16"/>
        <v>0</v>
      </c>
      <c r="R42" s="265">
        <f t="shared" si="17"/>
        <v>0</v>
      </c>
      <c r="S42" s="269">
        <v>1266</v>
      </c>
      <c r="T42" s="268">
        <v>15</v>
      </c>
      <c r="U42" s="251">
        <f t="shared" si="18"/>
        <v>307</v>
      </c>
      <c r="V42" s="263">
        <f t="shared" si="19"/>
        <v>20.466666666666665</v>
      </c>
      <c r="W42" s="265">
        <f t="shared" si="20"/>
        <v>30700</v>
      </c>
      <c r="X42" s="269"/>
      <c r="Y42" s="268"/>
      <c r="Z42" s="251">
        <f>Tabla14[[#This Row],[Cajas Segunda]]</f>
        <v>0</v>
      </c>
      <c r="AA42" s="263">
        <f t="shared" si="21"/>
        <v>0</v>
      </c>
      <c r="AB42" s="265">
        <f t="shared" si="22"/>
        <v>0</v>
      </c>
      <c r="AC42" s="273">
        <v>20.399999999999999</v>
      </c>
      <c r="AD42" s="271"/>
      <c r="AE42" s="271"/>
      <c r="AF42" s="271"/>
      <c r="AG42" s="271">
        <v>15</v>
      </c>
      <c r="AH42" s="251">
        <f t="shared" si="23"/>
        <v>20.399999999999999</v>
      </c>
      <c r="AI42" s="263">
        <f t="shared" si="24"/>
        <v>1.3599999999999999</v>
      </c>
      <c r="AJ42" s="265">
        <f t="shared" si="25"/>
        <v>679.99999999999989</v>
      </c>
      <c r="AK42" s="264">
        <f>Tabla14[[#This Row],[Cajas por Personas]]</f>
        <v>0</v>
      </c>
      <c r="AL42" s="267">
        <f>Tabla14[[#This Row],[Valor Precorte Pesona]]</f>
        <v>0</v>
      </c>
      <c r="AM42" s="294">
        <f>Tabla14[[#This Row],[Personas Precorte]]</f>
        <v>0</v>
      </c>
      <c r="AN42" s="305">
        <f>Tabla14[[#This Row],[Valor Precorte Pesona Precorte]]*Tabla14[[#This Row],[Perzonas Precorte]]</f>
        <v>0</v>
      </c>
      <c r="AO42" s="264">
        <f>Tabla14[[#This Row],[Cajas por Personas2]]</f>
        <v>20.466666666666665</v>
      </c>
      <c r="AP42" s="267">
        <f>Tabla14[[#This Row],[Valor Embarque Pesona]]</f>
        <v>30700</v>
      </c>
      <c r="AQ42" s="295">
        <f>Tabla14[[#This Row],[Personas Precorte2]]</f>
        <v>15</v>
      </c>
      <c r="AR42" s="304">
        <f>Tabla14[[#This Row],[Valor Embarque Pesona3]]*Tabla14[[#This Row],[Perzona Primera]]</f>
        <v>460500</v>
      </c>
      <c r="AS42" s="264">
        <f>Tabla14[[#This Row],[Columna2]]</f>
        <v>0</v>
      </c>
      <c r="AT42" s="267">
        <f>Tabla14[[#This Row],[Columna1]]</f>
        <v>0</v>
      </c>
      <c r="AU42" s="302">
        <f>Tabla14[[#This Row],[Personas Intervienen]]</f>
        <v>0</v>
      </c>
      <c r="AV42" s="303">
        <f>Tabla14[[#This Row],[Valor Embarque Pesona5]]*Tabla14[[#This Row],[Presonas Segunda]]</f>
        <v>0</v>
      </c>
      <c r="AW42" s="264">
        <f>Tabla14[[#This Row],[Bolsas Por Personas]]</f>
        <v>1.3599999999999999</v>
      </c>
      <c r="AX42" s="267">
        <f>Tabla14[[#This Row],[Valor bolsas Pesona]]</f>
        <v>679.99999999999989</v>
      </c>
      <c r="AY42" s="290">
        <f>Tabla14[[#This Row],[Personas13]]</f>
        <v>15</v>
      </c>
      <c r="AZ42" s="301">
        <f>Tabla14[[#This Row],[Valor bolsas Pesona2]]*Tabla14[[#This Row],[Personas Rechazo]]</f>
        <v>10199.999999999998</v>
      </c>
      <c r="BA42" s="300">
        <f>+Tabla14[[#This Row],[Total Valor Segunda]]+Tabla14[[#This Row],[Total Valor Primera]]+Tabla14[[#This Row],[Total Valor Precorte]]</f>
        <v>460500</v>
      </c>
      <c r="BB42" s="292">
        <f>Tabla14[[#This Row],[Valor bolsas Pesona2]]+Tabla14[[#This Row],[Valor Embarque Pesona3]]</f>
        <v>31380</v>
      </c>
      <c r="BD42" s="292">
        <f>Tabla14[[#This Row],[VALOR GANADO]]-Tabla14[[#This Row],[REAJUSTADO]]</f>
        <v>31380</v>
      </c>
      <c r="BE42" s="250">
        <f>Tabla14[[#This Row],[CUANTO SE REAJUSTA]]*Tabla14[[#This Row],[Personas Rechazo]]</f>
        <v>470700</v>
      </c>
      <c r="BF42" s="250">
        <f>Tabla14[[#This Row],[REAJUSTADO]]/25000</f>
        <v>0</v>
      </c>
      <c r="BG42" s="302">
        <f>Tabla14[[#This Row],[REAJUSTADO]]*Tabla14[[#This Row],[Personas Rechazo]]</f>
        <v>0</v>
      </c>
      <c r="BH42" s="292" t="str">
        <f>Tabla14[[#This Row],[Finca]]</f>
        <v>San Pedro</v>
      </c>
      <c r="BJ42" s="330">
        <f>Tabla14[[#This Row],[Numero de Ocacionales]]*Tabla14[[#This Row],[REAJUSTADO]]</f>
        <v>0</v>
      </c>
      <c r="BM42" s="330">
        <f>+Tabla14[[#This Row],[CUANTO SE REAJUSTA]]*3</f>
        <v>94140</v>
      </c>
    </row>
    <row r="43" spans="3:65" hidden="1" x14ac:dyDescent="0.25">
      <c r="C43" s="274">
        <v>44608</v>
      </c>
      <c r="D43" s="507">
        <f>YEAR(Tabla14[[#This Row],[Fecha]])</f>
        <v>2022</v>
      </c>
      <c r="E43" s="313">
        <f>IF(Tabla14[[#This Row],[Fecha]]&gt;0,_xlfn.ISOWEEKNUM(Tabla14[[#This Row],[Fecha]]),0)</f>
        <v>7</v>
      </c>
      <c r="F43" s="74">
        <v>168</v>
      </c>
      <c r="G43" s="275" t="s">
        <v>155</v>
      </c>
      <c r="H43" s="276" t="str">
        <f>_xlfn.XLOOKUP(Tabla14[[#This Row],[Codigo Finca]],Tabla4[Codigo Finca],Tabla4[Nombre Finca],"")</f>
        <v>Damaquiel</v>
      </c>
      <c r="I43" s="277">
        <f>_xlfn.XLOOKUP(Tabla14[[#This Row],[Codigo Finca]],Tabla4[Codigo Finca],Tabla4[Precio Caja],0)</f>
        <v>1500</v>
      </c>
      <c r="J43" s="277">
        <f>_xlfn.XLOOKUP(Tabla14[[#This Row],[Codigo Finca]],Tabla4[Codigo Finca],Tabla4[Precio Caja Segunda],0)</f>
        <v>1000</v>
      </c>
      <c r="K43" s="277">
        <f>_xlfn.XLOOKUP(Tabla14[[#This Row],[Codigo Finca]],Tabla4[Codigo Finca],Tabla4[Precio Rechazo],0)</f>
        <v>500</v>
      </c>
      <c r="L43" s="277">
        <f t="shared" si="13"/>
        <v>928</v>
      </c>
      <c r="M43" s="278">
        <f t="shared" si="14"/>
        <v>5.5238095238095237</v>
      </c>
      <c r="N43" s="269"/>
      <c r="O43" s="270"/>
      <c r="P43" s="251">
        <f t="shared" si="15"/>
        <v>0</v>
      </c>
      <c r="Q43" s="263">
        <f t="shared" si="16"/>
        <v>0</v>
      </c>
      <c r="R43" s="265">
        <f t="shared" si="17"/>
        <v>0</v>
      </c>
      <c r="S43" s="283">
        <v>928</v>
      </c>
      <c r="T43" s="275">
        <v>10</v>
      </c>
      <c r="U43" s="280">
        <f t="shared" si="18"/>
        <v>168</v>
      </c>
      <c r="V43" s="281">
        <f t="shared" si="19"/>
        <v>16.8</v>
      </c>
      <c r="W43" s="282">
        <f t="shared" si="20"/>
        <v>25200</v>
      </c>
      <c r="X43" s="283"/>
      <c r="Y43" s="275"/>
      <c r="Z43" s="280">
        <f>Tabla14[[#This Row],[Cajas Segunda]]</f>
        <v>0</v>
      </c>
      <c r="AA43" s="281">
        <f t="shared" si="21"/>
        <v>0</v>
      </c>
      <c r="AB43" s="284">
        <f t="shared" si="22"/>
        <v>0</v>
      </c>
      <c r="AC43" s="285">
        <v>57.8</v>
      </c>
      <c r="AD43" s="286"/>
      <c r="AE43" s="286"/>
      <c r="AF43" s="286"/>
      <c r="AG43" s="286">
        <v>10</v>
      </c>
      <c r="AH43" s="280">
        <f t="shared" si="23"/>
        <v>57.8</v>
      </c>
      <c r="AI43" s="281">
        <f t="shared" si="24"/>
        <v>5.7799999999999994</v>
      </c>
      <c r="AJ43" s="282">
        <f t="shared" si="25"/>
        <v>2889.9999999999995</v>
      </c>
      <c r="AK43" s="287">
        <f>Tabla14[[#This Row],[Cajas por Personas]]</f>
        <v>0</v>
      </c>
      <c r="AL43" s="288">
        <f>Tabla14[[#This Row],[Valor Precorte Pesona]]</f>
        <v>0</v>
      </c>
      <c r="AM43" s="294">
        <f>Tabla14[[#This Row],[Personas Precorte]]</f>
        <v>0</v>
      </c>
      <c r="AN43" s="308">
        <f>Tabla14[[#This Row],[Valor Precorte Pesona Precorte]]*Tabla14[[#This Row],[Perzonas Precorte]]</f>
        <v>0</v>
      </c>
      <c r="AO43" s="287">
        <f>Tabla14[[#This Row],[Cajas por Personas2]]</f>
        <v>16.8</v>
      </c>
      <c r="AP43" s="288">
        <f>Tabla14[[#This Row],[Valor Embarque Pesona]]</f>
        <v>25200</v>
      </c>
      <c r="AQ43" s="295">
        <f>Tabla14[[#This Row],[Personas Precorte2]]</f>
        <v>10</v>
      </c>
      <c r="AR43" s="296">
        <f>Tabla14[[#This Row],[Valor Embarque Pesona3]]*Tabla14[[#This Row],[Perzona Primera]]</f>
        <v>252000</v>
      </c>
      <c r="AS43" s="287">
        <f>Tabla14[[#This Row],[Columna2]]</f>
        <v>0</v>
      </c>
      <c r="AT43" s="288">
        <f>Tabla14[[#This Row],[Columna1]]</f>
        <v>0</v>
      </c>
      <c r="AU43" s="302">
        <f>Tabla14[[#This Row],[Personas Intervienen]]</f>
        <v>0</v>
      </c>
      <c r="AV43" s="297">
        <f>Tabla14[[#This Row],[Valor Embarque Pesona5]]*Tabla14[[#This Row],[Presonas Segunda]]</f>
        <v>0</v>
      </c>
      <c r="AW43" s="287">
        <f>Tabla14[[#This Row],[Bolsas Por Personas]]</f>
        <v>5.7799999999999994</v>
      </c>
      <c r="AX43" s="288">
        <f>Tabla14[[#This Row],[Valor bolsas Pesona]]</f>
        <v>2889.9999999999995</v>
      </c>
      <c r="AY43" s="309">
        <f>Tabla14[[#This Row],[Personas13]]</f>
        <v>10</v>
      </c>
      <c r="AZ43" s="310">
        <f>Tabla14[[#This Row],[Valor bolsas Pesona2]]*Tabla14[[#This Row],[Personas Rechazo]]</f>
        <v>28899.999999999996</v>
      </c>
      <c r="BA43" s="311">
        <f>+Tabla14[[#This Row],[Total Valor Segunda]]+Tabla14[[#This Row],[Total Valor Primera]]+Tabla14[[#This Row],[Total Valor Precorte]]</f>
        <v>252000</v>
      </c>
      <c r="BB43" s="292">
        <f>Tabla14[[#This Row],[Valor bolsas Pesona2]]+Tabla14[[#This Row],[Valor Embarque Pesona3]]</f>
        <v>28090</v>
      </c>
      <c r="BD43" s="292">
        <f>Tabla14[[#This Row],[VALOR GANADO]]-Tabla14[[#This Row],[REAJUSTADO]]</f>
        <v>28090</v>
      </c>
      <c r="BE43" s="250">
        <f>Tabla14[[#This Row],[CUANTO SE REAJUSTA]]*Tabla14[[#This Row],[Personas Rechazo]]</f>
        <v>280900</v>
      </c>
      <c r="BF43" s="250">
        <f>Tabla14[[#This Row],[REAJUSTADO]]/25000</f>
        <v>0</v>
      </c>
      <c r="BG43" s="302">
        <f>Tabla14[[#This Row],[REAJUSTADO]]*Tabla14[[#This Row],[Personas Rechazo]]</f>
        <v>0</v>
      </c>
      <c r="BH43" s="292" t="str">
        <f>Tabla14[[#This Row],[Finca]]</f>
        <v>Damaquiel</v>
      </c>
      <c r="BJ43" s="330">
        <f>Tabla14[[#This Row],[Numero de Ocacionales]]*Tabla14[[#This Row],[REAJUSTADO]]</f>
        <v>0</v>
      </c>
      <c r="BM43" s="330">
        <f>+Tabla14[[#This Row],[CUANTO SE REAJUSTA]]*3</f>
        <v>84270</v>
      </c>
    </row>
    <row r="44" spans="3:65" hidden="1" x14ac:dyDescent="0.25">
      <c r="C44" s="320">
        <v>44608</v>
      </c>
      <c r="D44" s="508">
        <f>YEAR(Tabla14[[#This Row],[Fecha]])</f>
        <v>2022</v>
      </c>
      <c r="E44" s="321">
        <f>IF(Tabla14[[#This Row],[Fecha]]&gt;0,_xlfn.ISOWEEKNUM(Tabla14[[#This Row],[Fecha]]),0)</f>
        <v>7</v>
      </c>
      <c r="F44" s="74">
        <v>77</v>
      </c>
      <c r="G44" s="268" t="s">
        <v>152</v>
      </c>
      <c r="H44" s="266" t="str">
        <f>_xlfn.XLOOKUP(Tabla14[[#This Row],[Codigo Finca]],Tabla4[Codigo Finca],Tabla4[Nombre Finca],"")</f>
        <v>San Pedro</v>
      </c>
      <c r="I44" s="262">
        <f>_xlfn.XLOOKUP(Tabla14[[#This Row],[Codigo Finca]],Tabla4[Codigo Finca],Tabla4[Precio Caja],0)</f>
        <v>1500</v>
      </c>
      <c r="J44" s="262">
        <f>_xlfn.XLOOKUP(Tabla14[[#This Row],[Codigo Finca]],Tabla4[Codigo Finca],Tabla4[Precio Caja Segunda],0)</f>
        <v>1000</v>
      </c>
      <c r="K44" s="262">
        <f>_xlfn.XLOOKUP(Tabla14[[#This Row],[Codigo Finca]],Tabla4[Codigo Finca],Tabla4[Precio Rechazo],0)</f>
        <v>500</v>
      </c>
      <c r="L44" s="262">
        <f t="shared" si="13"/>
        <v>0</v>
      </c>
      <c r="M44" s="272">
        <f t="shared" si="14"/>
        <v>0</v>
      </c>
      <c r="N44" s="269"/>
      <c r="O44" s="270"/>
      <c r="P44" s="251">
        <f t="shared" si="15"/>
        <v>0</v>
      </c>
      <c r="Q44" s="263">
        <f t="shared" si="16"/>
        <v>0</v>
      </c>
      <c r="R44" s="265">
        <f t="shared" si="17"/>
        <v>0</v>
      </c>
      <c r="S44" s="269"/>
      <c r="T44" s="268">
        <v>15</v>
      </c>
      <c r="U44" s="251">
        <f t="shared" si="18"/>
        <v>77</v>
      </c>
      <c r="V44" s="263">
        <f t="shared" si="19"/>
        <v>5.1333333333333337</v>
      </c>
      <c r="W44" s="322">
        <f t="shared" si="20"/>
        <v>7700</v>
      </c>
      <c r="X44" s="269">
        <v>77</v>
      </c>
      <c r="Y44" s="268">
        <v>15</v>
      </c>
      <c r="Z44" s="251">
        <f>Tabla14[[#This Row],[Cajas Segunda]]</f>
        <v>77</v>
      </c>
      <c r="AA44" s="263">
        <f t="shared" si="21"/>
        <v>5.1333333333333337</v>
      </c>
      <c r="AB44" s="265">
        <f t="shared" si="22"/>
        <v>5133.333333333333</v>
      </c>
      <c r="AC44" s="273"/>
      <c r="AD44" s="271"/>
      <c r="AE44" s="271"/>
      <c r="AF44" s="271"/>
      <c r="AG44" s="271">
        <v>15</v>
      </c>
      <c r="AH44" s="251">
        <f t="shared" si="23"/>
        <v>0</v>
      </c>
      <c r="AI44" s="263">
        <f t="shared" si="24"/>
        <v>0</v>
      </c>
      <c r="AJ44" s="322">
        <f t="shared" si="25"/>
        <v>0</v>
      </c>
      <c r="AK44" s="264">
        <f>Tabla14[[#This Row],[Cajas por Personas]]</f>
        <v>0</v>
      </c>
      <c r="AL44" s="267">
        <f>Tabla14[[#This Row],[Valor Precorte Pesona]]</f>
        <v>0</v>
      </c>
      <c r="AM44" s="294">
        <f>Tabla14[[#This Row],[Personas Precorte]]</f>
        <v>0</v>
      </c>
      <c r="AN44" s="308">
        <f>Tabla14[[#This Row],[Valor Precorte Pesona Precorte]]*Tabla14[[#This Row],[Perzonas Precorte]]</f>
        <v>0</v>
      </c>
      <c r="AO44" s="264">
        <f>Tabla14[[#This Row],[Cajas por Personas2]]</f>
        <v>5.1333333333333337</v>
      </c>
      <c r="AP44" s="267">
        <f>Tabla14[[#This Row],[Valor Embarque Pesona]]</f>
        <v>7700</v>
      </c>
      <c r="AQ44" s="295">
        <f>Tabla14[[#This Row],[Personas Precorte2]]</f>
        <v>15</v>
      </c>
      <c r="AR44" s="296">
        <f>Tabla14[[#This Row],[Valor Embarque Pesona3]]*Tabla14[[#This Row],[Perzona Primera]]</f>
        <v>115500</v>
      </c>
      <c r="AS44" s="264">
        <f>Tabla14[[#This Row],[Columna2]]</f>
        <v>5.1333333333333337</v>
      </c>
      <c r="AT44" s="267">
        <f>Tabla14[[#This Row],[Columna1]]</f>
        <v>5133.333333333333</v>
      </c>
      <c r="AU44" s="302">
        <f>Tabla14[[#This Row],[Personas Intervienen]]</f>
        <v>15</v>
      </c>
      <c r="AV44" s="297">
        <f>Tabla14[[#This Row],[Valor Embarque Pesona5]]*Tabla14[[#This Row],[Presonas Segunda]]</f>
        <v>77000</v>
      </c>
      <c r="AW44" s="264">
        <f>Tabla14[[#This Row],[Bolsas Por Personas]]</f>
        <v>0</v>
      </c>
      <c r="AX44" s="267">
        <f>Tabla14[[#This Row],[Valor bolsas Pesona]]</f>
        <v>0</v>
      </c>
      <c r="AY44" s="290">
        <f>Tabla14[[#This Row],[Personas13]]</f>
        <v>15</v>
      </c>
      <c r="AZ44" s="323">
        <f>Tabla14[[#This Row],[Valor bolsas Pesona2]]*Tabla14[[#This Row],[Personas Rechazo]]</f>
        <v>0</v>
      </c>
      <c r="BA44" s="324">
        <f>+Tabla14[[#This Row],[Total Valor Segunda]]+Tabla14[[#This Row],[Total Valor Primera]]+Tabla14[[#This Row],[Total Valor Precorte]]</f>
        <v>192500</v>
      </c>
      <c r="BB44" s="292">
        <f>Tabla14[[#This Row],[Valor bolsas Pesona2]]+Tabla14[[#This Row],[Valor Embarque Pesona3]]</f>
        <v>7700</v>
      </c>
      <c r="BD44" s="292">
        <f>Tabla14[[#This Row],[VALOR GANADO]]-Tabla14[[#This Row],[REAJUSTADO]]</f>
        <v>7700</v>
      </c>
      <c r="BE44" s="250">
        <f>Tabla14[[#This Row],[CUANTO SE REAJUSTA]]*Tabla14[[#This Row],[Personas Rechazo]]</f>
        <v>115500</v>
      </c>
      <c r="BF44" s="250">
        <f>Tabla14[[#This Row],[REAJUSTADO]]/25000</f>
        <v>0</v>
      </c>
      <c r="BG44" s="302">
        <f>Tabla14[[#This Row],[REAJUSTADO]]*Tabla14[[#This Row],[Personas Rechazo]]</f>
        <v>0</v>
      </c>
      <c r="BH44" s="292" t="str">
        <f>Tabla14[[#This Row],[Finca]]</f>
        <v>San Pedro</v>
      </c>
      <c r="BJ44" s="330">
        <f>Tabla14[[#This Row],[Numero de Ocacionales]]*Tabla14[[#This Row],[REAJUSTADO]]</f>
        <v>0</v>
      </c>
      <c r="BM44" s="330">
        <f>+Tabla14[[#This Row],[CUANTO SE REAJUSTA]]*3</f>
        <v>23100</v>
      </c>
    </row>
    <row r="45" spans="3:65" hidden="1" x14ac:dyDescent="0.25">
      <c r="C45" s="320">
        <v>44608</v>
      </c>
      <c r="D45" s="508">
        <f>YEAR(Tabla14[[#This Row],[Fecha]])</f>
        <v>2022</v>
      </c>
      <c r="E45" s="321">
        <f>IF(Tabla14[[#This Row],[Fecha]]&gt;0,_xlfn.ISOWEEKNUM(Tabla14[[#This Row],[Fecha]]),0)</f>
        <v>7</v>
      </c>
      <c r="F45" s="74">
        <v>154</v>
      </c>
      <c r="G45" s="268" t="s">
        <v>157</v>
      </c>
      <c r="H45" s="266" t="str">
        <f>_xlfn.XLOOKUP(Tabla14[[#This Row],[Codigo Finca]],Tabla4[Codigo Finca],Tabla4[Nombre Finca],"")</f>
        <v>Pedrito</v>
      </c>
      <c r="I45" s="262">
        <f>_xlfn.XLOOKUP(Tabla14[[#This Row],[Codigo Finca]],Tabla4[Codigo Finca],Tabla4[Precio Caja],0)</f>
        <v>2100</v>
      </c>
      <c r="J45" s="262">
        <f>_xlfn.XLOOKUP(Tabla14[[#This Row],[Codigo Finca]],Tabla4[Codigo Finca],Tabla4[Precio Caja Segunda],0)</f>
        <v>1000</v>
      </c>
      <c r="K45" s="262">
        <f>_xlfn.XLOOKUP(Tabla14[[#This Row],[Codigo Finca]],Tabla4[Codigo Finca],Tabla4[Precio Rechazo],0)</f>
        <v>500</v>
      </c>
      <c r="L45" s="262">
        <f t="shared" si="13"/>
        <v>668</v>
      </c>
      <c r="M45" s="272">
        <f t="shared" si="14"/>
        <v>4.337662337662338</v>
      </c>
      <c r="N45" s="269"/>
      <c r="O45" s="270"/>
      <c r="P45" s="251">
        <f t="shared" si="15"/>
        <v>0</v>
      </c>
      <c r="Q45" s="263">
        <f t="shared" si="16"/>
        <v>0</v>
      </c>
      <c r="R45" s="265">
        <f t="shared" si="17"/>
        <v>0</v>
      </c>
      <c r="S45" s="269">
        <v>668</v>
      </c>
      <c r="T45" s="268">
        <v>8</v>
      </c>
      <c r="U45" s="251">
        <f t="shared" si="18"/>
        <v>154</v>
      </c>
      <c r="V45" s="263">
        <f t="shared" si="19"/>
        <v>19.25</v>
      </c>
      <c r="W45" s="322">
        <f t="shared" si="20"/>
        <v>40425</v>
      </c>
      <c r="X45" s="269"/>
      <c r="Y45" s="268"/>
      <c r="Z45" s="251">
        <f>Tabla14[[#This Row],[Cajas Segunda]]</f>
        <v>0</v>
      </c>
      <c r="AA45" s="263">
        <f t="shared" si="21"/>
        <v>0</v>
      </c>
      <c r="AB45" s="265">
        <f t="shared" si="22"/>
        <v>0</v>
      </c>
      <c r="AC45" s="273">
        <v>39.119999999999997</v>
      </c>
      <c r="AD45" s="271"/>
      <c r="AE45" s="271"/>
      <c r="AF45" s="271"/>
      <c r="AG45" s="271">
        <v>8</v>
      </c>
      <c r="AH45" s="251">
        <f t="shared" si="23"/>
        <v>39.119999999999997</v>
      </c>
      <c r="AI45" s="263">
        <f t="shared" si="24"/>
        <v>4.8899999999999997</v>
      </c>
      <c r="AJ45" s="322">
        <f t="shared" si="25"/>
        <v>2445</v>
      </c>
      <c r="AK45" s="264">
        <f>Tabla14[[#This Row],[Cajas por Personas]]</f>
        <v>0</v>
      </c>
      <c r="AL45" s="267">
        <f>Tabla14[[#This Row],[Valor Precorte Pesona]]</f>
        <v>0</v>
      </c>
      <c r="AM45" s="294">
        <f>Tabla14[[#This Row],[Personas Precorte]]</f>
        <v>0</v>
      </c>
      <c r="AN45" s="308">
        <f>Tabla14[[#This Row],[Valor Precorte Pesona Precorte]]*Tabla14[[#This Row],[Perzonas Precorte]]</f>
        <v>0</v>
      </c>
      <c r="AO45" s="264">
        <f>Tabla14[[#This Row],[Cajas por Personas2]]</f>
        <v>19.25</v>
      </c>
      <c r="AP45" s="267">
        <f>Tabla14[[#This Row],[Valor Embarque Pesona]]</f>
        <v>40425</v>
      </c>
      <c r="AQ45" s="295">
        <f>Tabla14[[#This Row],[Personas Precorte2]]</f>
        <v>8</v>
      </c>
      <c r="AR45" s="296">
        <f>Tabla14[[#This Row],[Valor Embarque Pesona3]]*Tabla14[[#This Row],[Perzona Primera]]</f>
        <v>323400</v>
      </c>
      <c r="AS45" s="264">
        <f>Tabla14[[#This Row],[Columna2]]</f>
        <v>0</v>
      </c>
      <c r="AT45" s="267">
        <f>Tabla14[[#This Row],[Columna1]]</f>
        <v>0</v>
      </c>
      <c r="AU45" s="302">
        <f>Tabla14[[#This Row],[Personas Intervienen]]</f>
        <v>0</v>
      </c>
      <c r="AV45" s="297">
        <f>Tabla14[[#This Row],[Valor Embarque Pesona5]]*Tabla14[[#This Row],[Presonas Segunda]]</f>
        <v>0</v>
      </c>
      <c r="AW45" s="264">
        <f>Tabla14[[#This Row],[Bolsas Por Personas]]</f>
        <v>4.8899999999999997</v>
      </c>
      <c r="AX45" s="267">
        <f>Tabla14[[#This Row],[Valor bolsas Pesona]]</f>
        <v>2445</v>
      </c>
      <c r="AY45" s="290">
        <f>Tabla14[[#This Row],[Personas13]]</f>
        <v>8</v>
      </c>
      <c r="AZ45" s="323">
        <f>Tabla14[[#This Row],[Valor bolsas Pesona2]]*Tabla14[[#This Row],[Personas Rechazo]]</f>
        <v>19560</v>
      </c>
      <c r="BA45" s="324">
        <f>+Tabla14[[#This Row],[Total Valor Segunda]]+Tabla14[[#This Row],[Total Valor Primera]]+Tabla14[[#This Row],[Total Valor Precorte]]</f>
        <v>323400</v>
      </c>
      <c r="BB45" s="292">
        <f>Tabla14[[#This Row],[Valor bolsas Pesona2]]+Tabla14[[#This Row],[Valor Embarque Pesona3]]</f>
        <v>42870</v>
      </c>
      <c r="BD45" s="292">
        <f>Tabla14[[#This Row],[VALOR GANADO]]-Tabla14[[#This Row],[REAJUSTADO]]</f>
        <v>42870</v>
      </c>
      <c r="BE45" s="250">
        <f>Tabla14[[#This Row],[CUANTO SE REAJUSTA]]*Tabla14[[#This Row],[Personas Rechazo]]</f>
        <v>342960</v>
      </c>
      <c r="BF45" s="250">
        <f>Tabla14[[#This Row],[REAJUSTADO]]/25000</f>
        <v>0</v>
      </c>
      <c r="BG45" s="302">
        <f>Tabla14[[#This Row],[REAJUSTADO]]*Tabla14[[#This Row],[Personas Rechazo]]</f>
        <v>0</v>
      </c>
      <c r="BH45" s="292" t="str">
        <f>Tabla14[[#This Row],[Finca]]</f>
        <v>Pedrito</v>
      </c>
      <c r="BJ45" s="330">
        <f>Tabla14[[#This Row],[Numero de Ocacionales]]*Tabla14[[#This Row],[REAJUSTADO]]</f>
        <v>0</v>
      </c>
      <c r="BM45" s="330">
        <f>+Tabla14[[#This Row],[CUANTO SE REAJUSTA]]*3</f>
        <v>128610</v>
      </c>
    </row>
    <row r="46" spans="3:65" hidden="1" x14ac:dyDescent="0.25">
      <c r="C46" s="320">
        <v>44609</v>
      </c>
      <c r="D46" s="508">
        <f>YEAR(Tabla14[[#This Row],[Fecha]])</f>
        <v>2022</v>
      </c>
      <c r="E46" s="321">
        <f>IF(Tabla14[[#This Row],[Fecha]]&gt;0,_xlfn.ISOWEEKNUM(Tabla14[[#This Row],[Fecha]]),0)</f>
        <v>7</v>
      </c>
      <c r="F46" s="74">
        <v>55</v>
      </c>
      <c r="G46" s="268" t="s">
        <v>155</v>
      </c>
      <c r="H46" s="266" t="str">
        <f>_xlfn.XLOOKUP(Tabla14[[#This Row],[Codigo Finca]],Tabla4[Codigo Finca],Tabla4[Nombre Finca],"")</f>
        <v>Damaquiel</v>
      </c>
      <c r="I46" s="262">
        <f>_xlfn.XLOOKUP(Tabla14[[#This Row],[Codigo Finca]],Tabla4[Codigo Finca],Tabla4[Precio Caja],0)</f>
        <v>1500</v>
      </c>
      <c r="J46" s="262">
        <f>_xlfn.XLOOKUP(Tabla14[[#This Row],[Codigo Finca]],Tabla4[Codigo Finca],Tabla4[Precio Caja Segunda],0)</f>
        <v>1000</v>
      </c>
      <c r="K46" s="262">
        <f>_xlfn.XLOOKUP(Tabla14[[#This Row],[Codigo Finca]],Tabla4[Codigo Finca],Tabla4[Precio Rechazo],0)</f>
        <v>500</v>
      </c>
      <c r="L46" s="262">
        <f t="shared" si="13"/>
        <v>0</v>
      </c>
      <c r="M46" s="272">
        <f t="shared" si="14"/>
        <v>0</v>
      </c>
      <c r="N46" s="269"/>
      <c r="O46" s="270"/>
      <c r="P46" s="251">
        <f t="shared" si="15"/>
        <v>0</v>
      </c>
      <c r="Q46" s="263">
        <f t="shared" si="16"/>
        <v>0</v>
      </c>
      <c r="R46" s="265">
        <f t="shared" si="17"/>
        <v>0</v>
      </c>
      <c r="S46" s="269"/>
      <c r="T46" s="268">
        <v>4</v>
      </c>
      <c r="U46" s="251">
        <f t="shared" si="18"/>
        <v>55</v>
      </c>
      <c r="V46" s="263">
        <f t="shared" si="19"/>
        <v>13.75</v>
      </c>
      <c r="W46" s="322">
        <f t="shared" si="20"/>
        <v>20625</v>
      </c>
      <c r="X46" s="269"/>
      <c r="Y46" s="268"/>
      <c r="Z46" s="251">
        <f>Tabla14[[#This Row],[Cajas Segunda]]</f>
        <v>0</v>
      </c>
      <c r="AA46" s="263">
        <f t="shared" si="21"/>
        <v>0</v>
      </c>
      <c r="AB46" s="265">
        <f t="shared" si="22"/>
        <v>0</v>
      </c>
      <c r="AC46" s="273">
        <v>18.399999999999999</v>
      </c>
      <c r="AD46" s="271"/>
      <c r="AE46" s="271"/>
      <c r="AF46" s="271"/>
      <c r="AG46" s="271">
        <v>4</v>
      </c>
      <c r="AH46" s="251">
        <f t="shared" si="23"/>
        <v>18.399999999999999</v>
      </c>
      <c r="AI46" s="263">
        <f t="shared" si="24"/>
        <v>4.5999999999999996</v>
      </c>
      <c r="AJ46" s="322">
        <f t="shared" si="25"/>
        <v>2300</v>
      </c>
      <c r="AK46" s="264">
        <f>Tabla14[[#This Row],[Cajas por Personas]]</f>
        <v>0</v>
      </c>
      <c r="AL46" s="267">
        <f>Tabla14[[#This Row],[Valor Precorte Pesona]]</f>
        <v>0</v>
      </c>
      <c r="AM46" s="294">
        <f>Tabla14[[#This Row],[Personas Precorte]]</f>
        <v>0</v>
      </c>
      <c r="AN46" s="308">
        <f>Tabla14[[#This Row],[Valor Precorte Pesona Precorte]]*Tabla14[[#This Row],[Perzonas Precorte]]</f>
        <v>0</v>
      </c>
      <c r="AO46" s="264">
        <f>Tabla14[[#This Row],[Cajas por Personas2]]</f>
        <v>13.75</v>
      </c>
      <c r="AP46" s="267">
        <f>Tabla14[[#This Row],[Valor Embarque Pesona]]</f>
        <v>20625</v>
      </c>
      <c r="AQ46" s="295">
        <f>Tabla14[[#This Row],[Personas Precorte2]]</f>
        <v>4</v>
      </c>
      <c r="AR46" s="296">
        <f>Tabla14[[#This Row],[Valor Embarque Pesona3]]*Tabla14[[#This Row],[Perzona Primera]]</f>
        <v>82500</v>
      </c>
      <c r="AS46" s="264">
        <f>Tabla14[[#This Row],[Columna2]]</f>
        <v>0</v>
      </c>
      <c r="AT46" s="267">
        <f>Tabla14[[#This Row],[Columna1]]</f>
        <v>0</v>
      </c>
      <c r="AU46" s="302">
        <f>Tabla14[[#This Row],[Personas Intervienen]]</f>
        <v>0</v>
      </c>
      <c r="AV46" s="297">
        <f>Tabla14[[#This Row],[Valor Embarque Pesona5]]*Tabla14[[#This Row],[Presonas Segunda]]</f>
        <v>0</v>
      </c>
      <c r="AW46" s="264">
        <f>Tabla14[[#This Row],[Bolsas Por Personas]]</f>
        <v>4.5999999999999996</v>
      </c>
      <c r="AX46" s="267">
        <f>Tabla14[[#This Row],[Valor bolsas Pesona]]</f>
        <v>2300</v>
      </c>
      <c r="AY46" s="290">
        <f>Tabla14[[#This Row],[Personas13]]</f>
        <v>4</v>
      </c>
      <c r="AZ46" s="323">
        <f>Tabla14[[#This Row],[Valor bolsas Pesona2]]*Tabla14[[#This Row],[Personas Rechazo]]</f>
        <v>9200</v>
      </c>
      <c r="BA46" s="324">
        <f>+Tabla14[[#This Row],[Total Valor Segunda]]+Tabla14[[#This Row],[Total Valor Primera]]+Tabla14[[#This Row],[Total Valor Precorte]]</f>
        <v>82500</v>
      </c>
      <c r="BB46" s="292">
        <f>Tabla14[[#This Row],[Valor bolsas Pesona2]]+Tabla14[[#This Row],[Valor Embarque Pesona3]]</f>
        <v>22925</v>
      </c>
      <c r="BD46" s="292">
        <f>Tabla14[[#This Row],[VALOR GANADO]]-Tabla14[[#This Row],[REAJUSTADO]]</f>
        <v>22925</v>
      </c>
      <c r="BE46" s="250">
        <f>Tabla14[[#This Row],[CUANTO SE REAJUSTA]]*Tabla14[[#This Row],[Personas Rechazo]]</f>
        <v>91700</v>
      </c>
      <c r="BF46" s="250">
        <f>Tabla14[[#This Row],[REAJUSTADO]]/25000</f>
        <v>0</v>
      </c>
      <c r="BG46" s="302">
        <f>Tabla14[[#This Row],[REAJUSTADO]]*Tabla14[[#This Row],[Personas Rechazo]]</f>
        <v>0</v>
      </c>
      <c r="BH46" s="292" t="str">
        <f>Tabla14[[#This Row],[Finca]]</f>
        <v>Damaquiel</v>
      </c>
      <c r="BJ46" s="330">
        <f>Tabla14[[#This Row],[Numero de Ocacionales]]*Tabla14[[#This Row],[REAJUSTADO]]</f>
        <v>0</v>
      </c>
      <c r="BM46" s="330">
        <f>+Tabla14[[#This Row],[CUANTO SE REAJUSTA]]*3</f>
        <v>68775</v>
      </c>
    </row>
    <row r="47" spans="3:65" hidden="1" x14ac:dyDescent="0.25">
      <c r="C47" s="320">
        <v>44614</v>
      </c>
      <c r="D47" s="508">
        <f>YEAR(Tabla14[[#This Row],[Fecha]])</f>
        <v>2022</v>
      </c>
      <c r="E47" s="321">
        <f>IF(Tabla14[[#This Row],[Fecha]]&gt;0,_xlfn.ISOWEEKNUM(Tabla14[[#This Row],[Fecha]]),0)</f>
        <v>8</v>
      </c>
      <c r="F47" s="74">
        <v>81</v>
      </c>
      <c r="G47" s="268" t="s">
        <v>155</v>
      </c>
      <c r="H47" s="266" t="str">
        <f>_xlfn.XLOOKUP(Tabla14[[#This Row],[Codigo Finca]],Tabla4[Codigo Finca],Tabla4[Nombre Finca],"")</f>
        <v>Damaquiel</v>
      </c>
      <c r="I47" s="262">
        <f>_xlfn.XLOOKUP(Tabla14[[#This Row],[Codigo Finca]],Tabla4[Codigo Finca],Tabla4[Precio Caja],0)</f>
        <v>1500</v>
      </c>
      <c r="J47" s="262">
        <f>_xlfn.XLOOKUP(Tabla14[[#This Row],[Codigo Finca]],Tabla4[Codigo Finca],Tabla4[Precio Caja Segunda],0)</f>
        <v>1000</v>
      </c>
      <c r="K47" s="262">
        <f>_xlfn.XLOOKUP(Tabla14[[#This Row],[Codigo Finca]],Tabla4[Codigo Finca],Tabla4[Precio Rechazo],0)</f>
        <v>500</v>
      </c>
      <c r="L47" s="262">
        <f t="shared" si="13"/>
        <v>568</v>
      </c>
      <c r="M47" s="272">
        <f t="shared" si="14"/>
        <v>7.0123456790123457</v>
      </c>
      <c r="N47" s="269"/>
      <c r="O47" s="270"/>
      <c r="P47" s="251">
        <f t="shared" si="15"/>
        <v>0</v>
      </c>
      <c r="Q47" s="263">
        <f t="shared" si="16"/>
        <v>0</v>
      </c>
      <c r="R47" s="265">
        <f t="shared" si="17"/>
        <v>0</v>
      </c>
      <c r="S47" s="269">
        <v>568</v>
      </c>
      <c r="T47" s="268">
        <v>5</v>
      </c>
      <c r="U47" s="251">
        <f t="shared" si="18"/>
        <v>81</v>
      </c>
      <c r="V47" s="263">
        <f t="shared" si="19"/>
        <v>16.2</v>
      </c>
      <c r="W47" s="322">
        <f t="shared" si="20"/>
        <v>24300</v>
      </c>
      <c r="X47" s="269"/>
      <c r="Y47" s="268"/>
      <c r="Z47" s="251">
        <f>Tabla14[[#This Row],[Cajas Segunda]]</f>
        <v>0</v>
      </c>
      <c r="AA47" s="263">
        <f t="shared" si="21"/>
        <v>0</v>
      </c>
      <c r="AB47" s="265">
        <f t="shared" si="22"/>
        <v>0</v>
      </c>
      <c r="AC47" s="273">
        <v>32.400000000000006</v>
      </c>
      <c r="AD47" s="271"/>
      <c r="AE47" s="271"/>
      <c r="AF47" s="271"/>
      <c r="AG47" s="271">
        <v>5</v>
      </c>
      <c r="AH47" s="251">
        <f t="shared" si="23"/>
        <v>32.400000000000006</v>
      </c>
      <c r="AI47" s="263">
        <f t="shared" si="24"/>
        <v>6.4800000000000013</v>
      </c>
      <c r="AJ47" s="322">
        <f t="shared" si="25"/>
        <v>3240.0000000000005</v>
      </c>
      <c r="AK47" s="264">
        <f>Tabla14[[#This Row],[Cajas por Personas]]</f>
        <v>0</v>
      </c>
      <c r="AL47" s="267">
        <f>Tabla14[[#This Row],[Valor Precorte Pesona]]</f>
        <v>0</v>
      </c>
      <c r="AM47" s="294">
        <f>Tabla14[[#This Row],[Personas Precorte]]</f>
        <v>0</v>
      </c>
      <c r="AN47" s="308">
        <f>Tabla14[[#This Row],[Valor Precorte Pesona Precorte]]*Tabla14[[#This Row],[Perzonas Precorte]]</f>
        <v>0</v>
      </c>
      <c r="AO47" s="264">
        <f>Tabla14[[#This Row],[Cajas por Personas2]]</f>
        <v>16.2</v>
      </c>
      <c r="AP47" s="267">
        <f>Tabla14[[#This Row],[Valor Embarque Pesona]]</f>
        <v>24300</v>
      </c>
      <c r="AQ47" s="295">
        <f>Tabla14[[#This Row],[Personas Precorte2]]</f>
        <v>5</v>
      </c>
      <c r="AR47" s="296">
        <f>Tabla14[[#This Row],[Valor Embarque Pesona3]]*Tabla14[[#This Row],[Perzona Primera]]</f>
        <v>121500</v>
      </c>
      <c r="AS47" s="264">
        <f>Tabla14[[#This Row],[Columna2]]</f>
        <v>0</v>
      </c>
      <c r="AT47" s="267">
        <f>Tabla14[[#This Row],[Columna1]]</f>
        <v>0</v>
      </c>
      <c r="AU47" s="302">
        <f>Tabla14[[#This Row],[Personas Intervienen]]</f>
        <v>0</v>
      </c>
      <c r="AV47" s="297">
        <f>Tabla14[[#This Row],[Valor Embarque Pesona5]]*Tabla14[[#This Row],[Presonas Segunda]]</f>
        <v>0</v>
      </c>
      <c r="AW47" s="264">
        <f>Tabla14[[#This Row],[Bolsas Por Personas]]</f>
        <v>6.4800000000000013</v>
      </c>
      <c r="AX47" s="267">
        <f>Tabla14[[#This Row],[Valor bolsas Pesona]]</f>
        <v>3240.0000000000005</v>
      </c>
      <c r="AY47" s="290">
        <f>Tabla14[[#This Row],[Personas13]]</f>
        <v>5</v>
      </c>
      <c r="AZ47" s="323">
        <f>Tabla14[[#This Row],[Valor bolsas Pesona2]]*Tabla14[[#This Row],[Personas Rechazo]]</f>
        <v>16200.000000000002</v>
      </c>
      <c r="BA47" s="324">
        <f>+Tabla14[[#This Row],[Total Valor Segunda]]+Tabla14[[#This Row],[Total Valor Primera]]+Tabla14[[#This Row],[Total Valor Precorte]]</f>
        <v>121500</v>
      </c>
      <c r="BB47" s="292">
        <f>Tabla14[[#This Row],[Valor bolsas Pesona2]]+Tabla14[[#This Row],[Valor Embarque Pesona3]]</f>
        <v>27540</v>
      </c>
      <c r="BD47" s="292">
        <f>Tabla14[[#This Row],[VALOR GANADO]]-Tabla14[[#This Row],[REAJUSTADO]]</f>
        <v>27540</v>
      </c>
      <c r="BE47" s="250">
        <f>Tabla14[[#This Row],[CUANTO SE REAJUSTA]]*Tabla14[[#This Row],[Personas Rechazo]]</f>
        <v>137700</v>
      </c>
      <c r="BF47" s="250">
        <f>Tabla14[[#This Row],[REAJUSTADO]]/25000</f>
        <v>0</v>
      </c>
      <c r="BG47" s="302">
        <f>Tabla14[[#This Row],[REAJUSTADO]]*Tabla14[[#This Row],[Personas Rechazo]]</f>
        <v>0</v>
      </c>
      <c r="BH47" s="292" t="str">
        <f>Tabla14[[#This Row],[Finca]]</f>
        <v>Damaquiel</v>
      </c>
      <c r="BJ47" s="330">
        <f>Tabla14[[#This Row],[Numero de Ocacionales]]*Tabla14[[#This Row],[REAJUSTADO]]</f>
        <v>0</v>
      </c>
      <c r="BM47" s="330">
        <f>+Tabla14[[#This Row],[CUANTO SE REAJUSTA]]*3</f>
        <v>82620</v>
      </c>
    </row>
    <row r="48" spans="3:65" hidden="1" x14ac:dyDescent="0.25">
      <c r="C48" s="320">
        <v>44614</v>
      </c>
      <c r="D48" s="508">
        <f>YEAR(Tabla14[[#This Row],[Fecha]])</f>
        <v>2022</v>
      </c>
      <c r="E48" s="321">
        <f>IF(Tabla14[[#This Row],[Fecha]]&gt;0,_xlfn.ISOWEEKNUM(Tabla14[[#This Row],[Fecha]]),0)</f>
        <v>8</v>
      </c>
      <c r="F48" s="74">
        <v>250</v>
      </c>
      <c r="G48" s="268" t="s">
        <v>152</v>
      </c>
      <c r="H48" s="266" t="str">
        <f>_xlfn.XLOOKUP(Tabla14[[#This Row],[Codigo Finca]],Tabla4[Codigo Finca],Tabla4[Nombre Finca],"")</f>
        <v>San Pedro</v>
      </c>
      <c r="I48" s="262">
        <f>_xlfn.XLOOKUP(Tabla14[[#This Row],[Codigo Finca]],Tabla4[Codigo Finca],Tabla4[Precio Caja],0)</f>
        <v>1500</v>
      </c>
      <c r="J48" s="262">
        <f>_xlfn.XLOOKUP(Tabla14[[#This Row],[Codigo Finca]],Tabla4[Codigo Finca],Tabla4[Precio Caja Segunda],0)</f>
        <v>1000</v>
      </c>
      <c r="K48" s="262">
        <f>_xlfn.XLOOKUP(Tabla14[[#This Row],[Codigo Finca]],Tabla4[Codigo Finca],Tabla4[Precio Rechazo],0)</f>
        <v>500</v>
      </c>
      <c r="L48" s="262">
        <f t="shared" si="13"/>
        <v>900</v>
      </c>
      <c r="M48" s="272">
        <f t="shared" si="14"/>
        <v>3.6</v>
      </c>
      <c r="N48" s="269"/>
      <c r="O48" s="270"/>
      <c r="P48" s="251">
        <f t="shared" si="15"/>
        <v>0</v>
      </c>
      <c r="Q48" s="263">
        <f t="shared" si="16"/>
        <v>0</v>
      </c>
      <c r="R48" s="265">
        <f t="shared" si="17"/>
        <v>0</v>
      </c>
      <c r="S48" s="269">
        <v>900</v>
      </c>
      <c r="T48" s="268">
        <v>14</v>
      </c>
      <c r="U48" s="251">
        <f t="shared" si="18"/>
        <v>250</v>
      </c>
      <c r="V48" s="263">
        <f t="shared" si="19"/>
        <v>17.857142857142858</v>
      </c>
      <c r="W48" s="322">
        <f t="shared" si="20"/>
        <v>26785.714285714286</v>
      </c>
      <c r="X48" s="269"/>
      <c r="Y48" s="268"/>
      <c r="Z48" s="251">
        <f>Tabla14[[#This Row],[Cajas Segunda]]</f>
        <v>0</v>
      </c>
      <c r="AA48" s="263">
        <f t="shared" si="21"/>
        <v>0</v>
      </c>
      <c r="AB48" s="265">
        <f t="shared" si="22"/>
        <v>0</v>
      </c>
      <c r="AC48" s="273">
        <v>47.6</v>
      </c>
      <c r="AD48" s="271"/>
      <c r="AE48" s="271"/>
      <c r="AF48" s="271"/>
      <c r="AG48" s="271">
        <v>14</v>
      </c>
      <c r="AH48" s="251">
        <f t="shared" si="23"/>
        <v>47.6</v>
      </c>
      <c r="AI48" s="263">
        <f t="shared" si="24"/>
        <v>3.4</v>
      </c>
      <c r="AJ48" s="322">
        <f t="shared" si="25"/>
        <v>1700</v>
      </c>
      <c r="AK48" s="264">
        <f>Tabla14[[#This Row],[Cajas por Personas]]</f>
        <v>0</v>
      </c>
      <c r="AL48" s="267">
        <f>Tabla14[[#This Row],[Valor Precorte Pesona]]</f>
        <v>0</v>
      </c>
      <c r="AM48" s="294">
        <f>Tabla14[[#This Row],[Personas Precorte]]</f>
        <v>0</v>
      </c>
      <c r="AN48" s="308">
        <f>Tabla14[[#This Row],[Valor Precorte Pesona Precorte]]*Tabla14[[#This Row],[Perzonas Precorte]]</f>
        <v>0</v>
      </c>
      <c r="AO48" s="264">
        <f>Tabla14[[#This Row],[Cajas por Personas2]]</f>
        <v>17.857142857142858</v>
      </c>
      <c r="AP48" s="267">
        <f>Tabla14[[#This Row],[Valor Embarque Pesona]]</f>
        <v>26785.714285714286</v>
      </c>
      <c r="AQ48" s="295">
        <f>Tabla14[[#This Row],[Personas Precorte2]]</f>
        <v>14</v>
      </c>
      <c r="AR48" s="296">
        <f>Tabla14[[#This Row],[Valor Embarque Pesona3]]*Tabla14[[#This Row],[Perzona Primera]]</f>
        <v>375000</v>
      </c>
      <c r="AS48" s="264">
        <f>Tabla14[[#This Row],[Columna2]]</f>
        <v>0</v>
      </c>
      <c r="AT48" s="267">
        <f>Tabla14[[#This Row],[Columna1]]</f>
        <v>0</v>
      </c>
      <c r="AU48" s="302">
        <f>Tabla14[[#This Row],[Personas Intervienen]]</f>
        <v>0</v>
      </c>
      <c r="AV48" s="297">
        <f>Tabla14[[#This Row],[Valor Embarque Pesona5]]*Tabla14[[#This Row],[Presonas Segunda]]</f>
        <v>0</v>
      </c>
      <c r="AW48" s="264">
        <f>Tabla14[[#This Row],[Bolsas Por Personas]]</f>
        <v>3.4</v>
      </c>
      <c r="AX48" s="267">
        <f>Tabla14[[#This Row],[Valor bolsas Pesona]]</f>
        <v>1700</v>
      </c>
      <c r="AY48" s="290">
        <f>Tabla14[[#This Row],[Personas13]]</f>
        <v>14</v>
      </c>
      <c r="AZ48" s="323">
        <f>Tabla14[[#This Row],[Valor bolsas Pesona2]]*Tabla14[[#This Row],[Personas Rechazo]]</f>
        <v>23800</v>
      </c>
      <c r="BA48" s="324">
        <f>+Tabla14[[#This Row],[Total Valor Segunda]]+Tabla14[[#This Row],[Total Valor Primera]]+Tabla14[[#This Row],[Total Valor Precorte]]</f>
        <v>375000</v>
      </c>
      <c r="BB48" s="292">
        <f>Tabla14[[#This Row],[Valor bolsas Pesona2]]+Tabla14[[#This Row],[Valor Embarque Pesona3]]</f>
        <v>28485.714285714286</v>
      </c>
      <c r="BD48" s="292">
        <f>Tabla14[[#This Row],[VALOR GANADO]]-Tabla14[[#This Row],[REAJUSTADO]]</f>
        <v>28485.714285714286</v>
      </c>
      <c r="BE48" s="250">
        <f>Tabla14[[#This Row],[CUANTO SE REAJUSTA]]*Tabla14[[#This Row],[Personas Rechazo]]</f>
        <v>398800</v>
      </c>
      <c r="BF48" s="250">
        <f>Tabla14[[#This Row],[REAJUSTADO]]/25000</f>
        <v>0</v>
      </c>
      <c r="BG48" s="302">
        <f>Tabla14[[#This Row],[REAJUSTADO]]*Tabla14[[#This Row],[Personas Rechazo]]</f>
        <v>0</v>
      </c>
      <c r="BH48" s="292" t="str">
        <f>Tabla14[[#This Row],[Finca]]</f>
        <v>San Pedro</v>
      </c>
      <c r="BJ48" s="330">
        <f>Tabla14[[#This Row],[Numero de Ocacionales]]*Tabla14[[#This Row],[REAJUSTADO]]</f>
        <v>0</v>
      </c>
      <c r="BM48" s="330">
        <f>+Tabla14[[#This Row],[CUANTO SE REAJUSTA]]*3</f>
        <v>85457.142857142855</v>
      </c>
    </row>
    <row r="49" spans="1:65" hidden="1" x14ac:dyDescent="0.25">
      <c r="C49" s="320">
        <v>44615</v>
      </c>
      <c r="D49" s="508">
        <f>YEAR(Tabla14[[#This Row],[Fecha]])</f>
        <v>2022</v>
      </c>
      <c r="E49" s="321">
        <f>IF(Tabla14[[#This Row],[Fecha]]&gt;0,_xlfn.ISOWEEKNUM(Tabla14[[#This Row],[Fecha]]),0)</f>
        <v>8</v>
      </c>
      <c r="F49" s="74">
        <v>100</v>
      </c>
      <c r="G49" s="268" t="s">
        <v>153</v>
      </c>
      <c r="H49" s="266" t="str">
        <f>_xlfn.XLOOKUP(Tabla14[[#This Row],[Codigo Finca]],Tabla4[Codigo Finca],Tabla4[Nombre Finca],"")</f>
        <v>Uveros</v>
      </c>
      <c r="I49" s="262">
        <f>_xlfn.XLOOKUP(Tabla14[[#This Row],[Codigo Finca]],Tabla4[Codigo Finca],Tabla4[Precio Caja],0)</f>
        <v>1500</v>
      </c>
      <c r="J49" s="262">
        <f>_xlfn.XLOOKUP(Tabla14[[#This Row],[Codigo Finca]],Tabla4[Codigo Finca],Tabla4[Precio Caja Segunda],0)</f>
        <v>1000</v>
      </c>
      <c r="K49" s="262">
        <f>_xlfn.XLOOKUP(Tabla14[[#This Row],[Codigo Finca]],Tabla4[Codigo Finca],Tabla4[Precio Rechazo],0)</f>
        <v>500</v>
      </c>
      <c r="L49" s="262">
        <f t="shared" si="13"/>
        <v>354</v>
      </c>
      <c r="M49" s="272">
        <f t="shared" si="14"/>
        <v>3.54</v>
      </c>
      <c r="N49" s="269"/>
      <c r="O49" s="270"/>
      <c r="P49" s="251">
        <f t="shared" si="15"/>
        <v>0</v>
      </c>
      <c r="Q49" s="263">
        <f t="shared" si="16"/>
        <v>0</v>
      </c>
      <c r="R49" s="265">
        <f t="shared" si="17"/>
        <v>0</v>
      </c>
      <c r="S49" s="269">
        <v>354</v>
      </c>
      <c r="T49" s="268">
        <v>5</v>
      </c>
      <c r="U49" s="251">
        <f t="shared" si="18"/>
        <v>100</v>
      </c>
      <c r="V49" s="263">
        <f t="shared" si="19"/>
        <v>20</v>
      </c>
      <c r="W49" s="322">
        <f t="shared" si="20"/>
        <v>30000</v>
      </c>
      <c r="X49" s="269"/>
      <c r="Y49" s="268"/>
      <c r="Z49" s="251">
        <f>Tabla14[[#This Row],[Cajas Segunda]]</f>
        <v>0</v>
      </c>
      <c r="AA49" s="263">
        <f t="shared" si="21"/>
        <v>0</v>
      </c>
      <c r="AB49" s="265">
        <f t="shared" si="22"/>
        <v>0</v>
      </c>
      <c r="AC49" s="273">
        <v>10.8</v>
      </c>
      <c r="AD49" s="271"/>
      <c r="AE49" s="271"/>
      <c r="AF49" s="271"/>
      <c r="AG49" s="271">
        <v>5</v>
      </c>
      <c r="AH49" s="251">
        <f t="shared" si="23"/>
        <v>10.8</v>
      </c>
      <c r="AI49" s="263">
        <f t="shared" si="24"/>
        <v>2.16</v>
      </c>
      <c r="AJ49" s="322">
        <f t="shared" si="25"/>
        <v>1080</v>
      </c>
      <c r="AK49" s="264">
        <f>Tabla14[[#This Row],[Cajas por Personas]]</f>
        <v>0</v>
      </c>
      <c r="AL49" s="267">
        <f>Tabla14[[#This Row],[Valor Precorte Pesona]]</f>
        <v>0</v>
      </c>
      <c r="AM49" s="294">
        <f>Tabla14[[#This Row],[Personas Precorte]]</f>
        <v>0</v>
      </c>
      <c r="AN49" s="308">
        <f>Tabla14[[#This Row],[Valor Precorte Pesona Precorte]]*Tabla14[[#This Row],[Perzonas Precorte]]</f>
        <v>0</v>
      </c>
      <c r="AO49" s="264">
        <f>Tabla14[[#This Row],[Cajas por Personas2]]</f>
        <v>20</v>
      </c>
      <c r="AP49" s="267">
        <f>Tabla14[[#This Row],[Valor Embarque Pesona]]</f>
        <v>30000</v>
      </c>
      <c r="AQ49" s="295">
        <f>Tabla14[[#This Row],[Personas Precorte2]]</f>
        <v>5</v>
      </c>
      <c r="AR49" s="296">
        <f>Tabla14[[#This Row],[Valor Embarque Pesona3]]*Tabla14[[#This Row],[Perzona Primera]]</f>
        <v>150000</v>
      </c>
      <c r="AS49" s="264">
        <f>Tabla14[[#This Row],[Columna2]]</f>
        <v>0</v>
      </c>
      <c r="AT49" s="267">
        <f>Tabla14[[#This Row],[Columna1]]</f>
        <v>0</v>
      </c>
      <c r="AU49" s="302">
        <f>Tabla14[[#This Row],[Personas Intervienen]]</f>
        <v>0</v>
      </c>
      <c r="AV49" s="297">
        <f>Tabla14[[#This Row],[Valor Embarque Pesona5]]*Tabla14[[#This Row],[Presonas Segunda]]</f>
        <v>0</v>
      </c>
      <c r="AW49" s="264">
        <f>Tabla14[[#This Row],[Bolsas Por Personas]]</f>
        <v>2.16</v>
      </c>
      <c r="AX49" s="267">
        <f>Tabla14[[#This Row],[Valor bolsas Pesona]]</f>
        <v>1080</v>
      </c>
      <c r="AY49" s="290">
        <f>Tabla14[[#This Row],[Personas13]]</f>
        <v>5</v>
      </c>
      <c r="AZ49" s="323">
        <f>Tabla14[[#This Row],[Valor bolsas Pesona2]]*Tabla14[[#This Row],[Personas Rechazo]]</f>
        <v>5400</v>
      </c>
      <c r="BA49" s="324">
        <f>+Tabla14[[#This Row],[Total Valor Segunda]]+Tabla14[[#This Row],[Total Valor Primera]]+Tabla14[[#This Row],[Total Valor Precorte]]</f>
        <v>150000</v>
      </c>
      <c r="BB49" s="292">
        <f>Tabla14[[#This Row],[Valor bolsas Pesona2]]+Tabla14[[#This Row],[Valor Embarque Pesona3]]</f>
        <v>31080</v>
      </c>
      <c r="BD49" s="292">
        <f>Tabla14[[#This Row],[VALOR GANADO]]-Tabla14[[#This Row],[REAJUSTADO]]</f>
        <v>31080</v>
      </c>
      <c r="BE49" s="250">
        <f>Tabla14[[#This Row],[CUANTO SE REAJUSTA]]*Tabla14[[#This Row],[Personas Rechazo]]</f>
        <v>155400</v>
      </c>
      <c r="BF49" s="250">
        <f>Tabla14[[#This Row],[REAJUSTADO]]/25000</f>
        <v>0</v>
      </c>
      <c r="BG49" s="302">
        <f>Tabla14[[#This Row],[REAJUSTADO]]*Tabla14[[#This Row],[Personas Rechazo]]</f>
        <v>0</v>
      </c>
      <c r="BH49" s="292" t="str">
        <f>Tabla14[[#This Row],[Finca]]</f>
        <v>Uveros</v>
      </c>
      <c r="BJ49" s="330">
        <f>Tabla14[[#This Row],[Numero de Ocacionales]]*Tabla14[[#This Row],[REAJUSTADO]]</f>
        <v>0</v>
      </c>
      <c r="BM49" s="330">
        <f>+Tabla14[[#This Row],[CUANTO SE REAJUSTA]]*3</f>
        <v>93240</v>
      </c>
    </row>
    <row r="50" spans="1:65" hidden="1" x14ac:dyDescent="0.25">
      <c r="C50" s="274">
        <v>44615</v>
      </c>
      <c r="D50" s="507">
        <f>YEAR(Tabla14[[#This Row],[Fecha]])</f>
        <v>2022</v>
      </c>
      <c r="E50" s="313">
        <f>IF(Tabla14[[#This Row],[Fecha]]&gt;0,_xlfn.ISOWEEKNUM(Tabla14[[#This Row],[Fecha]]),0)</f>
        <v>8</v>
      </c>
      <c r="F50" s="74">
        <v>216</v>
      </c>
      <c r="G50" s="275" t="s">
        <v>152</v>
      </c>
      <c r="H50" s="325" t="str">
        <f>_xlfn.XLOOKUP(Tabla14[[#This Row],[Codigo Finca]],Tabla4[Codigo Finca],Tabla4[Nombre Finca],"")</f>
        <v>San Pedro</v>
      </c>
      <c r="I50" s="277">
        <f>_xlfn.XLOOKUP(Tabla14[[#This Row],[Codigo Finca]],Tabla4[Codigo Finca],Tabla4[Precio Caja],0)</f>
        <v>1500</v>
      </c>
      <c r="J50" s="277">
        <f>_xlfn.XLOOKUP(Tabla14[[#This Row],[Codigo Finca]],Tabla4[Codigo Finca],Tabla4[Precio Caja Segunda],0)</f>
        <v>1000</v>
      </c>
      <c r="K50" s="277">
        <f>_xlfn.XLOOKUP(Tabla14[[#This Row],[Codigo Finca]],Tabla4[Codigo Finca],Tabla4[Precio Rechazo],0)</f>
        <v>500</v>
      </c>
      <c r="L50" s="277">
        <f t="shared" si="13"/>
        <v>983</v>
      </c>
      <c r="M50" s="278">
        <f t="shared" si="14"/>
        <v>4.5509259259259256</v>
      </c>
      <c r="N50" s="269"/>
      <c r="O50" s="270"/>
      <c r="P50" s="251">
        <f t="shared" si="15"/>
        <v>0</v>
      </c>
      <c r="Q50" s="263">
        <f t="shared" si="16"/>
        <v>0</v>
      </c>
      <c r="R50" s="265">
        <f t="shared" si="17"/>
        <v>0</v>
      </c>
      <c r="S50" s="283">
        <v>983</v>
      </c>
      <c r="T50" s="275">
        <v>14</v>
      </c>
      <c r="U50" s="280">
        <f t="shared" si="18"/>
        <v>216</v>
      </c>
      <c r="V50" s="281">
        <f t="shared" si="19"/>
        <v>15.428571428571429</v>
      </c>
      <c r="W50" s="282">
        <f t="shared" si="20"/>
        <v>23142.857142857141</v>
      </c>
      <c r="X50" s="283"/>
      <c r="Y50" s="275"/>
      <c r="Z50" s="280">
        <f>Tabla14[[#This Row],[Cajas Segunda]]</f>
        <v>0</v>
      </c>
      <c r="AA50" s="281">
        <f t="shared" si="21"/>
        <v>0</v>
      </c>
      <c r="AB50" s="284">
        <f t="shared" si="22"/>
        <v>0</v>
      </c>
      <c r="AC50" s="285">
        <v>68</v>
      </c>
      <c r="AD50" s="286"/>
      <c r="AE50" s="286"/>
      <c r="AF50" s="286"/>
      <c r="AG50" s="286">
        <v>14</v>
      </c>
      <c r="AH50" s="280">
        <f t="shared" si="23"/>
        <v>68</v>
      </c>
      <c r="AI50" s="281">
        <f t="shared" si="24"/>
        <v>4.8571428571428568</v>
      </c>
      <c r="AJ50" s="282">
        <f t="shared" si="25"/>
        <v>2428.5714285714284</v>
      </c>
      <c r="AK50" s="287">
        <f>Tabla14[[#This Row],[Cajas por Personas]]</f>
        <v>0</v>
      </c>
      <c r="AL50" s="288">
        <f>Tabla14[[#This Row],[Valor Precorte Pesona]]</f>
        <v>0</v>
      </c>
      <c r="AM50" s="294">
        <f>Tabla14[[#This Row],[Personas Precorte]]</f>
        <v>0</v>
      </c>
      <c r="AN50" s="308">
        <f>Tabla14[[#This Row],[Valor Precorte Pesona Precorte]]*Tabla14[[#This Row],[Perzonas Precorte]]</f>
        <v>0</v>
      </c>
      <c r="AO50" s="287">
        <f>Tabla14[[#This Row],[Cajas por Personas2]]</f>
        <v>15.428571428571429</v>
      </c>
      <c r="AP50" s="288">
        <f>Tabla14[[#This Row],[Valor Embarque Pesona]]</f>
        <v>23142.857142857141</v>
      </c>
      <c r="AQ50" s="295">
        <f>Tabla14[[#This Row],[Personas Precorte2]]</f>
        <v>14</v>
      </c>
      <c r="AR50" s="296">
        <f>Tabla14[[#This Row],[Valor Embarque Pesona3]]*Tabla14[[#This Row],[Perzona Primera]]</f>
        <v>324000</v>
      </c>
      <c r="AS50" s="287">
        <f>Tabla14[[#This Row],[Columna2]]</f>
        <v>0</v>
      </c>
      <c r="AT50" s="288">
        <f>Tabla14[[#This Row],[Columna1]]</f>
        <v>0</v>
      </c>
      <c r="AU50" s="302">
        <f>Tabla14[[#This Row],[Personas Intervienen]]</f>
        <v>0</v>
      </c>
      <c r="AV50" s="297">
        <f>Tabla14[[#This Row],[Valor Embarque Pesona5]]*Tabla14[[#This Row],[Presonas Segunda]]</f>
        <v>0</v>
      </c>
      <c r="AW50" s="287">
        <f>Tabla14[[#This Row],[Bolsas Por Personas]]</f>
        <v>4.8571428571428568</v>
      </c>
      <c r="AX50" s="288">
        <f>Tabla14[[#This Row],[Valor bolsas Pesona]]</f>
        <v>2428.5714285714284</v>
      </c>
      <c r="AY50" s="309">
        <f>Tabla14[[#This Row],[Personas13]]</f>
        <v>14</v>
      </c>
      <c r="AZ50" s="310">
        <f>Tabla14[[#This Row],[Valor bolsas Pesona2]]*Tabla14[[#This Row],[Personas Rechazo]]</f>
        <v>34000</v>
      </c>
      <c r="BA50" s="311">
        <f>+Tabla14[[#This Row],[Total Valor Segunda]]+Tabla14[[#This Row],[Total Valor Primera]]+Tabla14[[#This Row],[Total Valor Precorte]]</f>
        <v>324000</v>
      </c>
      <c r="BB50" s="292">
        <f>Tabla14[[#This Row],[Valor bolsas Pesona2]]+Tabla14[[#This Row],[Valor Embarque Pesona3]]</f>
        <v>25571.428571428569</v>
      </c>
      <c r="BD50" s="292">
        <f>Tabla14[[#This Row],[VALOR GANADO]]-Tabla14[[#This Row],[REAJUSTADO]]</f>
        <v>25571.428571428569</v>
      </c>
      <c r="BE50" s="250">
        <f>Tabla14[[#This Row],[CUANTO SE REAJUSTA]]*Tabla14[[#This Row],[Personas Rechazo]]</f>
        <v>357999.99999999994</v>
      </c>
      <c r="BF50" s="250">
        <f>Tabla14[[#This Row],[REAJUSTADO]]/25000</f>
        <v>0</v>
      </c>
      <c r="BG50" s="302">
        <f>Tabla14[[#This Row],[REAJUSTADO]]*Tabla14[[#This Row],[Personas Rechazo]]</f>
        <v>0</v>
      </c>
      <c r="BH50" s="292" t="str">
        <f>Tabla14[[#This Row],[Finca]]</f>
        <v>San Pedro</v>
      </c>
      <c r="BJ50" s="330">
        <f>Tabla14[[#This Row],[Numero de Ocacionales]]*Tabla14[[#This Row],[REAJUSTADO]]</f>
        <v>0</v>
      </c>
      <c r="BM50" s="330">
        <f>+Tabla14[[#This Row],[CUANTO SE REAJUSTA]]*3</f>
        <v>76714.28571428571</v>
      </c>
    </row>
    <row r="51" spans="1:65" hidden="1" x14ac:dyDescent="0.25">
      <c r="C51" s="320">
        <v>44620</v>
      </c>
      <c r="D51" s="508">
        <f>YEAR(Tabla14[[#This Row],[Fecha]])</f>
        <v>2022</v>
      </c>
      <c r="E51" s="321">
        <f>IF(Tabla14[[#This Row],[Fecha]]&gt;0,_xlfn.ISOWEEKNUM(Tabla14[[#This Row],[Fecha]]),0)</f>
        <v>9</v>
      </c>
      <c r="F51" s="74">
        <f>16.5*7</f>
        <v>115.5</v>
      </c>
      <c r="G51" s="268" t="s">
        <v>157</v>
      </c>
      <c r="H51" s="266" t="str">
        <f>_xlfn.XLOOKUP(Tabla14[[#This Row],[Codigo Finca]],Tabla4[Codigo Finca],Tabla4[Nombre Finca],"")</f>
        <v>Pedrito</v>
      </c>
      <c r="I51" s="262">
        <f>_xlfn.XLOOKUP(Tabla14[[#This Row],[Codigo Finca]],Tabla4[Codigo Finca],Tabla4[Precio Caja],0)</f>
        <v>2100</v>
      </c>
      <c r="J51" s="262">
        <f>_xlfn.XLOOKUP(Tabla14[[#This Row],[Codigo Finca]],Tabla4[Codigo Finca],Tabla4[Precio Caja Segunda],0)</f>
        <v>1000</v>
      </c>
      <c r="K51" s="262">
        <f>_xlfn.XLOOKUP(Tabla14[[#This Row],[Codigo Finca]],Tabla4[Codigo Finca],Tabla4[Precio Rechazo],0)</f>
        <v>500</v>
      </c>
      <c r="L51" s="262">
        <f t="shared" si="13"/>
        <v>115.5</v>
      </c>
      <c r="M51" s="272">
        <f t="shared" si="14"/>
        <v>1</v>
      </c>
      <c r="N51" s="269"/>
      <c r="O51" s="270"/>
      <c r="P51" s="251">
        <f t="shared" si="15"/>
        <v>0</v>
      </c>
      <c r="Q51" s="263">
        <f t="shared" si="16"/>
        <v>0</v>
      </c>
      <c r="R51" s="265">
        <f t="shared" si="17"/>
        <v>0</v>
      </c>
      <c r="S51" s="269">
        <f>16.5*7</f>
        <v>115.5</v>
      </c>
      <c r="T51" s="268">
        <v>7</v>
      </c>
      <c r="U51" s="251">
        <f t="shared" si="18"/>
        <v>115.5</v>
      </c>
      <c r="V51" s="263">
        <f t="shared" si="19"/>
        <v>16.5</v>
      </c>
      <c r="W51" s="322">
        <f t="shared" si="20"/>
        <v>34650</v>
      </c>
      <c r="X51" s="269"/>
      <c r="Y51" s="268"/>
      <c r="Z51" s="251">
        <f>Tabla14[[#This Row],[Cajas Segunda]]</f>
        <v>0</v>
      </c>
      <c r="AA51" s="263">
        <f t="shared" si="21"/>
        <v>0</v>
      </c>
      <c r="AB51" s="265">
        <f t="shared" si="22"/>
        <v>0</v>
      </c>
      <c r="AC51" s="273">
        <f>6.32*7</f>
        <v>44.24</v>
      </c>
      <c r="AD51" s="271"/>
      <c r="AE51" s="271"/>
      <c r="AF51" s="271"/>
      <c r="AG51" s="271">
        <v>7</v>
      </c>
      <c r="AH51" s="251">
        <f t="shared" si="23"/>
        <v>44.24</v>
      </c>
      <c r="AI51" s="263">
        <f t="shared" si="24"/>
        <v>6.32</v>
      </c>
      <c r="AJ51" s="322">
        <f t="shared" si="25"/>
        <v>3160</v>
      </c>
      <c r="AK51" s="264">
        <f>Tabla14[[#This Row],[Cajas por Personas]]</f>
        <v>0</v>
      </c>
      <c r="AL51" s="267">
        <f>Tabla14[[#This Row],[Valor Precorte Pesona]]</f>
        <v>0</v>
      </c>
      <c r="AM51" s="294">
        <f>Tabla14[[#This Row],[Personas Precorte]]</f>
        <v>0</v>
      </c>
      <c r="AN51" s="308">
        <f>Tabla14[[#This Row],[Valor Precorte Pesona Precorte]]*Tabla14[[#This Row],[Perzonas Precorte]]</f>
        <v>0</v>
      </c>
      <c r="AO51" s="264">
        <f>Tabla14[[#This Row],[Cajas por Personas2]]</f>
        <v>16.5</v>
      </c>
      <c r="AP51" s="267">
        <f>Tabla14[[#This Row],[Valor Embarque Pesona]]</f>
        <v>34650</v>
      </c>
      <c r="AQ51" s="295">
        <f>Tabla14[[#This Row],[Personas Precorte2]]</f>
        <v>7</v>
      </c>
      <c r="AR51" s="296">
        <f>Tabla14[[#This Row],[Valor Embarque Pesona3]]*Tabla14[[#This Row],[Perzona Primera]]</f>
        <v>242550</v>
      </c>
      <c r="AS51" s="264">
        <f>Tabla14[[#This Row],[Columna2]]</f>
        <v>0</v>
      </c>
      <c r="AT51" s="267">
        <f>Tabla14[[#This Row],[Columna1]]</f>
        <v>0</v>
      </c>
      <c r="AU51" s="302">
        <f>Tabla14[[#This Row],[Personas Intervienen]]</f>
        <v>0</v>
      </c>
      <c r="AV51" s="297">
        <f>Tabla14[[#This Row],[Valor Embarque Pesona5]]*Tabla14[[#This Row],[Presonas Segunda]]</f>
        <v>0</v>
      </c>
      <c r="AW51" s="264">
        <f>Tabla14[[#This Row],[Bolsas Por Personas]]</f>
        <v>6.32</v>
      </c>
      <c r="AX51" s="267">
        <f>Tabla14[[#This Row],[Valor bolsas Pesona]]</f>
        <v>3160</v>
      </c>
      <c r="AY51" s="290">
        <f>Tabla14[[#This Row],[Personas13]]</f>
        <v>7</v>
      </c>
      <c r="AZ51" s="323">
        <f>Tabla14[[#This Row],[Valor bolsas Pesona2]]*Tabla14[[#This Row],[Personas Rechazo]]</f>
        <v>22120</v>
      </c>
      <c r="BA51" s="324">
        <f>+Tabla14[[#This Row],[Total Valor Segunda]]+Tabla14[[#This Row],[Total Valor Primera]]+Tabla14[[#This Row],[Total Valor Precorte]]</f>
        <v>242550</v>
      </c>
      <c r="BB51" s="292">
        <f>Tabla14[[#This Row],[Valor bolsas Pesona2]]+Tabla14[[#This Row],[Valor Embarque Pesona3]]</f>
        <v>37810</v>
      </c>
      <c r="BD51" s="292">
        <f>Tabla14[[#This Row],[VALOR GANADO]]-Tabla14[[#This Row],[REAJUSTADO]]</f>
        <v>37810</v>
      </c>
      <c r="BE51" s="250">
        <f>Tabla14[[#This Row],[CUANTO SE REAJUSTA]]*Tabla14[[#This Row],[Personas Rechazo]]</f>
        <v>264670</v>
      </c>
      <c r="BF51" s="250">
        <f>Tabla14[[#This Row],[REAJUSTADO]]/25000</f>
        <v>0</v>
      </c>
      <c r="BG51" s="302">
        <f>Tabla14[[#This Row],[REAJUSTADO]]*Tabla14[[#This Row],[Personas Rechazo]]</f>
        <v>0</v>
      </c>
      <c r="BH51" s="292" t="str">
        <f>Tabla14[[#This Row],[Finca]]</f>
        <v>Pedrito</v>
      </c>
      <c r="BJ51" s="330">
        <f>Tabla14[[#This Row],[Numero de Ocacionales]]*Tabla14[[#This Row],[REAJUSTADO]]</f>
        <v>0</v>
      </c>
      <c r="BM51" s="330">
        <f>+Tabla14[[#This Row],[CUANTO SE REAJUSTA]]*3</f>
        <v>113430</v>
      </c>
    </row>
    <row r="52" spans="1:65" hidden="1" x14ac:dyDescent="0.25">
      <c r="C52" s="274">
        <v>44621</v>
      </c>
      <c r="D52" s="507">
        <f>YEAR(Tabla14[[#This Row],[Fecha]])</f>
        <v>2022</v>
      </c>
      <c r="E52" s="313">
        <f>IF(Tabla14[[#This Row],[Fecha]]&gt;0,_xlfn.ISOWEEKNUM(Tabla14[[#This Row],[Fecha]]),0)</f>
        <v>9</v>
      </c>
      <c r="F52" s="74">
        <v>204</v>
      </c>
      <c r="G52" s="275" t="s">
        <v>152</v>
      </c>
      <c r="H52" s="325" t="str">
        <f>_xlfn.XLOOKUP(Tabla14[[#This Row],[Codigo Finca]],Tabla4[Codigo Finca],Tabla4[Nombre Finca],"")</f>
        <v>San Pedro</v>
      </c>
      <c r="I52" s="277">
        <f>_xlfn.XLOOKUP(Tabla14[[#This Row],[Codigo Finca]],Tabla4[Codigo Finca],Tabla4[Precio Caja],0)</f>
        <v>1500</v>
      </c>
      <c r="J52" s="277">
        <f>_xlfn.XLOOKUP(Tabla14[[#This Row],[Codigo Finca]],Tabla4[Codigo Finca],Tabla4[Precio Caja Segunda],0)</f>
        <v>1000</v>
      </c>
      <c r="K52" s="277">
        <f>_xlfn.XLOOKUP(Tabla14[[#This Row],[Codigo Finca]],Tabla4[Codigo Finca],Tabla4[Precio Rechazo],0)</f>
        <v>500</v>
      </c>
      <c r="L52" s="277">
        <f t="shared" si="13"/>
        <v>704</v>
      </c>
      <c r="M52" s="278">
        <f t="shared" si="14"/>
        <v>3.4509803921568629</v>
      </c>
      <c r="N52" s="269">
        <v>50</v>
      </c>
      <c r="O52" s="270">
        <v>1</v>
      </c>
      <c r="P52" s="251">
        <f t="shared" si="15"/>
        <v>7.2443181818181817</v>
      </c>
      <c r="Q52" s="263">
        <f t="shared" si="16"/>
        <v>7.2443181818181817</v>
      </c>
      <c r="R52" s="265">
        <f t="shared" si="17"/>
        <v>10866.477272727272</v>
      </c>
      <c r="S52" s="283">
        <v>654</v>
      </c>
      <c r="T52" s="275">
        <v>10</v>
      </c>
      <c r="U52" s="280">
        <f t="shared" si="18"/>
        <v>196.75568181818181</v>
      </c>
      <c r="V52" s="281">
        <f t="shared" si="19"/>
        <v>19.675568181818182</v>
      </c>
      <c r="W52" s="282">
        <f t="shared" si="20"/>
        <v>29513.352272727272</v>
      </c>
      <c r="X52" s="283"/>
      <c r="Y52" s="275"/>
      <c r="Z52" s="280">
        <f>Tabla14[[#This Row],[Cajas Segunda]]</f>
        <v>0</v>
      </c>
      <c r="AA52" s="281">
        <f t="shared" si="21"/>
        <v>0</v>
      </c>
      <c r="AB52" s="284">
        <f t="shared" si="22"/>
        <v>0</v>
      </c>
      <c r="AC52" s="285">
        <f>10*5.55</f>
        <v>55.5</v>
      </c>
      <c r="AD52" s="286"/>
      <c r="AE52" s="286"/>
      <c r="AF52" s="286"/>
      <c r="AG52" s="286">
        <v>10</v>
      </c>
      <c r="AH52" s="280">
        <f t="shared" si="23"/>
        <v>55.5</v>
      </c>
      <c r="AI52" s="281">
        <f t="shared" si="24"/>
        <v>5.55</v>
      </c>
      <c r="AJ52" s="282">
        <f t="shared" si="25"/>
        <v>2775</v>
      </c>
      <c r="AK52" s="287">
        <f>Tabla14[[#This Row],[Cajas por Personas]]</f>
        <v>7.2443181818181817</v>
      </c>
      <c r="AL52" s="288">
        <f>Tabla14[[#This Row],[Valor Precorte Pesona]]</f>
        <v>10866.477272727272</v>
      </c>
      <c r="AM52" s="294">
        <f>Tabla14[[#This Row],[Personas Precorte]]</f>
        <v>1</v>
      </c>
      <c r="AN52" s="308">
        <f>Tabla14[[#This Row],[Valor Precorte Pesona Precorte]]*Tabla14[[#This Row],[Perzonas Precorte]]</f>
        <v>10866.477272727272</v>
      </c>
      <c r="AO52" s="287">
        <f>Tabla14[[#This Row],[Cajas por Personas2]]</f>
        <v>19.675568181818182</v>
      </c>
      <c r="AP52" s="288">
        <f>Tabla14[[#This Row],[Valor Embarque Pesona]]</f>
        <v>29513.352272727272</v>
      </c>
      <c r="AQ52" s="295">
        <f>Tabla14[[#This Row],[Personas Precorte2]]</f>
        <v>10</v>
      </c>
      <c r="AR52" s="296">
        <f>Tabla14[[#This Row],[Valor Embarque Pesona3]]*Tabla14[[#This Row],[Perzona Primera]]</f>
        <v>295133.52272727271</v>
      </c>
      <c r="AS52" s="287">
        <f>Tabla14[[#This Row],[Columna2]]</f>
        <v>0</v>
      </c>
      <c r="AT52" s="288">
        <f>Tabla14[[#This Row],[Columna1]]</f>
        <v>0</v>
      </c>
      <c r="AU52" s="302">
        <f>Tabla14[[#This Row],[Personas Intervienen]]</f>
        <v>0</v>
      </c>
      <c r="AV52" s="297">
        <f>Tabla14[[#This Row],[Valor Embarque Pesona5]]*Tabla14[[#This Row],[Presonas Segunda]]</f>
        <v>0</v>
      </c>
      <c r="AW52" s="287">
        <f>Tabla14[[#This Row],[Bolsas Por Personas]]</f>
        <v>5.55</v>
      </c>
      <c r="AX52" s="288">
        <f>Tabla14[[#This Row],[Valor bolsas Pesona]]</f>
        <v>2775</v>
      </c>
      <c r="AY52" s="309">
        <f>Tabla14[[#This Row],[Personas13]]</f>
        <v>10</v>
      </c>
      <c r="AZ52" s="310">
        <f>Tabla14[[#This Row],[Valor bolsas Pesona2]]*Tabla14[[#This Row],[Personas Rechazo]]</f>
        <v>27750</v>
      </c>
      <c r="BA52" s="311">
        <f>+Tabla14[[#This Row],[Total Valor Segunda]]+Tabla14[[#This Row],[Total Valor Primera]]+Tabla14[[#This Row],[Total Valor Precorte]]</f>
        <v>306000</v>
      </c>
      <c r="BB52" s="292">
        <f>Tabla14[[#This Row],[Valor bolsas Pesona2]]+Tabla14[[#This Row],[Valor Embarque Pesona3]]</f>
        <v>32288.352272727272</v>
      </c>
      <c r="BD52" s="292">
        <f>Tabla14[[#This Row],[VALOR GANADO]]-Tabla14[[#This Row],[REAJUSTADO]]</f>
        <v>32288.352272727272</v>
      </c>
      <c r="BE52" s="250">
        <f>Tabla14[[#This Row],[CUANTO SE REAJUSTA]]*Tabla14[[#This Row],[Personas Rechazo]]</f>
        <v>322883.52272727271</v>
      </c>
      <c r="BF52" s="250">
        <f>Tabla14[[#This Row],[REAJUSTADO]]/25000</f>
        <v>0</v>
      </c>
      <c r="BG52" s="302">
        <f>Tabla14[[#This Row],[REAJUSTADO]]*Tabla14[[#This Row],[Personas Rechazo]]</f>
        <v>0</v>
      </c>
      <c r="BH52" s="292" t="str">
        <f>Tabla14[[#This Row],[Finca]]</f>
        <v>San Pedro</v>
      </c>
      <c r="BJ52" s="330">
        <f>Tabla14[[#This Row],[Numero de Ocacionales]]*Tabla14[[#This Row],[REAJUSTADO]]</f>
        <v>0</v>
      </c>
      <c r="BM52" s="330">
        <f>+Tabla14[[#This Row],[CUANTO SE REAJUSTA]]*3</f>
        <v>96865.056818181823</v>
      </c>
    </row>
    <row r="53" spans="1:65" hidden="1" x14ac:dyDescent="0.25">
      <c r="C53" s="274">
        <v>44621</v>
      </c>
      <c r="D53" s="507">
        <f>YEAR(Tabla14[[#This Row],[Fecha]])</f>
        <v>2022</v>
      </c>
      <c r="E53" s="313">
        <f>IF(Tabla14[[#This Row],[Fecha]]&gt;0,_xlfn.ISOWEEKNUM(Tabla14[[#This Row],[Fecha]]),0)</f>
        <v>9</v>
      </c>
      <c r="F53" s="74">
        <f>19.5*7</f>
        <v>136.5</v>
      </c>
      <c r="G53" s="275" t="s">
        <v>155</v>
      </c>
      <c r="H53" s="325" t="str">
        <f>_xlfn.XLOOKUP(Tabla14[[#This Row],[Codigo Finca]],Tabla4[Codigo Finca],Tabla4[Nombre Finca],"")</f>
        <v>Damaquiel</v>
      </c>
      <c r="I53" s="277">
        <f>_xlfn.XLOOKUP(Tabla14[[#This Row],[Codigo Finca]],Tabla4[Codigo Finca],Tabla4[Precio Caja],0)</f>
        <v>1500</v>
      </c>
      <c r="J53" s="277">
        <f>_xlfn.XLOOKUP(Tabla14[[#This Row],[Codigo Finca]],Tabla4[Codigo Finca],Tabla4[Precio Caja Segunda],0)</f>
        <v>1000</v>
      </c>
      <c r="K53" s="277">
        <f>_xlfn.XLOOKUP(Tabla14[[#This Row],[Codigo Finca]],Tabla4[Codigo Finca],Tabla4[Precio Rechazo],0)</f>
        <v>500</v>
      </c>
      <c r="L53" s="277">
        <f t="shared" si="13"/>
        <v>137</v>
      </c>
      <c r="M53" s="278">
        <f t="shared" si="14"/>
        <v>1.0036630036630036</v>
      </c>
      <c r="N53" s="269"/>
      <c r="O53" s="270"/>
      <c r="P53" s="251">
        <f t="shared" si="15"/>
        <v>0</v>
      </c>
      <c r="Q53" s="263">
        <f t="shared" si="16"/>
        <v>0</v>
      </c>
      <c r="R53" s="265">
        <f t="shared" si="17"/>
        <v>0</v>
      </c>
      <c r="S53" s="283">
        <v>137</v>
      </c>
      <c r="T53" s="275">
        <v>7</v>
      </c>
      <c r="U53" s="280">
        <f t="shared" si="18"/>
        <v>136.5</v>
      </c>
      <c r="V53" s="281">
        <f t="shared" si="19"/>
        <v>19.5</v>
      </c>
      <c r="W53" s="282">
        <f t="shared" si="20"/>
        <v>29250</v>
      </c>
      <c r="X53" s="283"/>
      <c r="Y53" s="275"/>
      <c r="Z53" s="280">
        <f>Tabla14[[#This Row],[Cajas Segunda]]</f>
        <v>0</v>
      </c>
      <c r="AA53" s="281">
        <f t="shared" si="21"/>
        <v>0</v>
      </c>
      <c r="AB53" s="284">
        <f t="shared" si="22"/>
        <v>0</v>
      </c>
      <c r="AC53" s="285">
        <f>5.14*7</f>
        <v>35.979999999999997</v>
      </c>
      <c r="AD53" s="286"/>
      <c r="AE53" s="286"/>
      <c r="AF53" s="286"/>
      <c r="AG53" s="286">
        <v>7</v>
      </c>
      <c r="AH53" s="280">
        <f t="shared" si="23"/>
        <v>35.979999999999997</v>
      </c>
      <c r="AI53" s="281">
        <f t="shared" si="24"/>
        <v>5.14</v>
      </c>
      <c r="AJ53" s="282">
        <f t="shared" si="25"/>
        <v>2570</v>
      </c>
      <c r="AK53" s="287">
        <f>Tabla14[[#This Row],[Cajas por Personas]]</f>
        <v>0</v>
      </c>
      <c r="AL53" s="288">
        <f>Tabla14[[#This Row],[Valor Precorte Pesona]]</f>
        <v>0</v>
      </c>
      <c r="AM53" s="294">
        <f>Tabla14[[#This Row],[Personas Precorte]]</f>
        <v>0</v>
      </c>
      <c r="AN53" s="308">
        <f>Tabla14[[#This Row],[Valor Precorte Pesona Precorte]]*Tabla14[[#This Row],[Perzonas Precorte]]</f>
        <v>0</v>
      </c>
      <c r="AO53" s="287">
        <f>Tabla14[[#This Row],[Cajas por Personas2]]</f>
        <v>19.5</v>
      </c>
      <c r="AP53" s="288">
        <f>Tabla14[[#This Row],[Valor Embarque Pesona]]</f>
        <v>29250</v>
      </c>
      <c r="AQ53" s="295">
        <f>Tabla14[[#This Row],[Personas Precorte2]]</f>
        <v>7</v>
      </c>
      <c r="AR53" s="296">
        <f>Tabla14[[#This Row],[Valor Embarque Pesona3]]*Tabla14[[#This Row],[Perzona Primera]]</f>
        <v>204750</v>
      </c>
      <c r="AS53" s="287">
        <f>Tabla14[[#This Row],[Columna2]]</f>
        <v>0</v>
      </c>
      <c r="AT53" s="288">
        <f>Tabla14[[#This Row],[Columna1]]</f>
        <v>0</v>
      </c>
      <c r="AU53" s="302">
        <f>Tabla14[[#This Row],[Personas Intervienen]]</f>
        <v>0</v>
      </c>
      <c r="AV53" s="297">
        <f>Tabla14[[#This Row],[Valor Embarque Pesona5]]*Tabla14[[#This Row],[Presonas Segunda]]</f>
        <v>0</v>
      </c>
      <c r="AW53" s="287">
        <f>Tabla14[[#This Row],[Bolsas Por Personas]]</f>
        <v>5.14</v>
      </c>
      <c r="AX53" s="288">
        <f>Tabla14[[#This Row],[Valor bolsas Pesona]]</f>
        <v>2570</v>
      </c>
      <c r="AY53" s="309">
        <f>Tabla14[[#This Row],[Personas13]]</f>
        <v>7</v>
      </c>
      <c r="AZ53" s="310">
        <f>Tabla14[[#This Row],[Valor bolsas Pesona2]]*Tabla14[[#This Row],[Personas Rechazo]]</f>
        <v>17990</v>
      </c>
      <c r="BA53" s="311">
        <f>+Tabla14[[#This Row],[Total Valor Segunda]]+Tabla14[[#This Row],[Total Valor Primera]]+Tabla14[[#This Row],[Total Valor Precorte]]</f>
        <v>204750</v>
      </c>
      <c r="BB53" s="292">
        <f>Tabla14[[#This Row],[Valor bolsas Pesona2]]+Tabla14[[#This Row],[Valor Embarque Pesona3]]</f>
        <v>31820</v>
      </c>
      <c r="BD53" s="292">
        <f>Tabla14[[#This Row],[VALOR GANADO]]-Tabla14[[#This Row],[REAJUSTADO]]</f>
        <v>31820</v>
      </c>
      <c r="BE53" s="250">
        <f>Tabla14[[#This Row],[CUANTO SE REAJUSTA]]*Tabla14[[#This Row],[Personas Rechazo]]</f>
        <v>222740</v>
      </c>
      <c r="BF53" s="250">
        <f>Tabla14[[#This Row],[REAJUSTADO]]/25000</f>
        <v>0</v>
      </c>
      <c r="BG53" s="302">
        <f>Tabla14[[#This Row],[REAJUSTADO]]*Tabla14[[#This Row],[Personas Rechazo]]</f>
        <v>0</v>
      </c>
      <c r="BH53" s="292" t="str">
        <f>Tabla14[[#This Row],[Finca]]</f>
        <v>Damaquiel</v>
      </c>
      <c r="BJ53" s="330">
        <f>Tabla14[[#This Row],[Numero de Ocacionales]]*Tabla14[[#This Row],[REAJUSTADO]]</f>
        <v>0</v>
      </c>
      <c r="BM53" s="330">
        <f>+Tabla14[[#This Row],[CUANTO SE REAJUSTA]]*3</f>
        <v>95460</v>
      </c>
    </row>
    <row r="54" spans="1:65" hidden="1" x14ac:dyDescent="0.25">
      <c r="C54" s="274">
        <v>44622</v>
      </c>
      <c r="D54" s="507">
        <f>YEAR(Tabla14[[#This Row],[Fecha]])</f>
        <v>2022</v>
      </c>
      <c r="E54" s="313">
        <f>IF(Tabla14[[#This Row],[Fecha]]&gt;0,_xlfn.ISOWEEKNUM(Tabla14[[#This Row],[Fecha]]),0)</f>
        <v>9</v>
      </c>
      <c r="F54" s="74">
        <v>173</v>
      </c>
      <c r="G54" s="275" t="s">
        <v>152</v>
      </c>
      <c r="H54" s="325" t="str">
        <f>_xlfn.XLOOKUP(Tabla14[[#This Row],[Codigo Finca]],Tabla4[Codigo Finca],Tabla4[Nombre Finca],"")</f>
        <v>San Pedro</v>
      </c>
      <c r="I54" s="277">
        <f>_xlfn.XLOOKUP(Tabla14[[#This Row],[Codigo Finca]],Tabla4[Codigo Finca],Tabla4[Precio Caja],0)</f>
        <v>1500</v>
      </c>
      <c r="J54" s="277">
        <f>_xlfn.XLOOKUP(Tabla14[[#This Row],[Codigo Finca]],Tabla4[Codigo Finca],Tabla4[Precio Caja Segunda],0)</f>
        <v>1000</v>
      </c>
      <c r="K54" s="277">
        <f>_xlfn.XLOOKUP(Tabla14[[#This Row],[Codigo Finca]],Tabla4[Codigo Finca],Tabla4[Precio Rechazo],0)</f>
        <v>500</v>
      </c>
      <c r="L54" s="277">
        <f t="shared" si="13"/>
        <v>799</v>
      </c>
      <c r="M54" s="278">
        <f t="shared" si="14"/>
        <v>4.6184971098265892</v>
      </c>
      <c r="N54" s="269"/>
      <c r="O54" s="270"/>
      <c r="P54" s="251">
        <f t="shared" si="15"/>
        <v>0</v>
      </c>
      <c r="Q54" s="263">
        <f t="shared" si="16"/>
        <v>0</v>
      </c>
      <c r="R54" s="265">
        <f t="shared" si="17"/>
        <v>0</v>
      </c>
      <c r="S54" s="283">
        <v>799</v>
      </c>
      <c r="T54" s="275">
        <v>10</v>
      </c>
      <c r="U54" s="280">
        <f t="shared" si="18"/>
        <v>173</v>
      </c>
      <c r="V54" s="281">
        <f t="shared" si="19"/>
        <v>17.3</v>
      </c>
      <c r="W54" s="282">
        <f t="shared" si="20"/>
        <v>25950</v>
      </c>
      <c r="X54" s="283"/>
      <c r="Y54" s="275"/>
      <c r="Z54" s="280">
        <f>Tabla14[[#This Row],[Cajas Segunda]]</f>
        <v>0</v>
      </c>
      <c r="AA54" s="281">
        <f t="shared" si="21"/>
        <v>0</v>
      </c>
      <c r="AB54" s="284">
        <f t="shared" si="22"/>
        <v>0</v>
      </c>
      <c r="AC54" s="285">
        <f>6.97*10</f>
        <v>69.7</v>
      </c>
      <c r="AD54" s="286"/>
      <c r="AE54" s="286"/>
      <c r="AF54" s="286"/>
      <c r="AG54" s="286">
        <v>10</v>
      </c>
      <c r="AH54" s="280">
        <f t="shared" si="23"/>
        <v>69.7</v>
      </c>
      <c r="AI54" s="281">
        <f t="shared" si="24"/>
        <v>6.9700000000000006</v>
      </c>
      <c r="AJ54" s="282">
        <f t="shared" si="25"/>
        <v>3485.0000000000005</v>
      </c>
      <c r="AK54" s="287">
        <f>Tabla14[[#This Row],[Cajas por Personas]]</f>
        <v>0</v>
      </c>
      <c r="AL54" s="288">
        <f>Tabla14[[#This Row],[Valor Precorte Pesona]]</f>
        <v>0</v>
      </c>
      <c r="AM54" s="294">
        <f>Tabla14[[#This Row],[Personas Precorte]]</f>
        <v>0</v>
      </c>
      <c r="AN54" s="308">
        <f>Tabla14[[#This Row],[Valor Precorte Pesona Precorte]]*Tabla14[[#This Row],[Perzonas Precorte]]</f>
        <v>0</v>
      </c>
      <c r="AO54" s="287">
        <f>Tabla14[[#This Row],[Cajas por Personas2]]</f>
        <v>17.3</v>
      </c>
      <c r="AP54" s="288">
        <f>Tabla14[[#This Row],[Valor Embarque Pesona]]</f>
        <v>25950</v>
      </c>
      <c r="AQ54" s="295">
        <f>Tabla14[[#This Row],[Personas Precorte2]]</f>
        <v>10</v>
      </c>
      <c r="AR54" s="296">
        <f>Tabla14[[#This Row],[Valor Embarque Pesona3]]*Tabla14[[#This Row],[Perzona Primera]]</f>
        <v>259500</v>
      </c>
      <c r="AS54" s="287">
        <f>Tabla14[[#This Row],[Columna2]]</f>
        <v>0</v>
      </c>
      <c r="AT54" s="288">
        <f>Tabla14[[#This Row],[Columna1]]</f>
        <v>0</v>
      </c>
      <c r="AU54" s="302">
        <f>Tabla14[[#This Row],[Personas Intervienen]]</f>
        <v>0</v>
      </c>
      <c r="AV54" s="297">
        <f>Tabla14[[#This Row],[Valor Embarque Pesona5]]*Tabla14[[#This Row],[Presonas Segunda]]</f>
        <v>0</v>
      </c>
      <c r="AW54" s="287">
        <f>Tabla14[[#This Row],[Bolsas Por Personas]]</f>
        <v>6.9700000000000006</v>
      </c>
      <c r="AX54" s="288">
        <f>Tabla14[[#This Row],[Valor bolsas Pesona]]</f>
        <v>3485.0000000000005</v>
      </c>
      <c r="AY54" s="309">
        <f>Tabla14[[#This Row],[Personas13]]</f>
        <v>10</v>
      </c>
      <c r="AZ54" s="310">
        <f>Tabla14[[#This Row],[Valor bolsas Pesona2]]*Tabla14[[#This Row],[Personas Rechazo]]</f>
        <v>34850.000000000007</v>
      </c>
      <c r="BA54" s="311">
        <f>+Tabla14[[#This Row],[Total Valor Segunda]]+Tabla14[[#This Row],[Total Valor Primera]]+Tabla14[[#This Row],[Total Valor Precorte]]</f>
        <v>259500</v>
      </c>
      <c r="BB54" s="292">
        <f>Tabla14[[#This Row],[Valor bolsas Pesona2]]+Tabla14[[#This Row],[Valor Embarque Pesona3]]</f>
        <v>29435</v>
      </c>
      <c r="BD54" s="292">
        <f>Tabla14[[#This Row],[VALOR GANADO]]-Tabla14[[#This Row],[REAJUSTADO]]</f>
        <v>29435</v>
      </c>
      <c r="BE54" s="250">
        <f>Tabla14[[#This Row],[CUANTO SE REAJUSTA]]*Tabla14[[#This Row],[Personas Rechazo]]</f>
        <v>294350</v>
      </c>
      <c r="BF54" s="250">
        <f>Tabla14[[#This Row],[REAJUSTADO]]/25000</f>
        <v>0</v>
      </c>
      <c r="BG54" s="302">
        <f>Tabla14[[#This Row],[REAJUSTADO]]*Tabla14[[#This Row],[Personas Rechazo]]</f>
        <v>0</v>
      </c>
      <c r="BH54" s="292" t="str">
        <f>Tabla14[[#This Row],[Finca]]</f>
        <v>San Pedro</v>
      </c>
      <c r="BJ54" s="330">
        <f>Tabla14[[#This Row],[Numero de Ocacionales]]*Tabla14[[#This Row],[REAJUSTADO]]</f>
        <v>0</v>
      </c>
      <c r="BM54" s="330">
        <f>+Tabla14[[#This Row],[CUANTO SE REAJUSTA]]*3</f>
        <v>88305</v>
      </c>
    </row>
    <row r="55" spans="1:65" hidden="1" x14ac:dyDescent="0.25">
      <c r="C55" s="274">
        <v>44622</v>
      </c>
      <c r="D55" s="507">
        <f>YEAR(Tabla14[[#This Row],[Fecha]])</f>
        <v>2022</v>
      </c>
      <c r="E55" s="313">
        <f>IF(Tabla14[[#This Row],[Fecha]]&gt;0,_xlfn.ISOWEEKNUM(Tabla14[[#This Row],[Fecha]]),0)</f>
        <v>9</v>
      </c>
      <c r="F55" s="74">
        <v>101</v>
      </c>
      <c r="G55" s="275" t="s">
        <v>153</v>
      </c>
      <c r="H55" s="325" t="str">
        <f>_xlfn.XLOOKUP(Tabla14[[#This Row],[Codigo Finca]],Tabla4[Codigo Finca],Tabla4[Nombre Finca],"")</f>
        <v>Uveros</v>
      </c>
      <c r="I55" s="277">
        <f>_xlfn.XLOOKUP(Tabla14[[#This Row],[Codigo Finca]],Tabla4[Codigo Finca],Tabla4[Precio Caja],0)</f>
        <v>1500</v>
      </c>
      <c r="J55" s="277">
        <f>_xlfn.XLOOKUP(Tabla14[[#This Row],[Codigo Finca]],Tabla4[Codigo Finca],Tabla4[Precio Caja Segunda],0)</f>
        <v>1000</v>
      </c>
      <c r="K55" s="277">
        <f>_xlfn.XLOOKUP(Tabla14[[#This Row],[Codigo Finca]],Tabla4[Codigo Finca],Tabla4[Precio Rechazo],0)</f>
        <v>500</v>
      </c>
      <c r="L55" s="277">
        <f t="shared" si="13"/>
        <v>423</v>
      </c>
      <c r="M55" s="278">
        <f t="shared" si="14"/>
        <v>4.1881188118811883</v>
      </c>
      <c r="N55" s="269"/>
      <c r="O55" s="270"/>
      <c r="P55" s="251">
        <f t="shared" si="15"/>
        <v>0</v>
      </c>
      <c r="Q55" s="263">
        <f t="shared" si="16"/>
        <v>0</v>
      </c>
      <c r="R55" s="265">
        <f t="shared" si="17"/>
        <v>0</v>
      </c>
      <c r="S55" s="283">
        <f>216+207</f>
        <v>423</v>
      </c>
      <c r="T55" s="275">
        <v>6</v>
      </c>
      <c r="U55" s="280">
        <f t="shared" si="18"/>
        <v>101</v>
      </c>
      <c r="V55" s="281">
        <f t="shared" si="19"/>
        <v>16.833333333333332</v>
      </c>
      <c r="W55" s="282">
        <f t="shared" si="20"/>
        <v>25250</v>
      </c>
      <c r="X55" s="283"/>
      <c r="Y55" s="275"/>
      <c r="Z55" s="280">
        <f>Tabla14[[#This Row],[Cajas Segunda]]</f>
        <v>0</v>
      </c>
      <c r="AA55" s="281">
        <f t="shared" si="21"/>
        <v>0</v>
      </c>
      <c r="AB55" s="284">
        <f t="shared" si="22"/>
        <v>0</v>
      </c>
      <c r="AC55" s="285">
        <f>2.4*6</f>
        <v>14.399999999999999</v>
      </c>
      <c r="AD55" s="286"/>
      <c r="AE55" s="286"/>
      <c r="AF55" s="286"/>
      <c r="AG55" s="286">
        <v>6</v>
      </c>
      <c r="AH55" s="280">
        <f t="shared" si="23"/>
        <v>14.399999999999999</v>
      </c>
      <c r="AI55" s="281">
        <f t="shared" si="24"/>
        <v>2.4</v>
      </c>
      <c r="AJ55" s="282">
        <f t="shared" si="25"/>
        <v>1200</v>
      </c>
      <c r="AK55" s="287">
        <f>Tabla14[[#This Row],[Cajas por Personas]]</f>
        <v>0</v>
      </c>
      <c r="AL55" s="288">
        <f>Tabla14[[#This Row],[Valor Precorte Pesona]]</f>
        <v>0</v>
      </c>
      <c r="AM55" s="294">
        <f>Tabla14[[#This Row],[Personas Precorte]]</f>
        <v>0</v>
      </c>
      <c r="AN55" s="308">
        <f>Tabla14[[#This Row],[Valor Precorte Pesona Precorte]]*Tabla14[[#This Row],[Perzonas Precorte]]</f>
        <v>0</v>
      </c>
      <c r="AO55" s="287">
        <f>Tabla14[[#This Row],[Cajas por Personas2]]</f>
        <v>16.833333333333332</v>
      </c>
      <c r="AP55" s="288">
        <f>Tabla14[[#This Row],[Valor Embarque Pesona]]</f>
        <v>25250</v>
      </c>
      <c r="AQ55" s="295">
        <f>Tabla14[[#This Row],[Personas Precorte2]]</f>
        <v>6</v>
      </c>
      <c r="AR55" s="296">
        <f>Tabla14[[#This Row],[Valor Embarque Pesona3]]*Tabla14[[#This Row],[Perzona Primera]]</f>
        <v>151500</v>
      </c>
      <c r="AS55" s="287">
        <f>Tabla14[[#This Row],[Columna2]]</f>
        <v>0</v>
      </c>
      <c r="AT55" s="288">
        <f>Tabla14[[#This Row],[Columna1]]</f>
        <v>0</v>
      </c>
      <c r="AU55" s="302">
        <f>Tabla14[[#This Row],[Personas Intervienen]]</f>
        <v>0</v>
      </c>
      <c r="AV55" s="297">
        <f>Tabla14[[#This Row],[Valor Embarque Pesona5]]*Tabla14[[#This Row],[Presonas Segunda]]</f>
        <v>0</v>
      </c>
      <c r="AW55" s="287">
        <f>Tabla14[[#This Row],[Bolsas Por Personas]]</f>
        <v>2.4</v>
      </c>
      <c r="AX55" s="288">
        <f>Tabla14[[#This Row],[Valor bolsas Pesona]]</f>
        <v>1200</v>
      </c>
      <c r="AY55" s="309">
        <f>Tabla14[[#This Row],[Personas13]]</f>
        <v>6</v>
      </c>
      <c r="AZ55" s="310">
        <f>Tabla14[[#This Row],[Valor bolsas Pesona2]]*Tabla14[[#This Row],[Personas Rechazo]]</f>
        <v>7200</v>
      </c>
      <c r="BA55" s="311">
        <f>+Tabla14[[#This Row],[Total Valor Segunda]]+Tabla14[[#This Row],[Total Valor Primera]]+Tabla14[[#This Row],[Total Valor Precorte]]</f>
        <v>151500</v>
      </c>
      <c r="BB55" s="292">
        <f>Tabla14[[#This Row],[Valor bolsas Pesona2]]+Tabla14[[#This Row],[Valor Embarque Pesona3]]</f>
        <v>26450</v>
      </c>
      <c r="BD55" s="292">
        <f>Tabla14[[#This Row],[VALOR GANADO]]-Tabla14[[#This Row],[REAJUSTADO]]</f>
        <v>26450</v>
      </c>
      <c r="BE55" s="250">
        <f>Tabla14[[#This Row],[CUANTO SE REAJUSTA]]*Tabla14[[#This Row],[Personas Rechazo]]</f>
        <v>158700</v>
      </c>
      <c r="BF55" s="250">
        <f>Tabla14[[#This Row],[REAJUSTADO]]/25000</f>
        <v>0</v>
      </c>
      <c r="BG55" s="302">
        <f>Tabla14[[#This Row],[REAJUSTADO]]*Tabla14[[#This Row],[Personas Rechazo]]</f>
        <v>0</v>
      </c>
      <c r="BH55" s="292" t="str">
        <f>Tabla14[[#This Row],[Finca]]</f>
        <v>Uveros</v>
      </c>
      <c r="BJ55" s="330">
        <f>Tabla14[[#This Row],[Numero de Ocacionales]]*Tabla14[[#This Row],[REAJUSTADO]]</f>
        <v>0</v>
      </c>
      <c r="BM55" s="330">
        <f>+Tabla14[[#This Row],[CUANTO SE REAJUSTA]]*3</f>
        <v>79350</v>
      </c>
    </row>
    <row r="56" spans="1:65" hidden="1" x14ac:dyDescent="0.25">
      <c r="C56" s="274">
        <v>44623</v>
      </c>
      <c r="D56" s="507">
        <f>YEAR(Tabla14[[#This Row],[Fecha]])</f>
        <v>2022</v>
      </c>
      <c r="E56" s="313">
        <f>IF(Tabla14[[#This Row],[Fecha]]&gt;0,_xlfn.ISOWEEKNUM(Tabla14[[#This Row],[Fecha]]),0)</f>
        <v>9</v>
      </c>
      <c r="F56" s="74">
        <v>41</v>
      </c>
      <c r="G56" s="275" t="s">
        <v>155</v>
      </c>
      <c r="H56" s="325" t="str">
        <f>_xlfn.XLOOKUP(Tabla14[[#This Row],[Codigo Finca]],Tabla4[Codigo Finca],Tabla4[Nombre Finca],"")</f>
        <v>Damaquiel</v>
      </c>
      <c r="I56" s="277">
        <f>_xlfn.XLOOKUP(Tabla14[[#This Row],[Codigo Finca]],Tabla4[Codigo Finca],Tabla4[Precio Caja],0)</f>
        <v>1500</v>
      </c>
      <c r="J56" s="277">
        <f>_xlfn.XLOOKUP(Tabla14[[#This Row],[Codigo Finca]],Tabla4[Codigo Finca],Tabla4[Precio Caja Segunda],0)</f>
        <v>1000</v>
      </c>
      <c r="K56" s="277">
        <f>_xlfn.XLOOKUP(Tabla14[[#This Row],[Codigo Finca]],Tabla4[Codigo Finca],Tabla4[Precio Rechazo],0)</f>
        <v>500</v>
      </c>
      <c r="L56" s="277">
        <f t="shared" si="13"/>
        <v>724</v>
      </c>
      <c r="M56" s="278">
        <f t="shared" si="14"/>
        <v>17.658536585365855</v>
      </c>
      <c r="N56" s="269"/>
      <c r="O56" s="270"/>
      <c r="P56" s="251">
        <f t="shared" si="15"/>
        <v>0</v>
      </c>
      <c r="Q56" s="263">
        <f t="shared" si="16"/>
        <v>0</v>
      </c>
      <c r="R56" s="265">
        <f t="shared" si="17"/>
        <v>0</v>
      </c>
      <c r="S56" s="283">
        <f>189+198+174+163</f>
        <v>724</v>
      </c>
      <c r="T56" s="275">
        <v>5</v>
      </c>
      <c r="U56" s="280">
        <f t="shared" si="18"/>
        <v>41</v>
      </c>
      <c r="V56" s="281">
        <f t="shared" si="19"/>
        <v>8.1999999999999993</v>
      </c>
      <c r="W56" s="282">
        <f t="shared" si="20"/>
        <v>12300</v>
      </c>
      <c r="X56" s="283">
        <v>41</v>
      </c>
      <c r="Y56" s="275">
        <v>5</v>
      </c>
      <c r="Z56" s="280">
        <f>Tabla14[[#This Row],[Cajas Segunda]]</f>
        <v>41</v>
      </c>
      <c r="AA56" s="281">
        <f t="shared" si="21"/>
        <v>8.1999999999999993</v>
      </c>
      <c r="AB56" s="284">
        <f t="shared" si="22"/>
        <v>8200</v>
      </c>
      <c r="AC56" s="285"/>
      <c r="AD56" s="286"/>
      <c r="AE56" s="286">
        <v>3</v>
      </c>
      <c r="AF56" s="286">
        <f>3*85</f>
        <v>255</v>
      </c>
      <c r="AG56" s="286">
        <v>5</v>
      </c>
      <c r="AH56" s="280">
        <f t="shared" si="23"/>
        <v>30.6</v>
      </c>
      <c r="AI56" s="281">
        <f t="shared" si="24"/>
        <v>6.12</v>
      </c>
      <c r="AJ56" s="282">
        <f t="shared" si="25"/>
        <v>3060</v>
      </c>
      <c r="AK56" s="287">
        <f>Tabla14[[#This Row],[Cajas por Personas]]</f>
        <v>0</v>
      </c>
      <c r="AL56" s="288">
        <f>Tabla14[[#This Row],[Valor Precorte Pesona]]</f>
        <v>0</v>
      </c>
      <c r="AM56" s="294">
        <f>Tabla14[[#This Row],[Personas Precorte]]</f>
        <v>0</v>
      </c>
      <c r="AN56" s="308">
        <f>Tabla14[[#This Row],[Valor Precorte Pesona Precorte]]*Tabla14[[#This Row],[Perzonas Precorte]]</f>
        <v>0</v>
      </c>
      <c r="AO56" s="287">
        <f>Tabla14[[#This Row],[Cajas por Personas2]]</f>
        <v>8.1999999999999993</v>
      </c>
      <c r="AP56" s="288">
        <f>Tabla14[[#This Row],[Valor Embarque Pesona]]</f>
        <v>12300</v>
      </c>
      <c r="AQ56" s="295">
        <f>Tabla14[[#This Row],[Personas Precorte2]]</f>
        <v>5</v>
      </c>
      <c r="AR56" s="296">
        <f>Tabla14[[#This Row],[Valor Embarque Pesona3]]*Tabla14[[#This Row],[Perzona Primera]]</f>
        <v>61500</v>
      </c>
      <c r="AS56" s="287">
        <f>Tabla14[[#This Row],[Columna2]]</f>
        <v>8.1999999999999993</v>
      </c>
      <c r="AT56" s="288">
        <f>Tabla14[[#This Row],[Columna1]]</f>
        <v>8200</v>
      </c>
      <c r="AU56" s="302">
        <f>Tabla14[[#This Row],[Personas Intervienen]]</f>
        <v>5</v>
      </c>
      <c r="AV56" s="297">
        <f>Tabla14[[#This Row],[Valor Embarque Pesona5]]*Tabla14[[#This Row],[Presonas Segunda]]</f>
        <v>41000</v>
      </c>
      <c r="AW56" s="287">
        <f>Tabla14[[#This Row],[Bolsas Por Personas]]</f>
        <v>6.12</v>
      </c>
      <c r="AX56" s="288">
        <f>Tabla14[[#This Row],[Valor bolsas Pesona]]</f>
        <v>3060</v>
      </c>
      <c r="AY56" s="309">
        <f>Tabla14[[#This Row],[Personas13]]</f>
        <v>5</v>
      </c>
      <c r="AZ56" s="310">
        <f>Tabla14[[#This Row],[Valor bolsas Pesona2]]*Tabla14[[#This Row],[Personas Rechazo]]</f>
        <v>15300</v>
      </c>
      <c r="BA56" s="311">
        <f>+Tabla14[[#This Row],[Total Valor Segunda]]+Tabla14[[#This Row],[Total Valor Primera]]+Tabla14[[#This Row],[Total Valor Precorte]]</f>
        <v>102500</v>
      </c>
      <c r="BB56" s="292">
        <f>Tabla14[[#This Row],[Valor bolsas Pesona2]]+Tabla14[[#This Row],[Valor Embarque Pesona3]]</f>
        <v>15360</v>
      </c>
      <c r="BD56" s="292">
        <f>Tabla14[[#This Row],[VALOR GANADO]]-Tabla14[[#This Row],[REAJUSTADO]]</f>
        <v>15360</v>
      </c>
      <c r="BE56" s="250">
        <f>Tabla14[[#This Row],[CUANTO SE REAJUSTA]]*Tabla14[[#This Row],[Personas Rechazo]]</f>
        <v>76800</v>
      </c>
      <c r="BF56" s="250">
        <f>Tabla14[[#This Row],[REAJUSTADO]]/25000</f>
        <v>0</v>
      </c>
      <c r="BG56" s="302">
        <f>Tabla14[[#This Row],[REAJUSTADO]]*Tabla14[[#This Row],[Personas Rechazo]]</f>
        <v>0</v>
      </c>
      <c r="BH56" s="292" t="str">
        <f>Tabla14[[#This Row],[Finca]]</f>
        <v>Damaquiel</v>
      </c>
      <c r="BJ56" s="330">
        <f>Tabla14[[#This Row],[Numero de Ocacionales]]*Tabla14[[#This Row],[REAJUSTADO]]</f>
        <v>0</v>
      </c>
      <c r="BM56" s="330">
        <f>+Tabla14[[#This Row],[CUANTO SE REAJUSTA]]*3</f>
        <v>46080</v>
      </c>
    </row>
    <row r="57" spans="1:65" hidden="1" x14ac:dyDescent="0.25">
      <c r="C57" s="274">
        <v>44623</v>
      </c>
      <c r="D57" s="507">
        <f>YEAR(Tabla14[[#This Row],[Fecha]])</f>
        <v>2022</v>
      </c>
      <c r="E57" s="313">
        <f>IF(Tabla14[[#This Row],[Fecha]]&gt;0,_xlfn.ISOWEEKNUM(Tabla14[[#This Row],[Fecha]]),0)</f>
        <v>9</v>
      </c>
      <c r="F57" s="74">
        <v>31</v>
      </c>
      <c r="G57" s="275" t="s">
        <v>157</v>
      </c>
      <c r="H57" s="325" t="str">
        <f>_xlfn.XLOOKUP(Tabla14[[#This Row],[Codigo Finca]],Tabla4[Codigo Finca],Tabla4[Nombre Finca],"")</f>
        <v>Pedrito</v>
      </c>
      <c r="I57" s="277">
        <f>_xlfn.XLOOKUP(Tabla14[[#This Row],[Codigo Finca]],Tabla4[Codigo Finca],Tabla4[Precio Caja],0)</f>
        <v>2100</v>
      </c>
      <c r="J57" s="277">
        <f>_xlfn.XLOOKUP(Tabla14[[#This Row],[Codigo Finca]],Tabla4[Codigo Finca],Tabla4[Precio Caja Segunda],0)</f>
        <v>1000</v>
      </c>
      <c r="K57" s="277">
        <f>_xlfn.XLOOKUP(Tabla14[[#This Row],[Codigo Finca]],Tabla4[Codigo Finca],Tabla4[Precio Rechazo],0)</f>
        <v>500</v>
      </c>
      <c r="L57" s="277">
        <f t="shared" si="13"/>
        <v>0</v>
      </c>
      <c r="M57" s="278">
        <f t="shared" si="14"/>
        <v>0</v>
      </c>
      <c r="N57" s="269"/>
      <c r="O57" s="270"/>
      <c r="P57" s="251">
        <f t="shared" si="15"/>
        <v>0</v>
      </c>
      <c r="Q57" s="263">
        <f t="shared" si="16"/>
        <v>0</v>
      </c>
      <c r="R57" s="265">
        <f t="shared" si="17"/>
        <v>0</v>
      </c>
      <c r="S57" s="327"/>
      <c r="T57" s="275">
        <v>5</v>
      </c>
      <c r="U57" s="280">
        <f t="shared" si="18"/>
        <v>31</v>
      </c>
      <c r="V57" s="281">
        <f t="shared" si="19"/>
        <v>6.2</v>
      </c>
      <c r="W57" s="282">
        <f t="shared" si="20"/>
        <v>13020</v>
      </c>
      <c r="X57" s="283">
        <v>31</v>
      </c>
      <c r="Y57" s="275">
        <v>5</v>
      </c>
      <c r="Z57" s="280">
        <f>Tabla14[[#This Row],[Cajas Segunda]]</f>
        <v>31</v>
      </c>
      <c r="AA57" s="281">
        <f t="shared" si="21"/>
        <v>6.2</v>
      </c>
      <c r="AB57" s="284">
        <f t="shared" si="22"/>
        <v>6200</v>
      </c>
      <c r="AC57" s="285"/>
      <c r="AD57" s="286"/>
      <c r="AE57" s="286">
        <v>2</v>
      </c>
      <c r="AF57" s="286">
        <f>2*85</f>
        <v>170</v>
      </c>
      <c r="AG57" s="286">
        <v>5</v>
      </c>
      <c r="AH57" s="280">
        <f t="shared" si="23"/>
        <v>13.6</v>
      </c>
      <c r="AI57" s="281">
        <f t="shared" si="24"/>
        <v>2.7199999999999998</v>
      </c>
      <c r="AJ57" s="282">
        <f t="shared" si="25"/>
        <v>1359.9999999999998</v>
      </c>
      <c r="AK57" s="287">
        <f>Tabla14[[#This Row],[Cajas por Personas]]</f>
        <v>0</v>
      </c>
      <c r="AL57" s="288">
        <f>Tabla14[[#This Row],[Valor Precorte Pesona]]</f>
        <v>0</v>
      </c>
      <c r="AM57" s="294">
        <f>Tabla14[[#This Row],[Personas Precorte]]</f>
        <v>0</v>
      </c>
      <c r="AN57" s="308">
        <f>Tabla14[[#This Row],[Valor Precorte Pesona Precorte]]*Tabla14[[#This Row],[Perzonas Precorte]]</f>
        <v>0</v>
      </c>
      <c r="AO57" s="287">
        <f>Tabla14[[#This Row],[Cajas por Personas2]]</f>
        <v>6.2</v>
      </c>
      <c r="AP57" s="288">
        <f>Tabla14[[#This Row],[Valor Embarque Pesona]]</f>
        <v>13020</v>
      </c>
      <c r="AQ57" s="295">
        <f>Tabla14[[#This Row],[Personas Precorte2]]</f>
        <v>5</v>
      </c>
      <c r="AR57" s="296">
        <f>Tabla14[[#This Row],[Valor Embarque Pesona3]]*Tabla14[[#This Row],[Perzona Primera]]</f>
        <v>65100</v>
      </c>
      <c r="AS57" s="287">
        <f>Tabla14[[#This Row],[Columna2]]</f>
        <v>6.2</v>
      </c>
      <c r="AT57" s="288">
        <f>Tabla14[[#This Row],[Columna1]]</f>
        <v>6200</v>
      </c>
      <c r="AU57" s="302">
        <f>Tabla14[[#This Row],[Personas Intervienen]]</f>
        <v>5</v>
      </c>
      <c r="AV57" s="297">
        <f>Tabla14[[#This Row],[Valor Embarque Pesona5]]*Tabla14[[#This Row],[Presonas Segunda]]</f>
        <v>31000</v>
      </c>
      <c r="AW57" s="287">
        <f>Tabla14[[#This Row],[Bolsas Por Personas]]</f>
        <v>2.7199999999999998</v>
      </c>
      <c r="AX57" s="288">
        <f>Tabla14[[#This Row],[Valor bolsas Pesona]]</f>
        <v>1359.9999999999998</v>
      </c>
      <c r="AY57" s="309">
        <f>Tabla14[[#This Row],[Personas13]]</f>
        <v>5</v>
      </c>
      <c r="AZ57" s="310">
        <f>Tabla14[[#This Row],[Valor bolsas Pesona2]]*Tabla14[[#This Row],[Personas Rechazo]]</f>
        <v>6799.9999999999991</v>
      </c>
      <c r="BA57" s="311">
        <f>+Tabla14[[#This Row],[Total Valor Segunda]]+Tabla14[[#This Row],[Total Valor Primera]]+Tabla14[[#This Row],[Total Valor Precorte]]</f>
        <v>96100</v>
      </c>
      <c r="BB57" s="292">
        <f>Tabla14[[#This Row],[Valor bolsas Pesona2]]+Tabla14[[#This Row],[Valor Embarque Pesona3]]</f>
        <v>14380</v>
      </c>
      <c r="BD57" s="292">
        <f>Tabla14[[#This Row],[VALOR GANADO]]-Tabla14[[#This Row],[REAJUSTADO]]</f>
        <v>14380</v>
      </c>
      <c r="BE57" s="250">
        <f>Tabla14[[#This Row],[CUANTO SE REAJUSTA]]*Tabla14[[#This Row],[Personas Rechazo]]</f>
        <v>71900</v>
      </c>
      <c r="BF57" s="250">
        <f>Tabla14[[#This Row],[REAJUSTADO]]/25000</f>
        <v>0</v>
      </c>
      <c r="BG57" s="302">
        <f>Tabla14[[#This Row],[REAJUSTADO]]*Tabla14[[#This Row],[Personas Rechazo]]</f>
        <v>0</v>
      </c>
      <c r="BH57" s="292" t="str">
        <f>Tabla14[[#This Row],[Finca]]</f>
        <v>Pedrito</v>
      </c>
      <c r="BJ57" s="330">
        <f>Tabla14[[#This Row],[Numero de Ocacionales]]*Tabla14[[#This Row],[REAJUSTADO]]</f>
        <v>0</v>
      </c>
      <c r="BM57" s="330">
        <f>+Tabla14[[#This Row],[CUANTO SE REAJUSTA]]*3</f>
        <v>43140</v>
      </c>
    </row>
    <row r="58" spans="1:65" hidden="1" x14ac:dyDescent="0.25">
      <c r="C58" s="320">
        <v>44628</v>
      </c>
      <c r="D58" s="508">
        <f>YEAR(Tabla14[[#This Row],[Fecha]])</f>
        <v>2022</v>
      </c>
      <c r="E58" s="321">
        <f>IF(Tabla14[[#This Row],[Fecha]]&gt;0,_xlfn.ISOWEEKNUM(Tabla14[[#This Row],[Fecha]]),0)</f>
        <v>10</v>
      </c>
      <c r="F58" s="74">
        <v>117</v>
      </c>
      <c r="G58" s="268" t="s">
        <v>155</v>
      </c>
      <c r="H58" s="266" t="str">
        <f>_xlfn.XLOOKUP(Tabla14[[#This Row],[Codigo Finca]],Tabla4[Codigo Finca],Tabla4[Nombre Finca],"")</f>
        <v>Damaquiel</v>
      </c>
      <c r="I58" s="262">
        <f>_xlfn.XLOOKUP(Tabla14[[#This Row],[Codigo Finca]],Tabla4[Codigo Finca],Tabla4[Precio Caja],0)</f>
        <v>1500</v>
      </c>
      <c r="J58" s="262">
        <f>_xlfn.XLOOKUP(Tabla14[[#This Row],[Codigo Finca]],Tabla4[Codigo Finca],Tabla4[Precio Caja Segunda],0)</f>
        <v>1000</v>
      </c>
      <c r="K58" s="262">
        <f>_xlfn.XLOOKUP(Tabla14[[#This Row],[Codigo Finca]],Tabla4[Codigo Finca],Tabla4[Precio Rechazo],0)</f>
        <v>500</v>
      </c>
      <c r="L58" s="262">
        <f t="shared" si="13"/>
        <v>492</v>
      </c>
      <c r="M58" s="272">
        <f t="shared" si="14"/>
        <v>4.2051282051282053</v>
      </c>
      <c r="N58" s="269"/>
      <c r="O58" s="270"/>
      <c r="P58" s="251">
        <f t="shared" si="15"/>
        <v>0</v>
      </c>
      <c r="Q58" s="263">
        <f t="shared" si="16"/>
        <v>0</v>
      </c>
      <c r="R58" s="265">
        <f t="shared" si="17"/>
        <v>0</v>
      </c>
      <c r="S58" s="269">
        <f>182+118+97+95</f>
        <v>492</v>
      </c>
      <c r="T58" s="268">
        <v>7</v>
      </c>
      <c r="U58" s="251">
        <f t="shared" si="18"/>
        <v>117</v>
      </c>
      <c r="V58" s="263">
        <f t="shared" si="19"/>
        <v>16.714285714285715</v>
      </c>
      <c r="W58" s="322">
        <f t="shared" si="20"/>
        <v>25071.428571428572</v>
      </c>
      <c r="X58" s="269"/>
      <c r="Y58" s="268"/>
      <c r="Z58" s="251">
        <f>Tabla14[[#This Row],[Cajas Segunda]]</f>
        <v>0</v>
      </c>
      <c r="AA58" s="263">
        <f t="shared" si="21"/>
        <v>0</v>
      </c>
      <c r="AB58" s="265">
        <f t="shared" si="22"/>
        <v>0</v>
      </c>
      <c r="AC58" s="273">
        <f>4.6*7</f>
        <v>32.199999999999996</v>
      </c>
      <c r="AD58" s="271"/>
      <c r="AE58" s="271"/>
      <c r="AF58" s="271"/>
      <c r="AG58" s="271">
        <v>7</v>
      </c>
      <c r="AH58" s="251">
        <f t="shared" si="23"/>
        <v>32.199999999999996</v>
      </c>
      <c r="AI58" s="263">
        <f t="shared" si="24"/>
        <v>4.5999999999999996</v>
      </c>
      <c r="AJ58" s="322">
        <f t="shared" si="25"/>
        <v>2300</v>
      </c>
      <c r="AK58" s="264">
        <f>Tabla14[[#This Row],[Cajas por Personas]]</f>
        <v>0</v>
      </c>
      <c r="AL58" s="267">
        <f>Tabla14[[#This Row],[Valor Precorte Pesona]]</f>
        <v>0</v>
      </c>
      <c r="AM58" s="294">
        <f>Tabla14[[#This Row],[Personas Precorte]]</f>
        <v>0</v>
      </c>
      <c r="AN58" s="308">
        <f>Tabla14[[#This Row],[Valor Precorte Pesona Precorte]]*Tabla14[[#This Row],[Perzonas Precorte]]</f>
        <v>0</v>
      </c>
      <c r="AO58" s="264">
        <f>Tabla14[[#This Row],[Cajas por Personas2]]</f>
        <v>16.714285714285715</v>
      </c>
      <c r="AP58" s="267">
        <f>Tabla14[[#This Row],[Valor Embarque Pesona]]</f>
        <v>25071.428571428572</v>
      </c>
      <c r="AQ58" s="295">
        <f>Tabla14[[#This Row],[Personas Precorte2]]</f>
        <v>7</v>
      </c>
      <c r="AR58" s="296">
        <f>Tabla14[[#This Row],[Valor Embarque Pesona3]]*Tabla14[[#This Row],[Perzona Primera]]</f>
        <v>175500</v>
      </c>
      <c r="AS58" s="264">
        <f>Tabla14[[#This Row],[Columna2]]</f>
        <v>0</v>
      </c>
      <c r="AT58" s="267">
        <f>Tabla14[[#This Row],[Columna1]]</f>
        <v>0</v>
      </c>
      <c r="AU58" s="302">
        <f>Tabla14[[#This Row],[Personas Intervienen]]</f>
        <v>0</v>
      </c>
      <c r="AV58" s="297">
        <f>Tabla14[[#This Row],[Valor Embarque Pesona5]]*Tabla14[[#This Row],[Presonas Segunda]]</f>
        <v>0</v>
      </c>
      <c r="AW58" s="264">
        <f>Tabla14[[#This Row],[Bolsas Por Personas]]</f>
        <v>4.5999999999999996</v>
      </c>
      <c r="AX58" s="267">
        <f>Tabla14[[#This Row],[Valor bolsas Pesona]]</f>
        <v>2300</v>
      </c>
      <c r="AY58" s="290">
        <f>Tabla14[[#This Row],[Personas13]]</f>
        <v>7</v>
      </c>
      <c r="AZ58" s="323">
        <f>Tabla14[[#This Row],[Valor bolsas Pesona2]]*Tabla14[[#This Row],[Personas Rechazo]]</f>
        <v>16100</v>
      </c>
      <c r="BA58" s="324">
        <f>+Tabla14[[#This Row],[Total Valor Segunda]]+Tabla14[[#This Row],[Total Valor Primera]]+Tabla14[[#This Row],[Total Valor Precorte]]</f>
        <v>175500</v>
      </c>
      <c r="BB58" s="292">
        <f>Tabla14[[#This Row],[Valor bolsas Pesona2]]+Tabla14[[#This Row],[Valor Embarque Pesona3]]</f>
        <v>27371.428571428572</v>
      </c>
      <c r="BD58" s="292">
        <f>Tabla14[[#This Row],[VALOR GANADO]]-Tabla14[[#This Row],[REAJUSTADO]]</f>
        <v>27371.428571428572</v>
      </c>
      <c r="BE58" s="250">
        <f>Tabla14[[#This Row],[CUANTO SE REAJUSTA]]*Tabla14[[#This Row],[Personas Rechazo]]</f>
        <v>191600</v>
      </c>
      <c r="BF58" s="250">
        <f>Tabla14[[#This Row],[REAJUSTADO]]/25000</f>
        <v>0</v>
      </c>
      <c r="BG58" s="302">
        <f>Tabla14[[#This Row],[REAJUSTADO]]*Tabla14[[#This Row],[Personas Rechazo]]</f>
        <v>0</v>
      </c>
      <c r="BH58" s="292" t="str">
        <f>Tabla14[[#This Row],[Finca]]</f>
        <v>Damaquiel</v>
      </c>
      <c r="BJ58" s="330">
        <f>Tabla14[[#This Row],[Numero de Ocacionales]]*Tabla14[[#This Row],[REAJUSTADO]]</f>
        <v>0</v>
      </c>
      <c r="BM58" s="330">
        <f>+Tabla14[[#This Row],[CUANTO SE REAJUSTA]]*3</f>
        <v>82114.28571428571</v>
      </c>
    </row>
    <row r="59" spans="1:65" hidden="1" x14ac:dyDescent="0.25">
      <c r="A59" s="250" t="s">
        <v>193</v>
      </c>
      <c r="C59" s="320">
        <v>44628</v>
      </c>
      <c r="D59" s="508">
        <f>YEAR(Tabla14[[#This Row],[Fecha]])</f>
        <v>2022</v>
      </c>
      <c r="E59" s="321">
        <f>IF(Tabla14[[#This Row],[Fecha]]&gt;0,_xlfn.ISOWEEKNUM(Tabla14[[#This Row],[Fecha]]),0)</f>
        <v>10</v>
      </c>
      <c r="F59" s="74">
        <v>300</v>
      </c>
      <c r="G59" s="268" t="s">
        <v>152</v>
      </c>
      <c r="H59" s="266" t="str">
        <f>_xlfn.XLOOKUP(Tabla14[[#This Row],[Codigo Finca]],Tabla4[Codigo Finca],Tabla4[Nombre Finca],"")</f>
        <v>San Pedro</v>
      </c>
      <c r="I59" s="262">
        <f>_xlfn.XLOOKUP(Tabla14[[#This Row],[Codigo Finca]],Tabla4[Codigo Finca],Tabla4[Precio Caja],0)</f>
        <v>1500</v>
      </c>
      <c r="J59" s="262">
        <f>_xlfn.XLOOKUP(Tabla14[[#This Row],[Codigo Finca]],Tabla4[Codigo Finca],Tabla4[Precio Caja Segunda],0)</f>
        <v>1000</v>
      </c>
      <c r="K59" s="262">
        <f>_xlfn.XLOOKUP(Tabla14[[#This Row],[Codigo Finca]],Tabla4[Codigo Finca],Tabla4[Precio Rechazo],0)</f>
        <v>500</v>
      </c>
      <c r="L59" s="262">
        <f t="shared" si="13"/>
        <v>1277</v>
      </c>
      <c r="M59" s="272">
        <f t="shared" si="14"/>
        <v>4.2566666666666668</v>
      </c>
      <c r="N59" s="269">
        <v>100</v>
      </c>
      <c r="O59" s="270"/>
      <c r="P59" s="251">
        <f t="shared" si="15"/>
        <v>11.746280344557556</v>
      </c>
      <c r="Q59" s="263">
        <f>IF(O59&gt;0,P59/O59,0)</f>
        <v>0</v>
      </c>
      <c r="R59" s="265">
        <f>IF(I59&gt;0,Q59*I59,)</f>
        <v>0</v>
      </c>
      <c r="S59" s="269">
        <f>644+533</f>
        <v>1177</v>
      </c>
      <c r="T59" s="268">
        <v>15</v>
      </c>
      <c r="U59" s="251">
        <f t="shared" si="18"/>
        <v>288.25371965544247</v>
      </c>
      <c r="V59" s="263">
        <f t="shared" si="19"/>
        <v>19.216914643696164</v>
      </c>
      <c r="W59" s="322">
        <f t="shared" si="20"/>
        <v>28825.371965544247</v>
      </c>
      <c r="X59" s="269"/>
      <c r="Y59" s="268"/>
      <c r="Z59" s="251">
        <f>Tabla14[[#This Row],[Cajas Segunda]]</f>
        <v>0</v>
      </c>
      <c r="AA59" s="263">
        <f t="shared" si="21"/>
        <v>0</v>
      </c>
      <c r="AB59" s="265">
        <f t="shared" si="22"/>
        <v>0</v>
      </c>
      <c r="AC59" s="273">
        <f>5.89*15</f>
        <v>88.35</v>
      </c>
      <c r="AD59" s="271"/>
      <c r="AE59" s="271"/>
      <c r="AF59" s="271"/>
      <c r="AG59" s="271">
        <v>15</v>
      </c>
      <c r="AH59" s="251">
        <f t="shared" si="23"/>
        <v>88.35</v>
      </c>
      <c r="AI59" s="263">
        <f t="shared" si="24"/>
        <v>5.89</v>
      </c>
      <c r="AJ59" s="322">
        <f t="shared" si="25"/>
        <v>2945</v>
      </c>
      <c r="AK59" s="264">
        <f>Tabla14[[#This Row],[Cajas por Personas]]</f>
        <v>0</v>
      </c>
      <c r="AL59" s="267">
        <f>Tabla14[[#This Row],[Valor Precorte Pesona]]</f>
        <v>0</v>
      </c>
      <c r="AM59" s="294">
        <f>Tabla14[[#This Row],[Personas Precorte]]</f>
        <v>0</v>
      </c>
      <c r="AN59" s="308">
        <f>Tabla14[[#This Row],[Valor Precorte Pesona Precorte]]*Tabla14[[#This Row],[Perzonas Precorte]]</f>
        <v>0</v>
      </c>
      <c r="AO59" s="264">
        <f>Tabla14[[#This Row],[Cajas por Personas2]]</f>
        <v>19.216914643696164</v>
      </c>
      <c r="AP59" s="267">
        <f>Tabla14[[#This Row],[Valor Embarque Pesona]]</f>
        <v>28825.371965544247</v>
      </c>
      <c r="AQ59" s="295">
        <f>Tabla14[[#This Row],[Personas Precorte2]]</f>
        <v>15</v>
      </c>
      <c r="AR59" s="296">
        <f>Tabla14[[#This Row],[Valor Embarque Pesona3]]*Tabla14[[#This Row],[Perzona Primera]]</f>
        <v>432380.57948316372</v>
      </c>
      <c r="AS59" s="264">
        <f>Tabla14[[#This Row],[Columna2]]</f>
        <v>0</v>
      </c>
      <c r="AT59" s="267">
        <f>Tabla14[[#This Row],[Columna1]]</f>
        <v>0</v>
      </c>
      <c r="AU59" s="302">
        <f>Tabla14[[#This Row],[Personas Intervienen]]</f>
        <v>0</v>
      </c>
      <c r="AV59" s="297">
        <f>Tabla14[[#This Row],[Valor Embarque Pesona5]]*Tabla14[[#This Row],[Presonas Segunda]]</f>
        <v>0</v>
      </c>
      <c r="AW59" s="264">
        <f>Tabla14[[#This Row],[Bolsas Por Personas]]</f>
        <v>5.89</v>
      </c>
      <c r="AX59" s="267">
        <f>Tabla14[[#This Row],[Valor bolsas Pesona]]</f>
        <v>2945</v>
      </c>
      <c r="AY59" s="290">
        <f>Tabla14[[#This Row],[Personas13]]</f>
        <v>15</v>
      </c>
      <c r="AZ59" s="323">
        <f>Tabla14[[#This Row],[Valor bolsas Pesona2]]*Tabla14[[#This Row],[Personas Rechazo]]</f>
        <v>44175</v>
      </c>
      <c r="BA59" s="324">
        <f>+Tabla14[[#This Row],[Total Valor Segunda]]+Tabla14[[#This Row],[Total Valor Primera]]+Tabla14[[#This Row],[Total Valor Precorte]]</f>
        <v>432380.57948316372</v>
      </c>
      <c r="BB59" s="292">
        <f>Tabla14[[#This Row],[Valor bolsas Pesona2]]+Tabla14[[#This Row],[Valor Embarque Pesona3]]</f>
        <v>31770.371965544247</v>
      </c>
      <c r="BD59" s="292">
        <f>Tabla14[[#This Row],[VALOR GANADO]]-Tabla14[[#This Row],[REAJUSTADO]]</f>
        <v>31770.371965544247</v>
      </c>
      <c r="BE59" s="250">
        <f>Tabla14[[#This Row],[CUANTO SE REAJUSTA]]*Tabla14[[#This Row],[Personas Rechazo]]</f>
        <v>476555.57948316372</v>
      </c>
      <c r="BF59" s="250">
        <f>Tabla14[[#This Row],[REAJUSTADO]]/25000</f>
        <v>0</v>
      </c>
      <c r="BG59" s="302">
        <f>Tabla14[[#This Row],[REAJUSTADO]]*Tabla14[[#This Row],[Personas Rechazo]]</f>
        <v>0</v>
      </c>
      <c r="BH59" s="292" t="str">
        <f>Tabla14[[#This Row],[Finca]]</f>
        <v>San Pedro</v>
      </c>
      <c r="BJ59" s="330">
        <f>Tabla14[[#This Row],[Numero de Ocacionales]]*Tabla14[[#This Row],[REAJUSTADO]]</f>
        <v>0</v>
      </c>
      <c r="BM59" s="330">
        <f>+Tabla14[[#This Row],[CUANTO SE REAJUSTA]]*3</f>
        <v>95311.115896632749</v>
      </c>
    </row>
    <row r="60" spans="1:65" hidden="1" x14ac:dyDescent="0.25">
      <c r="C60" s="320">
        <v>44629</v>
      </c>
      <c r="D60" s="508">
        <f>YEAR(Tabla14[[#This Row],[Fecha]])</f>
        <v>2022</v>
      </c>
      <c r="E60" s="321">
        <f>IF(Tabla14[[#This Row],[Fecha]]&gt;0,_xlfn.ISOWEEKNUM(Tabla14[[#This Row],[Fecha]]),0)</f>
        <v>10</v>
      </c>
      <c r="F60" s="74">
        <v>88</v>
      </c>
      <c r="G60" s="268" t="s">
        <v>153</v>
      </c>
      <c r="H60" s="266" t="str">
        <f>_xlfn.XLOOKUP(Tabla14[[#This Row],[Codigo Finca]],Tabla4[Codigo Finca],Tabla4[Nombre Finca],"")</f>
        <v>Uveros</v>
      </c>
      <c r="I60" s="262">
        <f>_xlfn.XLOOKUP(Tabla14[[#This Row],[Codigo Finca]],Tabla4[Codigo Finca],Tabla4[Precio Caja],0)</f>
        <v>1500</v>
      </c>
      <c r="J60" s="262">
        <f>_xlfn.XLOOKUP(Tabla14[[#This Row],[Codigo Finca]],Tabla4[Codigo Finca],Tabla4[Precio Caja Segunda],0)</f>
        <v>1000</v>
      </c>
      <c r="K60" s="262">
        <f>_xlfn.XLOOKUP(Tabla14[[#This Row],[Codigo Finca]],Tabla4[Codigo Finca],Tabla4[Precio Rechazo],0)</f>
        <v>500</v>
      </c>
      <c r="L60" s="262">
        <f t="shared" si="13"/>
        <v>314</v>
      </c>
      <c r="M60" s="272">
        <f t="shared" si="14"/>
        <v>3.5681818181818183</v>
      </c>
      <c r="N60" s="269"/>
      <c r="O60" s="270"/>
      <c r="P60" s="251">
        <f t="shared" si="15"/>
        <v>0</v>
      </c>
      <c r="Q60" s="263">
        <f t="shared" si="16"/>
        <v>0</v>
      </c>
      <c r="R60" s="265">
        <f t="shared" si="17"/>
        <v>0</v>
      </c>
      <c r="S60" s="269">
        <f>145+169</f>
        <v>314</v>
      </c>
      <c r="T60" s="268">
        <v>5</v>
      </c>
      <c r="U60" s="251">
        <f t="shared" si="18"/>
        <v>88</v>
      </c>
      <c r="V60" s="263">
        <f t="shared" si="19"/>
        <v>17.600000000000001</v>
      </c>
      <c r="W60" s="322">
        <f t="shared" si="20"/>
        <v>26400</v>
      </c>
      <c r="X60" s="269"/>
      <c r="Y60" s="268"/>
      <c r="Z60" s="251">
        <f>Tabla14[[#This Row],[Cajas Segunda]]</f>
        <v>0</v>
      </c>
      <c r="AA60" s="263">
        <f t="shared" si="21"/>
        <v>0</v>
      </c>
      <c r="AB60" s="265">
        <f t="shared" si="22"/>
        <v>0</v>
      </c>
      <c r="AC60" s="326">
        <v>12.8</v>
      </c>
      <c r="AD60" s="271"/>
      <c r="AE60" s="271"/>
      <c r="AF60" s="271"/>
      <c r="AG60" s="271">
        <v>5</v>
      </c>
      <c r="AH60" s="251">
        <f t="shared" si="23"/>
        <v>12.8</v>
      </c>
      <c r="AI60" s="263">
        <f t="shared" si="24"/>
        <v>2.56</v>
      </c>
      <c r="AJ60" s="322">
        <f t="shared" si="25"/>
        <v>1280</v>
      </c>
      <c r="AK60" s="264">
        <f>Tabla14[[#This Row],[Cajas por Personas]]</f>
        <v>0</v>
      </c>
      <c r="AL60" s="267">
        <f>Tabla14[[#This Row],[Valor Precorte Pesona]]</f>
        <v>0</v>
      </c>
      <c r="AM60" s="294">
        <f>Tabla14[[#This Row],[Personas Precorte]]</f>
        <v>0</v>
      </c>
      <c r="AN60" s="308">
        <f>Tabla14[[#This Row],[Valor Precorte Pesona Precorte]]*Tabla14[[#This Row],[Perzonas Precorte]]</f>
        <v>0</v>
      </c>
      <c r="AO60" s="264">
        <f>Tabla14[[#This Row],[Cajas por Personas2]]</f>
        <v>17.600000000000001</v>
      </c>
      <c r="AP60" s="267">
        <f>Tabla14[[#This Row],[Valor Embarque Pesona]]</f>
        <v>26400</v>
      </c>
      <c r="AQ60" s="295">
        <f>Tabla14[[#This Row],[Personas Precorte2]]</f>
        <v>5</v>
      </c>
      <c r="AR60" s="296">
        <f>Tabla14[[#This Row],[Valor Embarque Pesona3]]*Tabla14[[#This Row],[Perzona Primera]]</f>
        <v>132000</v>
      </c>
      <c r="AS60" s="264">
        <f>Tabla14[[#This Row],[Columna2]]</f>
        <v>0</v>
      </c>
      <c r="AT60" s="267">
        <f>Tabla14[[#This Row],[Columna1]]</f>
        <v>0</v>
      </c>
      <c r="AU60" s="302">
        <f>Tabla14[[#This Row],[Personas Intervienen]]</f>
        <v>0</v>
      </c>
      <c r="AV60" s="297">
        <f>Tabla14[[#This Row],[Valor Embarque Pesona5]]*Tabla14[[#This Row],[Presonas Segunda]]</f>
        <v>0</v>
      </c>
      <c r="AW60" s="264">
        <f>Tabla14[[#This Row],[Bolsas Por Personas]]</f>
        <v>2.56</v>
      </c>
      <c r="AX60" s="267">
        <f>Tabla14[[#This Row],[Valor bolsas Pesona]]</f>
        <v>1280</v>
      </c>
      <c r="AY60" s="290">
        <f>Tabla14[[#This Row],[Personas13]]</f>
        <v>5</v>
      </c>
      <c r="AZ60" s="323">
        <f>Tabla14[[#This Row],[Valor bolsas Pesona2]]*Tabla14[[#This Row],[Personas Rechazo]]</f>
        <v>6400</v>
      </c>
      <c r="BA60" s="324">
        <f>+Tabla14[[#This Row],[Total Valor Segunda]]+Tabla14[[#This Row],[Total Valor Primera]]+Tabla14[[#This Row],[Total Valor Precorte]]</f>
        <v>132000</v>
      </c>
      <c r="BB60" s="292">
        <f>Tabla14[[#This Row],[Valor bolsas Pesona2]]+Tabla14[[#This Row],[Valor Embarque Pesona3]]</f>
        <v>27680</v>
      </c>
      <c r="BD60" s="292">
        <f>Tabla14[[#This Row],[VALOR GANADO]]-Tabla14[[#This Row],[REAJUSTADO]]</f>
        <v>27680</v>
      </c>
      <c r="BE60" s="250">
        <f>Tabla14[[#This Row],[CUANTO SE REAJUSTA]]*Tabla14[[#This Row],[Personas Rechazo]]</f>
        <v>138400</v>
      </c>
      <c r="BF60" s="250">
        <f>Tabla14[[#This Row],[REAJUSTADO]]/25000</f>
        <v>0</v>
      </c>
      <c r="BG60" s="302">
        <f>Tabla14[[#This Row],[REAJUSTADO]]*Tabla14[[#This Row],[Personas Rechazo]]</f>
        <v>0</v>
      </c>
      <c r="BH60" s="292" t="str">
        <f>Tabla14[[#This Row],[Finca]]</f>
        <v>Uveros</v>
      </c>
      <c r="BJ60" s="330">
        <f>Tabla14[[#This Row],[Numero de Ocacionales]]*Tabla14[[#This Row],[REAJUSTADO]]</f>
        <v>0</v>
      </c>
      <c r="BM60" s="330">
        <f>+Tabla14[[#This Row],[CUANTO SE REAJUSTA]]*3</f>
        <v>83040</v>
      </c>
    </row>
    <row r="61" spans="1:65" hidden="1" x14ac:dyDescent="0.25">
      <c r="C61" s="320">
        <v>44629</v>
      </c>
      <c r="D61" s="508">
        <f>YEAR(Tabla14[[#This Row],[Fecha]])</f>
        <v>2022</v>
      </c>
      <c r="E61" s="321">
        <f>IF(Tabla14[[#This Row],[Fecha]]&gt;0,_xlfn.ISOWEEKNUM(Tabla14[[#This Row],[Fecha]]),0)</f>
        <v>10</v>
      </c>
      <c r="F61" s="74">
        <f>150+35</f>
        <v>185</v>
      </c>
      <c r="G61" s="268" t="s">
        <v>152</v>
      </c>
      <c r="H61" s="266" t="str">
        <f>_xlfn.XLOOKUP(Tabla14[[#This Row],[Codigo Finca]],Tabla4[Codigo Finca],Tabla4[Nombre Finca],"")</f>
        <v>San Pedro</v>
      </c>
      <c r="I61" s="262">
        <f>_xlfn.XLOOKUP(Tabla14[[#This Row],[Codigo Finca]],Tabla4[Codigo Finca],Tabla4[Precio Caja],0)</f>
        <v>1500</v>
      </c>
      <c r="J61" s="262">
        <f>_xlfn.XLOOKUP(Tabla14[[#This Row],[Codigo Finca]],Tabla4[Codigo Finca],Tabla4[Precio Caja Segunda],0)</f>
        <v>1000</v>
      </c>
      <c r="K61" s="262">
        <f>_xlfn.XLOOKUP(Tabla14[[#This Row],[Codigo Finca]],Tabla4[Codigo Finca],Tabla4[Precio Rechazo],0)</f>
        <v>500</v>
      </c>
      <c r="L61" s="262">
        <f t="shared" si="13"/>
        <v>797</v>
      </c>
      <c r="M61" s="272">
        <f t="shared" si="14"/>
        <v>4.3081081081081081</v>
      </c>
      <c r="N61" s="269"/>
      <c r="O61" s="270"/>
      <c r="P61" s="251">
        <f t="shared" si="15"/>
        <v>0</v>
      </c>
      <c r="Q61" s="263">
        <f t="shared" si="16"/>
        <v>0</v>
      </c>
      <c r="R61" s="265">
        <f t="shared" si="17"/>
        <v>0</v>
      </c>
      <c r="S61" s="269">
        <f>645+152</f>
        <v>797</v>
      </c>
      <c r="T61" s="268">
        <v>15</v>
      </c>
      <c r="U61" s="251">
        <f t="shared" si="18"/>
        <v>185</v>
      </c>
      <c r="V61" s="263">
        <f t="shared" si="19"/>
        <v>12.333333333333334</v>
      </c>
      <c r="W61" s="322">
        <f t="shared" si="20"/>
        <v>18500</v>
      </c>
      <c r="X61" s="269"/>
      <c r="Y61" s="268"/>
      <c r="Z61" s="251">
        <f>Tabla14[[#This Row],[Cajas Segunda]]</f>
        <v>0</v>
      </c>
      <c r="AA61" s="263">
        <f t="shared" si="21"/>
        <v>0</v>
      </c>
      <c r="AB61" s="265">
        <f t="shared" si="22"/>
        <v>0</v>
      </c>
      <c r="AC61" s="273">
        <f>5.21*15</f>
        <v>78.150000000000006</v>
      </c>
      <c r="AD61" s="271"/>
      <c r="AE61" s="271"/>
      <c r="AF61" s="271"/>
      <c r="AG61" s="271">
        <v>15</v>
      </c>
      <c r="AH61" s="251">
        <f t="shared" si="23"/>
        <v>78.150000000000006</v>
      </c>
      <c r="AI61" s="263">
        <f t="shared" si="24"/>
        <v>5.21</v>
      </c>
      <c r="AJ61" s="322">
        <f t="shared" si="25"/>
        <v>2605</v>
      </c>
      <c r="AK61" s="264">
        <f>Tabla14[[#This Row],[Cajas por Personas]]</f>
        <v>0</v>
      </c>
      <c r="AL61" s="267">
        <f>Tabla14[[#This Row],[Valor Precorte Pesona]]</f>
        <v>0</v>
      </c>
      <c r="AM61" s="294">
        <f>Tabla14[[#This Row],[Personas Precorte]]</f>
        <v>0</v>
      </c>
      <c r="AN61" s="308">
        <f>Tabla14[[#This Row],[Valor Precorte Pesona Precorte]]*Tabla14[[#This Row],[Perzonas Precorte]]</f>
        <v>0</v>
      </c>
      <c r="AO61" s="264">
        <f>Tabla14[[#This Row],[Cajas por Personas2]]</f>
        <v>12.333333333333334</v>
      </c>
      <c r="AP61" s="267">
        <f>Tabla14[[#This Row],[Valor Embarque Pesona]]</f>
        <v>18500</v>
      </c>
      <c r="AQ61" s="295">
        <f>Tabla14[[#This Row],[Personas Precorte2]]</f>
        <v>15</v>
      </c>
      <c r="AR61" s="296">
        <f>Tabla14[[#This Row],[Valor Embarque Pesona3]]*Tabla14[[#This Row],[Perzona Primera]]</f>
        <v>277500</v>
      </c>
      <c r="AS61" s="264">
        <f>Tabla14[[#This Row],[Columna2]]</f>
        <v>0</v>
      </c>
      <c r="AT61" s="267">
        <f>Tabla14[[#This Row],[Columna1]]</f>
        <v>0</v>
      </c>
      <c r="AU61" s="302">
        <f>Tabla14[[#This Row],[Personas Intervienen]]</f>
        <v>0</v>
      </c>
      <c r="AV61" s="297">
        <f>Tabla14[[#This Row],[Valor Embarque Pesona5]]*Tabla14[[#This Row],[Presonas Segunda]]</f>
        <v>0</v>
      </c>
      <c r="AW61" s="264">
        <f>Tabla14[[#This Row],[Bolsas Por Personas]]</f>
        <v>5.21</v>
      </c>
      <c r="AX61" s="267">
        <f>Tabla14[[#This Row],[Valor bolsas Pesona]]</f>
        <v>2605</v>
      </c>
      <c r="AY61" s="290">
        <f>Tabla14[[#This Row],[Personas13]]</f>
        <v>15</v>
      </c>
      <c r="AZ61" s="323">
        <f>Tabla14[[#This Row],[Valor bolsas Pesona2]]*Tabla14[[#This Row],[Personas Rechazo]]</f>
        <v>39075</v>
      </c>
      <c r="BA61" s="324">
        <f>+Tabla14[[#This Row],[Total Valor Segunda]]+Tabla14[[#This Row],[Total Valor Primera]]+Tabla14[[#This Row],[Total Valor Precorte]]</f>
        <v>277500</v>
      </c>
      <c r="BB61" s="292">
        <f>Tabla14[[#This Row],[Valor bolsas Pesona2]]+Tabla14[[#This Row],[Valor Embarque Pesona3]]</f>
        <v>21105</v>
      </c>
      <c r="BD61" s="292">
        <f>Tabla14[[#This Row],[VALOR GANADO]]-Tabla14[[#This Row],[REAJUSTADO]]</f>
        <v>21105</v>
      </c>
      <c r="BE61" s="250">
        <f>Tabla14[[#This Row],[CUANTO SE REAJUSTA]]*Tabla14[[#This Row],[Personas Rechazo]]</f>
        <v>316575</v>
      </c>
      <c r="BF61" s="250">
        <f>Tabla14[[#This Row],[REAJUSTADO]]/25000</f>
        <v>0</v>
      </c>
      <c r="BG61" s="302">
        <f>Tabla14[[#This Row],[REAJUSTADO]]*Tabla14[[#This Row],[Personas Rechazo]]</f>
        <v>0</v>
      </c>
      <c r="BH61" s="292" t="str">
        <f>Tabla14[[#This Row],[Finca]]</f>
        <v>San Pedro</v>
      </c>
      <c r="BJ61" s="330">
        <f>Tabla14[[#This Row],[Numero de Ocacionales]]*Tabla14[[#This Row],[REAJUSTADO]]</f>
        <v>0</v>
      </c>
      <c r="BM61" s="330">
        <f>+Tabla14[[#This Row],[CUANTO SE REAJUSTA]]*3</f>
        <v>63315</v>
      </c>
    </row>
    <row r="62" spans="1:65" hidden="1" x14ac:dyDescent="0.25">
      <c r="C62" s="320">
        <v>44635</v>
      </c>
      <c r="D62" s="508">
        <f>YEAR(Tabla14[[#This Row],[Fecha]])</f>
        <v>2022</v>
      </c>
      <c r="E62" s="321">
        <f>IF(Tabla14[[#This Row],[Fecha]]&gt;0,_xlfn.ISOWEEKNUM(Tabla14[[#This Row],[Fecha]]),0)</f>
        <v>11</v>
      </c>
      <c r="F62" s="74">
        <v>200</v>
      </c>
      <c r="G62" s="268" t="s">
        <v>152</v>
      </c>
      <c r="H62" s="266" t="str">
        <f>_xlfn.XLOOKUP(Tabla14[[#This Row],[Codigo Finca]],Tabla4[Codigo Finca],Tabla4[Nombre Finca],"")</f>
        <v>San Pedro</v>
      </c>
      <c r="I62" s="262">
        <f>_xlfn.XLOOKUP(Tabla14[[#This Row],[Codigo Finca]],Tabla4[Codigo Finca],Tabla4[Precio Caja],0)</f>
        <v>1500</v>
      </c>
      <c r="J62" s="262">
        <f>_xlfn.XLOOKUP(Tabla14[[#This Row],[Codigo Finca]],Tabla4[Codigo Finca],Tabla4[Precio Caja Segunda],0)</f>
        <v>1000</v>
      </c>
      <c r="K62" s="262">
        <f>_xlfn.XLOOKUP(Tabla14[[#This Row],[Codigo Finca]],Tabla4[Codigo Finca],Tabla4[Precio Rechazo],0)</f>
        <v>500</v>
      </c>
      <c r="L62" s="262">
        <f t="shared" si="13"/>
        <v>1126</v>
      </c>
      <c r="M62" s="272">
        <f t="shared" si="14"/>
        <v>5.63</v>
      </c>
      <c r="N62" s="269"/>
      <c r="O62" s="270"/>
      <c r="P62" s="251">
        <f t="shared" si="15"/>
        <v>0</v>
      </c>
      <c r="Q62" s="263">
        <f t="shared" si="16"/>
        <v>0</v>
      </c>
      <c r="R62" s="265">
        <f t="shared" si="17"/>
        <v>0</v>
      </c>
      <c r="S62" s="269">
        <v>1126</v>
      </c>
      <c r="T62" s="268">
        <v>9</v>
      </c>
      <c r="U62" s="251">
        <f t="shared" si="18"/>
        <v>200</v>
      </c>
      <c r="V62" s="263">
        <f t="shared" si="19"/>
        <v>22.222222222222221</v>
      </c>
      <c r="W62" s="322">
        <f t="shared" si="20"/>
        <v>33333.333333333336</v>
      </c>
      <c r="X62" s="269"/>
      <c r="Y62" s="268"/>
      <c r="Z62" s="251">
        <f>Tabla14[[#This Row],[Cajas Segunda]]</f>
        <v>0</v>
      </c>
      <c r="AA62" s="263">
        <f t="shared" si="21"/>
        <v>0</v>
      </c>
      <c r="AB62" s="265">
        <f t="shared" si="22"/>
        <v>0</v>
      </c>
      <c r="AC62" s="273">
        <f>4.91*9</f>
        <v>44.19</v>
      </c>
      <c r="AD62" s="271"/>
      <c r="AE62" s="271"/>
      <c r="AF62" s="271"/>
      <c r="AG62" s="271">
        <v>9</v>
      </c>
      <c r="AH62" s="251">
        <f t="shared" si="23"/>
        <v>44.19</v>
      </c>
      <c r="AI62" s="263">
        <f t="shared" si="24"/>
        <v>4.91</v>
      </c>
      <c r="AJ62" s="322">
        <f t="shared" si="25"/>
        <v>2455</v>
      </c>
      <c r="AK62" s="264">
        <f>Tabla14[[#This Row],[Cajas por Personas]]</f>
        <v>0</v>
      </c>
      <c r="AL62" s="267">
        <f>Tabla14[[#This Row],[Valor Precorte Pesona]]</f>
        <v>0</v>
      </c>
      <c r="AM62" s="294">
        <f>Tabla14[[#This Row],[Personas Precorte]]</f>
        <v>0</v>
      </c>
      <c r="AN62" s="308">
        <f>Tabla14[[#This Row],[Valor Precorte Pesona Precorte]]*Tabla14[[#This Row],[Perzonas Precorte]]</f>
        <v>0</v>
      </c>
      <c r="AO62" s="264">
        <f>Tabla14[[#This Row],[Cajas por Personas2]]</f>
        <v>22.222222222222221</v>
      </c>
      <c r="AP62" s="267">
        <f>Tabla14[[#This Row],[Valor Embarque Pesona]]</f>
        <v>33333.333333333336</v>
      </c>
      <c r="AQ62" s="295">
        <f>Tabla14[[#This Row],[Personas Precorte2]]</f>
        <v>9</v>
      </c>
      <c r="AR62" s="296">
        <f>Tabla14[[#This Row],[Valor Embarque Pesona3]]*Tabla14[[#This Row],[Perzona Primera]]</f>
        <v>300000</v>
      </c>
      <c r="AS62" s="264">
        <f>Tabla14[[#This Row],[Columna2]]</f>
        <v>0</v>
      </c>
      <c r="AT62" s="267">
        <f>Tabla14[[#This Row],[Columna1]]</f>
        <v>0</v>
      </c>
      <c r="AU62" s="302">
        <f>Tabla14[[#This Row],[Personas Intervienen]]</f>
        <v>0</v>
      </c>
      <c r="AV62" s="297">
        <f>Tabla14[[#This Row],[Valor Embarque Pesona5]]*Tabla14[[#This Row],[Presonas Segunda]]</f>
        <v>0</v>
      </c>
      <c r="AW62" s="264">
        <f>Tabla14[[#This Row],[Bolsas Por Personas]]</f>
        <v>4.91</v>
      </c>
      <c r="AX62" s="267">
        <f>Tabla14[[#This Row],[Valor bolsas Pesona]]</f>
        <v>2455</v>
      </c>
      <c r="AY62" s="290">
        <f>Tabla14[[#This Row],[Personas13]]</f>
        <v>9</v>
      </c>
      <c r="AZ62" s="323">
        <f>Tabla14[[#This Row],[Valor bolsas Pesona2]]*Tabla14[[#This Row],[Personas Rechazo]]</f>
        <v>22095</v>
      </c>
      <c r="BA62" s="324">
        <f>+Tabla14[[#This Row],[Total Valor Segunda]]+Tabla14[[#This Row],[Total Valor Primera]]+Tabla14[[#This Row],[Total Valor Precorte]]</f>
        <v>300000</v>
      </c>
      <c r="BB62" s="292">
        <f>Tabla14[[#This Row],[Valor bolsas Pesona2]]+Tabla14[[#This Row],[Valor Embarque Pesona3]]</f>
        <v>35788.333333333336</v>
      </c>
      <c r="BD62" s="292">
        <f>Tabla14[[#This Row],[VALOR GANADO]]-Tabla14[[#This Row],[REAJUSTADO]]</f>
        <v>35788.333333333336</v>
      </c>
      <c r="BE62" s="250">
        <f>Tabla14[[#This Row],[CUANTO SE REAJUSTA]]*Tabla14[[#This Row],[Personas Rechazo]]</f>
        <v>322095</v>
      </c>
      <c r="BF62" s="250">
        <f>Tabla14[[#This Row],[REAJUSTADO]]/25000</f>
        <v>0</v>
      </c>
      <c r="BG62" s="302">
        <f>Tabla14[[#This Row],[REAJUSTADO]]*Tabla14[[#This Row],[Personas Rechazo]]</f>
        <v>0</v>
      </c>
      <c r="BH62" s="292" t="str">
        <f>Tabla14[[#This Row],[Finca]]</f>
        <v>San Pedro</v>
      </c>
      <c r="BJ62" s="330">
        <f>Tabla14[[#This Row],[Numero de Ocacionales]]*Tabla14[[#This Row],[REAJUSTADO]]</f>
        <v>0</v>
      </c>
      <c r="BM62" s="330">
        <f>+Tabla14[[#This Row],[CUANTO SE REAJUSTA]]*3</f>
        <v>107365</v>
      </c>
    </row>
    <row r="63" spans="1:65" hidden="1" x14ac:dyDescent="0.25">
      <c r="C63" s="320">
        <v>44635</v>
      </c>
      <c r="D63" s="508">
        <f>YEAR(Tabla14[[#This Row],[Fecha]])</f>
        <v>2022</v>
      </c>
      <c r="E63" s="321">
        <f>IF(Tabla14[[#This Row],[Fecha]]&gt;0,_xlfn.ISOWEEKNUM(Tabla14[[#This Row],[Fecha]]),0)</f>
        <v>11</v>
      </c>
      <c r="F63" s="74">
        <v>101</v>
      </c>
      <c r="G63" s="268" t="s">
        <v>155</v>
      </c>
      <c r="H63" s="266" t="str">
        <f>_xlfn.XLOOKUP(Tabla14[[#This Row],[Codigo Finca]],Tabla4[Codigo Finca],Tabla4[Nombre Finca],"")</f>
        <v>Damaquiel</v>
      </c>
      <c r="I63" s="262">
        <f>_xlfn.XLOOKUP(Tabla14[[#This Row],[Codigo Finca]],Tabla4[Codigo Finca],Tabla4[Precio Caja],0)</f>
        <v>1500</v>
      </c>
      <c r="J63" s="262">
        <f>_xlfn.XLOOKUP(Tabla14[[#This Row],[Codigo Finca]],Tabla4[Codigo Finca],Tabla4[Precio Caja Segunda],0)</f>
        <v>1000</v>
      </c>
      <c r="K63" s="262">
        <f>_xlfn.XLOOKUP(Tabla14[[#This Row],[Codigo Finca]],Tabla4[Codigo Finca],Tabla4[Precio Rechazo],0)</f>
        <v>500</v>
      </c>
      <c r="L63" s="262">
        <f t="shared" si="13"/>
        <v>564</v>
      </c>
      <c r="M63" s="272">
        <f t="shared" si="14"/>
        <v>5.5841584158415838</v>
      </c>
      <c r="N63" s="269"/>
      <c r="O63" s="270"/>
      <c r="P63" s="251">
        <f t="shared" si="15"/>
        <v>0</v>
      </c>
      <c r="Q63" s="263">
        <f t="shared" si="16"/>
        <v>0</v>
      </c>
      <c r="R63" s="265">
        <f t="shared" si="17"/>
        <v>0</v>
      </c>
      <c r="S63" s="269">
        <v>564</v>
      </c>
      <c r="T63" s="268">
        <v>7</v>
      </c>
      <c r="U63" s="251">
        <f t="shared" si="18"/>
        <v>101</v>
      </c>
      <c r="V63" s="263">
        <f t="shared" si="19"/>
        <v>14.428571428571429</v>
      </c>
      <c r="W63" s="322">
        <f t="shared" si="20"/>
        <v>21642.857142857141</v>
      </c>
      <c r="X63" s="269"/>
      <c r="Y63" s="268"/>
      <c r="Z63" s="251">
        <f>Tabla14[[#This Row],[Cajas Segunda]]</f>
        <v>0</v>
      </c>
      <c r="AA63" s="263">
        <f t="shared" si="21"/>
        <v>0</v>
      </c>
      <c r="AB63" s="265">
        <f t="shared" si="22"/>
        <v>0</v>
      </c>
      <c r="AC63" s="273">
        <f>5.1*7</f>
        <v>35.699999999999996</v>
      </c>
      <c r="AD63" s="271"/>
      <c r="AE63" s="271"/>
      <c r="AF63" s="271"/>
      <c r="AG63" s="271">
        <v>7</v>
      </c>
      <c r="AH63" s="251">
        <f t="shared" si="23"/>
        <v>35.699999999999996</v>
      </c>
      <c r="AI63" s="263">
        <f t="shared" si="24"/>
        <v>5.0999999999999996</v>
      </c>
      <c r="AJ63" s="322">
        <f t="shared" si="25"/>
        <v>2550</v>
      </c>
      <c r="AK63" s="264">
        <f>Tabla14[[#This Row],[Cajas por Personas]]</f>
        <v>0</v>
      </c>
      <c r="AL63" s="267">
        <f>Tabla14[[#This Row],[Valor Precorte Pesona]]</f>
        <v>0</v>
      </c>
      <c r="AM63" s="294">
        <f>Tabla14[[#This Row],[Personas Precorte]]</f>
        <v>0</v>
      </c>
      <c r="AN63" s="308">
        <f>Tabla14[[#This Row],[Valor Precorte Pesona Precorte]]*Tabla14[[#This Row],[Perzonas Precorte]]</f>
        <v>0</v>
      </c>
      <c r="AO63" s="264">
        <f>Tabla14[[#This Row],[Cajas por Personas2]]</f>
        <v>14.428571428571429</v>
      </c>
      <c r="AP63" s="267">
        <f>Tabla14[[#This Row],[Valor Embarque Pesona]]</f>
        <v>21642.857142857141</v>
      </c>
      <c r="AQ63" s="295">
        <f>Tabla14[[#This Row],[Personas Precorte2]]</f>
        <v>7</v>
      </c>
      <c r="AR63" s="296">
        <f>Tabla14[[#This Row],[Valor Embarque Pesona3]]*Tabla14[[#This Row],[Perzona Primera]]</f>
        <v>151500</v>
      </c>
      <c r="AS63" s="264">
        <f>Tabla14[[#This Row],[Columna2]]</f>
        <v>0</v>
      </c>
      <c r="AT63" s="267">
        <f>Tabla14[[#This Row],[Columna1]]</f>
        <v>0</v>
      </c>
      <c r="AU63" s="302">
        <f>Tabla14[[#This Row],[Personas Intervienen]]</f>
        <v>0</v>
      </c>
      <c r="AV63" s="297">
        <f>Tabla14[[#This Row],[Valor Embarque Pesona5]]*Tabla14[[#This Row],[Presonas Segunda]]</f>
        <v>0</v>
      </c>
      <c r="AW63" s="264">
        <f>Tabla14[[#This Row],[Bolsas Por Personas]]</f>
        <v>5.0999999999999996</v>
      </c>
      <c r="AX63" s="267">
        <f>Tabla14[[#This Row],[Valor bolsas Pesona]]</f>
        <v>2550</v>
      </c>
      <c r="AY63" s="290">
        <f>Tabla14[[#This Row],[Personas13]]</f>
        <v>7</v>
      </c>
      <c r="AZ63" s="323">
        <f>Tabla14[[#This Row],[Valor bolsas Pesona2]]*Tabla14[[#This Row],[Personas Rechazo]]</f>
        <v>17850</v>
      </c>
      <c r="BA63" s="324">
        <f>+Tabla14[[#This Row],[Total Valor Segunda]]+Tabla14[[#This Row],[Total Valor Primera]]+Tabla14[[#This Row],[Total Valor Precorte]]</f>
        <v>151500</v>
      </c>
      <c r="BB63" s="292">
        <f>Tabla14[[#This Row],[Valor bolsas Pesona2]]+Tabla14[[#This Row],[Valor Embarque Pesona3]]</f>
        <v>24192.857142857141</v>
      </c>
      <c r="BD63" s="292">
        <f>Tabla14[[#This Row],[VALOR GANADO]]-Tabla14[[#This Row],[REAJUSTADO]]</f>
        <v>24192.857142857141</v>
      </c>
      <c r="BE63" s="250">
        <f>Tabla14[[#This Row],[CUANTO SE REAJUSTA]]*Tabla14[[#This Row],[Personas Rechazo]]</f>
        <v>169350</v>
      </c>
      <c r="BF63" s="250">
        <f>Tabla14[[#This Row],[REAJUSTADO]]/25000</f>
        <v>0</v>
      </c>
      <c r="BG63" s="302">
        <f>Tabla14[[#This Row],[REAJUSTADO]]*Tabla14[[#This Row],[Personas Rechazo]]</f>
        <v>0</v>
      </c>
      <c r="BH63" s="292" t="str">
        <f>Tabla14[[#This Row],[Finca]]</f>
        <v>Damaquiel</v>
      </c>
      <c r="BJ63" s="330">
        <f>Tabla14[[#This Row],[Numero de Ocacionales]]*Tabla14[[#This Row],[REAJUSTADO]]</f>
        <v>0</v>
      </c>
      <c r="BM63" s="330">
        <f>+Tabla14[[#This Row],[CUANTO SE REAJUSTA]]*3</f>
        <v>72578.57142857142</v>
      </c>
    </row>
    <row r="64" spans="1:65" hidden="1" x14ac:dyDescent="0.25">
      <c r="C64" s="320">
        <v>44636</v>
      </c>
      <c r="D64" s="508">
        <f>YEAR(Tabla14[[#This Row],[Fecha]])</f>
        <v>2022</v>
      </c>
      <c r="E64" s="321">
        <f>IF(Tabla14[[#This Row],[Fecha]]&gt;0,_xlfn.ISOWEEKNUM(Tabla14[[#This Row],[Fecha]]),0)</f>
        <v>11</v>
      </c>
      <c r="F64" s="74">
        <v>87</v>
      </c>
      <c r="G64" s="268" t="s">
        <v>153</v>
      </c>
      <c r="H64" s="266" t="str">
        <f>_xlfn.XLOOKUP(Tabla14[[#This Row],[Codigo Finca]],Tabla4[Codigo Finca],Tabla4[Nombre Finca],"")</f>
        <v>Uveros</v>
      </c>
      <c r="I64" s="262">
        <f>_xlfn.XLOOKUP(Tabla14[[#This Row],[Codigo Finca]],Tabla4[Codigo Finca],Tabla4[Precio Caja],0)</f>
        <v>1500</v>
      </c>
      <c r="J64" s="262">
        <f>_xlfn.XLOOKUP(Tabla14[[#This Row],[Codigo Finca]],Tabla4[Codigo Finca],Tabla4[Precio Caja Segunda],0)</f>
        <v>1000</v>
      </c>
      <c r="K64" s="262">
        <f>_xlfn.XLOOKUP(Tabla14[[#This Row],[Codigo Finca]],Tabla4[Codigo Finca],Tabla4[Precio Rechazo],0)</f>
        <v>500</v>
      </c>
      <c r="L64" s="262">
        <f t="shared" si="13"/>
        <v>312</v>
      </c>
      <c r="M64" s="272">
        <f t="shared" si="14"/>
        <v>3.5862068965517242</v>
      </c>
      <c r="N64" s="269"/>
      <c r="O64" s="270"/>
      <c r="P64" s="251">
        <f t="shared" si="15"/>
        <v>0</v>
      </c>
      <c r="Q64" s="263">
        <f t="shared" si="16"/>
        <v>0</v>
      </c>
      <c r="R64" s="265">
        <f t="shared" si="17"/>
        <v>0</v>
      </c>
      <c r="S64" s="269">
        <v>312</v>
      </c>
      <c r="T64" s="268">
        <v>4</v>
      </c>
      <c r="U64" s="251">
        <f t="shared" si="18"/>
        <v>87</v>
      </c>
      <c r="V64" s="263">
        <f t="shared" si="19"/>
        <v>21.75</v>
      </c>
      <c r="W64" s="322">
        <f t="shared" si="20"/>
        <v>32625</v>
      </c>
      <c r="X64" s="269"/>
      <c r="Y64" s="268"/>
      <c r="Z64" s="251">
        <f>Tabla14[[#This Row],[Cajas Segunda]]</f>
        <v>0</v>
      </c>
      <c r="AA64" s="263">
        <f t="shared" si="21"/>
        <v>0</v>
      </c>
      <c r="AB64" s="265">
        <f t="shared" si="22"/>
        <v>0</v>
      </c>
      <c r="AC64" s="273">
        <f>3.1*4</f>
        <v>12.4</v>
      </c>
      <c r="AD64" s="271"/>
      <c r="AE64" s="271"/>
      <c r="AF64" s="271"/>
      <c r="AG64" s="271">
        <v>4</v>
      </c>
      <c r="AH64" s="251">
        <f t="shared" si="23"/>
        <v>12.4</v>
      </c>
      <c r="AI64" s="263">
        <f t="shared" si="24"/>
        <v>3.1</v>
      </c>
      <c r="AJ64" s="322">
        <f t="shared" si="25"/>
        <v>1550</v>
      </c>
      <c r="AK64" s="264">
        <f>Tabla14[[#This Row],[Cajas por Personas]]</f>
        <v>0</v>
      </c>
      <c r="AL64" s="267">
        <f>Tabla14[[#This Row],[Valor Precorte Pesona]]</f>
        <v>0</v>
      </c>
      <c r="AM64" s="294">
        <f>Tabla14[[#This Row],[Personas Precorte]]</f>
        <v>0</v>
      </c>
      <c r="AN64" s="308">
        <f>Tabla14[[#This Row],[Valor Precorte Pesona Precorte]]*Tabla14[[#This Row],[Perzonas Precorte]]</f>
        <v>0</v>
      </c>
      <c r="AO64" s="264">
        <f>Tabla14[[#This Row],[Cajas por Personas2]]</f>
        <v>21.75</v>
      </c>
      <c r="AP64" s="267">
        <f>Tabla14[[#This Row],[Valor Embarque Pesona]]</f>
        <v>32625</v>
      </c>
      <c r="AQ64" s="295">
        <f>Tabla14[[#This Row],[Personas Precorte2]]</f>
        <v>4</v>
      </c>
      <c r="AR64" s="296">
        <f>Tabla14[[#This Row],[Valor Embarque Pesona3]]*Tabla14[[#This Row],[Perzona Primera]]</f>
        <v>130500</v>
      </c>
      <c r="AS64" s="264">
        <f>Tabla14[[#This Row],[Columna2]]</f>
        <v>0</v>
      </c>
      <c r="AT64" s="267">
        <f>Tabla14[[#This Row],[Columna1]]</f>
        <v>0</v>
      </c>
      <c r="AU64" s="302">
        <f>Tabla14[[#This Row],[Personas Intervienen]]</f>
        <v>0</v>
      </c>
      <c r="AV64" s="297">
        <f>Tabla14[[#This Row],[Valor Embarque Pesona5]]*Tabla14[[#This Row],[Presonas Segunda]]</f>
        <v>0</v>
      </c>
      <c r="AW64" s="264">
        <f>Tabla14[[#This Row],[Bolsas Por Personas]]</f>
        <v>3.1</v>
      </c>
      <c r="AX64" s="267">
        <f>Tabla14[[#This Row],[Valor bolsas Pesona]]</f>
        <v>1550</v>
      </c>
      <c r="AY64" s="290">
        <f>Tabla14[[#This Row],[Personas13]]</f>
        <v>4</v>
      </c>
      <c r="AZ64" s="323">
        <f>Tabla14[[#This Row],[Valor bolsas Pesona2]]*Tabla14[[#This Row],[Personas Rechazo]]</f>
        <v>6200</v>
      </c>
      <c r="BA64" s="324">
        <f>+Tabla14[[#This Row],[Total Valor Segunda]]+Tabla14[[#This Row],[Total Valor Primera]]+Tabla14[[#This Row],[Total Valor Precorte]]</f>
        <v>130500</v>
      </c>
      <c r="BB64" s="292">
        <f>Tabla14[[#This Row],[Valor bolsas Pesona2]]+Tabla14[[#This Row],[Valor Embarque Pesona3]]</f>
        <v>34175</v>
      </c>
      <c r="BD64" s="292">
        <f>Tabla14[[#This Row],[VALOR GANADO]]-Tabla14[[#This Row],[REAJUSTADO]]</f>
        <v>34175</v>
      </c>
      <c r="BE64" s="250">
        <f>Tabla14[[#This Row],[CUANTO SE REAJUSTA]]*Tabla14[[#This Row],[Personas Rechazo]]</f>
        <v>136700</v>
      </c>
      <c r="BF64" s="250">
        <f>Tabla14[[#This Row],[REAJUSTADO]]/25000</f>
        <v>0</v>
      </c>
      <c r="BG64" s="302">
        <f>Tabla14[[#This Row],[REAJUSTADO]]*Tabla14[[#This Row],[Personas Rechazo]]</f>
        <v>0</v>
      </c>
      <c r="BH64" s="292" t="str">
        <f>Tabla14[[#This Row],[Finca]]</f>
        <v>Uveros</v>
      </c>
      <c r="BJ64" s="330">
        <f>Tabla14[[#This Row],[Numero de Ocacionales]]*Tabla14[[#This Row],[REAJUSTADO]]</f>
        <v>0</v>
      </c>
      <c r="BM64" s="330">
        <f>+Tabla14[[#This Row],[CUANTO SE REAJUSTA]]*3</f>
        <v>102525</v>
      </c>
    </row>
    <row r="65" spans="3:65" hidden="1" x14ac:dyDescent="0.25">
      <c r="C65" s="274">
        <v>44636</v>
      </c>
      <c r="D65" s="507">
        <f>YEAR(Tabla14[[#This Row],[Fecha]])</f>
        <v>2022</v>
      </c>
      <c r="E65" s="313">
        <f>IF(Tabla14[[#This Row],[Fecha]]&gt;0,_xlfn.ISOWEEKNUM(Tabla14[[#This Row],[Fecha]]),0)</f>
        <v>11</v>
      </c>
      <c r="F65" s="74">
        <v>164</v>
      </c>
      <c r="G65" s="275" t="s">
        <v>152</v>
      </c>
      <c r="H65" s="325" t="str">
        <f>_xlfn.XLOOKUP(Tabla14[[#This Row],[Codigo Finca]],Tabla4[Codigo Finca],Tabla4[Nombre Finca],"")</f>
        <v>San Pedro</v>
      </c>
      <c r="I65" s="277">
        <f>_xlfn.XLOOKUP(Tabla14[[#This Row],[Codigo Finca]],Tabla4[Codigo Finca],Tabla4[Precio Caja],0)</f>
        <v>1500</v>
      </c>
      <c r="J65" s="277">
        <f>_xlfn.XLOOKUP(Tabla14[[#This Row],[Codigo Finca]],Tabla4[Codigo Finca],Tabla4[Precio Caja Segunda],0)</f>
        <v>1000</v>
      </c>
      <c r="K65" s="277">
        <f>_xlfn.XLOOKUP(Tabla14[[#This Row],[Codigo Finca]],Tabla4[Codigo Finca],Tabla4[Precio Rechazo],0)</f>
        <v>500</v>
      </c>
      <c r="L65" s="277">
        <f t="shared" si="13"/>
        <v>1266</v>
      </c>
      <c r="M65" s="278">
        <f t="shared" si="14"/>
        <v>7.7195121951219514</v>
      </c>
      <c r="N65" s="269"/>
      <c r="O65" s="270"/>
      <c r="P65" s="251">
        <f t="shared" si="15"/>
        <v>0</v>
      </c>
      <c r="Q65" s="263">
        <f t="shared" si="16"/>
        <v>0</v>
      </c>
      <c r="R65" s="265">
        <f t="shared" si="17"/>
        <v>0</v>
      </c>
      <c r="S65" s="269">
        <v>1266</v>
      </c>
      <c r="T65" s="275">
        <v>9</v>
      </c>
      <c r="U65" s="280">
        <f t="shared" si="18"/>
        <v>164</v>
      </c>
      <c r="V65" s="281">
        <f t="shared" si="19"/>
        <v>18.222222222222221</v>
      </c>
      <c r="W65" s="282">
        <f t="shared" si="20"/>
        <v>27333.333333333332</v>
      </c>
      <c r="X65" s="283"/>
      <c r="Y65" s="275"/>
      <c r="Z65" s="280">
        <f>Tabla14[[#This Row],[Cajas Segunda]]</f>
        <v>0</v>
      </c>
      <c r="AA65" s="281">
        <f t="shared" si="21"/>
        <v>0</v>
      </c>
      <c r="AB65" s="284">
        <f t="shared" si="22"/>
        <v>0</v>
      </c>
      <c r="AC65" s="285">
        <f>8.12*9</f>
        <v>73.08</v>
      </c>
      <c r="AD65" s="286"/>
      <c r="AE65" s="286"/>
      <c r="AF65" s="286"/>
      <c r="AG65" s="286">
        <v>9</v>
      </c>
      <c r="AH65" s="280">
        <f t="shared" si="23"/>
        <v>73.08</v>
      </c>
      <c r="AI65" s="281">
        <f t="shared" si="24"/>
        <v>8.1199999999999992</v>
      </c>
      <c r="AJ65" s="282">
        <f t="shared" si="25"/>
        <v>4059.9999999999995</v>
      </c>
      <c r="AK65" s="264">
        <f>Tabla14[[#This Row],[Cajas por Personas]]</f>
        <v>0</v>
      </c>
      <c r="AL65" s="267">
        <f>Tabla14[[#This Row],[Valor Precorte Pesona]]</f>
        <v>0</v>
      </c>
      <c r="AM65" s="294">
        <f>Tabla14[[#This Row],[Personas Precorte]]</f>
        <v>0</v>
      </c>
      <c r="AN65" s="308">
        <f>Tabla14[[#This Row],[Valor Precorte Pesona Precorte]]*Tabla14[[#This Row],[Perzonas Precorte]]</f>
        <v>0</v>
      </c>
      <c r="AO65" s="287">
        <f>Tabla14[[#This Row],[Cajas por Personas2]]</f>
        <v>18.222222222222221</v>
      </c>
      <c r="AP65" s="288">
        <f>Tabla14[[#This Row],[Valor Embarque Pesona]]</f>
        <v>27333.333333333332</v>
      </c>
      <c r="AQ65" s="295">
        <f>Tabla14[[#This Row],[Personas Precorte2]]</f>
        <v>9</v>
      </c>
      <c r="AR65" s="296">
        <f>Tabla14[[#This Row],[Valor Embarque Pesona3]]*Tabla14[[#This Row],[Perzona Primera]]</f>
        <v>246000</v>
      </c>
      <c r="AS65" s="287">
        <f>Tabla14[[#This Row],[Columna2]]</f>
        <v>0</v>
      </c>
      <c r="AT65" s="288">
        <f>Tabla14[[#This Row],[Columna1]]</f>
        <v>0</v>
      </c>
      <c r="AU65" s="302">
        <f>Tabla14[[#This Row],[Personas Intervienen]]</f>
        <v>0</v>
      </c>
      <c r="AV65" s="297">
        <f>Tabla14[[#This Row],[Valor Embarque Pesona5]]*Tabla14[[#This Row],[Presonas Segunda]]</f>
        <v>0</v>
      </c>
      <c r="AW65" s="287">
        <f>Tabla14[[#This Row],[Bolsas Por Personas]]</f>
        <v>8.1199999999999992</v>
      </c>
      <c r="AX65" s="288">
        <f>Tabla14[[#This Row],[Valor bolsas Pesona]]</f>
        <v>4059.9999999999995</v>
      </c>
      <c r="AY65" s="309">
        <f>Tabla14[[#This Row],[Personas13]]</f>
        <v>9</v>
      </c>
      <c r="AZ65" s="310">
        <f>Tabla14[[#This Row],[Valor bolsas Pesona2]]*Tabla14[[#This Row],[Personas Rechazo]]</f>
        <v>36539.999999999993</v>
      </c>
      <c r="BA65" s="311">
        <f>+Tabla14[[#This Row],[Total Valor Segunda]]+Tabla14[[#This Row],[Total Valor Primera]]+Tabla14[[#This Row],[Total Valor Precorte]]</f>
        <v>246000</v>
      </c>
      <c r="BB65" s="292">
        <f>Tabla14[[#This Row],[Valor bolsas Pesona2]]+Tabla14[[#This Row],[Valor Embarque Pesona3]]</f>
        <v>31393.333333333332</v>
      </c>
      <c r="BD65" s="292">
        <f>Tabla14[[#This Row],[VALOR GANADO]]-Tabla14[[#This Row],[REAJUSTADO]]</f>
        <v>31393.333333333332</v>
      </c>
      <c r="BE65" s="250">
        <f>Tabla14[[#This Row],[CUANTO SE REAJUSTA]]*Tabla14[[#This Row],[Personas Rechazo]]</f>
        <v>282540</v>
      </c>
      <c r="BF65" s="250">
        <f>Tabla14[[#This Row],[REAJUSTADO]]/25000</f>
        <v>0</v>
      </c>
      <c r="BG65" s="302">
        <f>Tabla14[[#This Row],[REAJUSTADO]]*Tabla14[[#This Row],[Personas Rechazo]]</f>
        <v>0</v>
      </c>
      <c r="BH65" s="292" t="str">
        <f>Tabla14[[#This Row],[Finca]]</f>
        <v>San Pedro</v>
      </c>
      <c r="BJ65" s="330">
        <f>Tabla14[[#This Row],[Numero de Ocacionales]]*Tabla14[[#This Row],[REAJUSTADO]]</f>
        <v>0</v>
      </c>
      <c r="BM65" s="330">
        <f>+Tabla14[[#This Row],[CUANTO SE REAJUSTA]]*3</f>
        <v>94180</v>
      </c>
    </row>
    <row r="66" spans="3:65" hidden="1" x14ac:dyDescent="0.25">
      <c r="C66" s="274">
        <v>44637</v>
      </c>
      <c r="D66" s="507">
        <f>YEAR(Tabla14[[#This Row],[Fecha]])</f>
        <v>2022</v>
      </c>
      <c r="E66" s="313">
        <f>IF(Tabla14[[#This Row],[Fecha]]&gt;0,_xlfn.ISOWEEKNUM(Tabla14[[#This Row],[Fecha]]),0)</f>
        <v>11</v>
      </c>
      <c r="F66" s="74">
        <v>200</v>
      </c>
      <c r="G66" s="275" t="s">
        <v>157</v>
      </c>
      <c r="H66" s="325" t="str">
        <f>_xlfn.XLOOKUP(Tabla14[[#This Row],[Codigo Finca]],Tabla4[Codigo Finca],Tabla4[Nombre Finca],"")</f>
        <v>Pedrito</v>
      </c>
      <c r="I66" s="277">
        <f>_xlfn.XLOOKUP(Tabla14[[#This Row],[Codigo Finca]],Tabla4[Codigo Finca],Tabla4[Precio Caja],0)</f>
        <v>2100</v>
      </c>
      <c r="J66" s="277">
        <f>_xlfn.XLOOKUP(Tabla14[[#This Row],[Codigo Finca]],Tabla4[Codigo Finca],Tabla4[Precio Caja Segunda],0)</f>
        <v>1000</v>
      </c>
      <c r="K66" s="277">
        <f>_xlfn.XLOOKUP(Tabla14[[#This Row],[Codigo Finca]],Tabla4[Codigo Finca],Tabla4[Precio Rechazo],0)</f>
        <v>500</v>
      </c>
      <c r="L66" s="277">
        <f t="shared" si="13"/>
        <v>0</v>
      </c>
      <c r="M66" s="278">
        <f t="shared" si="14"/>
        <v>0</v>
      </c>
      <c r="N66" s="269"/>
      <c r="O66" s="270"/>
      <c r="P66" s="251">
        <f t="shared" si="15"/>
        <v>0</v>
      </c>
      <c r="Q66" s="263">
        <f t="shared" si="16"/>
        <v>0</v>
      </c>
      <c r="R66" s="265">
        <f t="shared" si="17"/>
        <v>0</v>
      </c>
      <c r="S66" s="328">
        <v>0</v>
      </c>
      <c r="T66" s="275">
        <v>13</v>
      </c>
      <c r="U66" s="280">
        <f t="shared" si="18"/>
        <v>200</v>
      </c>
      <c r="V66" s="281">
        <f t="shared" si="19"/>
        <v>15.384615384615385</v>
      </c>
      <c r="W66" s="282">
        <f t="shared" si="20"/>
        <v>32307.692307692309</v>
      </c>
      <c r="X66" s="283"/>
      <c r="Y66" s="275"/>
      <c r="Z66" s="280">
        <f>Tabla14[[#This Row],[Cajas Segunda]]</f>
        <v>0</v>
      </c>
      <c r="AA66" s="281">
        <f t="shared" si="21"/>
        <v>0</v>
      </c>
      <c r="AB66" s="284">
        <f t="shared" si="22"/>
        <v>0</v>
      </c>
      <c r="AC66" s="285">
        <v>14</v>
      </c>
      <c r="AD66" s="286"/>
      <c r="AE66" s="286"/>
      <c r="AF66" s="286"/>
      <c r="AG66" s="286">
        <v>13</v>
      </c>
      <c r="AH66" s="280">
        <f t="shared" si="23"/>
        <v>14</v>
      </c>
      <c r="AI66" s="281">
        <f t="shared" si="24"/>
        <v>1.0769230769230769</v>
      </c>
      <c r="AJ66" s="282">
        <f t="shared" si="25"/>
        <v>538.46153846153845</v>
      </c>
      <c r="AK66" s="264">
        <f>Tabla14[[#This Row],[Cajas por Personas]]</f>
        <v>0</v>
      </c>
      <c r="AL66" s="267">
        <f>Tabla14[[#This Row],[Valor Precorte Pesona]]</f>
        <v>0</v>
      </c>
      <c r="AM66" s="294">
        <f>Tabla14[[#This Row],[Personas Precorte]]</f>
        <v>0</v>
      </c>
      <c r="AN66" s="308">
        <f>Tabla14[[#This Row],[Valor Precorte Pesona Precorte]]*Tabla14[[#This Row],[Perzonas Precorte]]</f>
        <v>0</v>
      </c>
      <c r="AO66" s="287">
        <f>Tabla14[[#This Row],[Cajas por Personas2]]</f>
        <v>15.384615384615385</v>
      </c>
      <c r="AP66" s="288">
        <f>Tabla14[[#This Row],[Valor Embarque Pesona]]</f>
        <v>32307.692307692309</v>
      </c>
      <c r="AQ66" s="295">
        <f>Tabla14[[#This Row],[Personas Precorte2]]</f>
        <v>13</v>
      </c>
      <c r="AR66" s="296">
        <f>Tabla14[[#This Row],[Valor Embarque Pesona3]]*Tabla14[[#This Row],[Perzona Primera]]</f>
        <v>420000</v>
      </c>
      <c r="AS66" s="287">
        <f>Tabla14[[#This Row],[Columna2]]</f>
        <v>0</v>
      </c>
      <c r="AT66" s="288">
        <f>Tabla14[[#This Row],[Columna1]]</f>
        <v>0</v>
      </c>
      <c r="AU66" s="302">
        <f>Tabla14[[#This Row],[Personas Intervienen]]</f>
        <v>0</v>
      </c>
      <c r="AV66" s="297">
        <f>Tabla14[[#This Row],[Valor Embarque Pesona5]]*Tabla14[[#This Row],[Presonas Segunda]]</f>
        <v>0</v>
      </c>
      <c r="AW66" s="287">
        <f>Tabla14[[#This Row],[Bolsas Por Personas]]</f>
        <v>1.0769230769230769</v>
      </c>
      <c r="AX66" s="288">
        <f>Tabla14[[#This Row],[Valor bolsas Pesona]]</f>
        <v>538.46153846153845</v>
      </c>
      <c r="AY66" s="309">
        <f>Tabla14[[#This Row],[Personas13]]</f>
        <v>13</v>
      </c>
      <c r="AZ66" s="310">
        <f>Tabla14[[#This Row],[Valor bolsas Pesona2]]*Tabla14[[#This Row],[Personas Rechazo]]</f>
        <v>7000</v>
      </c>
      <c r="BA66" s="311">
        <f>+Tabla14[[#This Row],[Total Valor Segunda]]+Tabla14[[#This Row],[Total Valor Primera]]+Tabla14[[#This Row],[Total Valor Precorte]]</f>
        <v>420000</v>
      </c>
      <c r="BB66" s="292">
        <f>Tabla14[[#This Row],[Valor bolsas Pesona2]]+Tabla14[[#This Row],[Valor Embarque Pesona3]]</f>
        <v>32846.153846153844</v>
      </c>
      <c r="BD66" s="292">
        <f>Tabla14[[#This Row],[VALOR GANADO]]-Tabla14[[#This Row],[REAJUSTADO]]</f>
        <v>32846.153846153844</v>
      </c>
      <c r="BE66" s="250">
        <f>Tabla14[[#This Row],[CUANTO SE REAJUSTA]]*Tabla14[[#This Row],[Personas Rechazo]]</f>
        <v>427000</v>
      </c>
      <c r="BF66" s="250">
        <f>Tabla14[[#This Row],[REAJUSTADO]]/25000</f>
        <v>0</v>
      </c>
      <c r="BG66" s="302">
        <f>Tabla14[[#This Row],[REAJUSTADO]]*Tabla14[[#This Row],[Personas Rechazo]]</f>
        <v>0</v>
      </c>
      <c r="BH66" s="292" t="str">
        <f>Tabla14[[#This Row],[Finca]]</f>
        <v>Pedrito</v>
      </c>
      <c r="BJ66" s="330">
        <f>Tabla14[[#This Row],[Numero de Ocacionales]]*Tabla14[[#This Row],[REAJUSTADO]]</f>
        <v>0</v>
      </c>
      <c r="BM66" s="330">
        <f>+Tabla14[[#This Row],[CUANTO SE REAJUSTA]]*3</f>
        <v>98538.461538461532</v>
      </c>
    </row>
    <row r="67" spans="3:65" hidden="1" x14ac:dyDescent="0.25">
      <c r="C67" s="274">
        <v>44642</v>
      </c>
      <c r="D67" s="507">
        <f>YEAR(Tabla14[[#This Row],[Fecha]])</f>
        <v>2022</v>
      </c>
      <c r="E67" s="313">
        <f>IF(Tabla14[[#This Row],[Fecha]]&gt;0,_xlfn.ISOWEEKNUM(Tabla14[[#This Row],[Fecha]]),0)</f>
        <v>12</v>
      </c>
      <c r="F67" s="283">
        <v>180</v>
      </c>
      <c r="G67" s="275" t="s">
        <v>157</v>
      </c>
      <c r="H67" s="325" t="str">
        <f>_xlfn.XLOOKUP(Tabla14[[#This Row],[Codigo Finca]],Tabla4[Codigo Finca],Tabla4[Nombre Finca],"")</f>
        <v>Pedrito</v>
      </c>
      <c r="I67" s="277">
        <f>_xlfn.XLOOKUP(Tabla14[[#This Row],[Codigo Finca]],Tabla4[Codigo Finca],Tabla4[Precio Caja],0)</f>
        <v>2100</v>
      </c>
      <c r="J67" s="277">
        <f>_xlfn.XLOOKUP(Tabla14[[#This Row],[Codigo Finca]],Tabla4[Codigo Finca],Tabla4[Precio Caja Segunda],0)</f>
        <v>1000</v>
      </c>
      <c r="K67" s="277">
        <f>_xlfn.XLOOKUP(Tabla14[[#This Row],[Codigo Finca]],Tabla4[Codigo Finca],Tabla4[Precio Rechazo],0)</f>
        <v>500</v>
      </c>
      <c r="L67" s="277">
        <f t="shared" si="13"/>
        <v>878</v>
      </c>
      <c r="M67" s="278">
        <f t="shared" si="14"/>
        <v>4.8777777777777782</v>
      </c>
      <c r="N67" s="269"/>
      <c r="O67" s="270"/>
      <c r="P67" s="251">
        <f t="shared" si="15"/>
        <v>0</v>
      </c>
      <c r="Q67" s="263">
        <f t="shared" si="16"/>
        <v>0</v>
      </c>
      <c r="R67" s="265">
        <f t="shared" si="17"/>
        <v>0</v>
      </c>
      <c r="S67" s="283">
        <v>878</v>
      </c>
      <c r="T67" s="275">
        <v>11</v>
      </c>
      <c r="U67" s="280">
        <f t="shared" si="18"/>
        <v>180</v>
      </c>
      <c r="V67" s="281">
        <f t="shared" si="19"/>
        <v>16.363636363636363</v>
      </c>
      <c r="W67" s="282">
        <f t="shared" si="20"/>
        <v>34363.63636363636</v>
      </c>
      <c r="X67" s="283"/>
      <c r="Y67" s="275"/>
      <c r="Z67" s="280">
        <f>Tabla14[[#This Row],[Cajas Segunda]]</f>
        <v>0</v>
      </c>
      <c r="AA67" s="281">
        <f t="shared" si="21"/>
        <v>0</v>
      </c>
      <c r="AB67" s="284">
        <f t="shared" si="22"/>
        <v>0</v>
      </c>
      <c r="AC67" s="285">
        <f>4.94*11</f>
        <v>54.34</v>
      </c>
      <c r="AD67" s="286"/>
      <c r="AE67" s="286"/>
      <c r="AF67" s="286"/>
      <c r="AG67" s="286">
        <v>11</v>
      </c>
      <c r="AH67" s="280">
        <f t="shared" si="23"/>
        <v>54.34</v>
      </c>
      <c r="AI67" s="281">
        <f t="shared" si="24"/>
        <v>4.9400000000000004</v>
      </c>
      <c r="AJ67" s="282">
        <f t="shared" si="25"/>
        <v>2470</v>
      </c>
      <c r="AK67" s="264">
        <f>Tabla14[[#This Row],[Cajas por Personas]]</f>
        <v>0</v>
      </c>
      <c r="AL67" s="267">
        <f>Tabla14[[#This Row],[Valor Precorte Pesona]]</f>
        <v>0</v>
      </c>
      <c r="AM67" s="294">
        <f>Tabla14[[#This Row],[Personas Precorte]]</f>
        <v>0</v>
      </c>
      <c r="AN67" s="308">
        <f>Tabla14[[#This Row],[Valor Precorte Pesona Precorte]]*Tabla14[[#This Row],[Perzonas Precorte]]</f>
        <v>0</v>
      </c>
      <c r="AO67" s="287">
        <f>Tabla14[[#This Row],[Cajas por Personas2]]</f>
        <v>16.363636363636363</v>
      </c>
      <c r="AP67" s="288">
        <f>Tabla14[[#This Row],[Valor Embarque Pesona]]</f>
        <v>34363.63636363636</v>
      </c>
      <c r="AQ67" s="295">
        <f>Tabla14[[#This Row],[Personas Precorte2]]</f>
        <v>11</v>
      </c>
      <c r="AR67" s="296">
        <f>Tabla14[[#This Row],[Valor Embarque Pesona3]]*Tabla14[[#This Row],[Perzona Primera]]</f>
        <v>377999.99999999994</v>
      </c>
      <c r="AS67" s="287">
        <f>Tabla14[[#This Row],[Columna2]]</f>
        <v>0</v>
      </c>
      <c r="AT67" s="288">
        <f>Tabla14[[#This Row],[Columna1]]</f>
        <v>0</v>
      </c>
      <c r="AU67" s="302">
        <f>Tabla14[[#This Row],[Personas Intervienen]]</f>
        <v>0</v>
      </c>
      <c r="AV67" s="297">
        <f>Tabla14[[#This Row],[Valor Embarque Pesona5]]*Tabla14[[#This Row],[Presonas Segunda]]</f>
        <v>0</v>
      </c>
      <c r="AW67" s="287">
        <f>Tabla14[[#This Row],[Bolsas Por Personas]]</f>
        <v>4.9400000000000004</v>
      </c>
      <c r="AX67" s="288">
        <f>Tabla14[[#This Row],[Valor bolsas Pesona]]</f>
        <v>2470</v>
      </c>
      <c r="AY67" s="309">
        <f>Tabla14[[#This Row],[Personas13]]</f>
        <v>11</v>
      </c>
      <c r="AZ67" s="310">
        <f>Tabla14[[#This Row],[Valor bolsas Pesona2]]*Tabla14[[#This Row],[Personas Rechazo]]</f>
        <v>27170</v>
      </c>
      <c r="BA67" s="311">
        <f>+Tabla14[[#This Row],[Total Valor Segunda]]+Tabla14[[#This Row],[Total Valor Primera]]+Tabla14[[#This Row],[Total Valor Precorte]]</f>
        <v>377999.99999999994</v>
      </c>
      <c r="BB67" s="292">
        <f>Tabla14[[#This Row],[Valor bolsas Pesona2]]+Tabla14[[#This Row],[Valor Embarque Pesona3]]</f>
        <v>36833.63636363636</v>
      </c>
      <c r="BC67" s="332">
        <v>9</v>
      </c>
      <c r="BD67" s="292">
        <f>Tabla14[[#This Row],[VALOR GANADO]]-Tabla14[[#This Row],[REAJUSTADO]]</f>
        <v>36824.63636363636</v>
      </c>
      <c r="BE67" s="250">
        <f>Tabla14[[#This Row],[CUANTO SE REAJUSTA]]*Tabla14[[#This Row],[Personas Rechazo]]</f>
        <v>405070.99999999994</v>
      </c>
      <c r="BF67" s="250">
        <f>Tabla14[[#This Row],[REAJUSTADO]]/25000</f>
        <v>3.6000000000000002E-4</v>
      </c>
      <c r="BG67" s="302">
        <f>Tabla14[[#This Row],[REAJUSTADO]]*Tabla14[[#This Row],[Personas Rechazo]]</f>
        <v>99</v>
      </c>
      <c r="BH67" s="292" t="str">
        <f>Tabla14[[#This Row],[Finca]]</f>
        <v>Pedrito</v>
      </c>
      <c r="BJ67" s="330">
        <f>Tabla14[[#This Row],[Numero de Ocacionales]]*Tabla14[[#This Row],[REAJUSTADO]]</f>
        <v>0</v>
      </c>
      <c r="BM67" s="330">
        <f>+Tabla14[[#This Row],[CUANTO SE REAJUSTA]]*3</f>
        <v>110473.90909090909</v>
      </c>
    </row>
    <row r="68" spans="3:65" hidden="1" x14ac:dyDescent="0.25">
      <c r="C68" s="274">
        <v>44642</v>
      </c>
      <c r="D68" s="507">
        <f>YEAR(Tabla14[[#This Row],[Fecha]])</f>
        <v>2022</v>
      </c>
      <c r="E68" s="313">
        <f>IF(Tabla14[[#This Row],[Fecha]]&gt;0,_xlfn.ISOWEEKNUM(Tabla14[[#This Row],[Fecha]]),0)</f>
        <v>12</v>
      </c>
      <c r="F68" s="283">
        <v>119</v>
      </c>
      <c r="G68" s="275" t="s">
        <v>155</v>
      </c>
      <c r="H68" s="325" t="str">
        <f>_xlfn.XLOOKUP(Tabla14[[#This Row],[Codigo Finca]],Tabla4[Codigo Finca],Tabla4[Nombre Finca],"")</f>
        <v>Damaquiel</v>
      </c>
      <c r="I68" s="277">
        <f>_xlfn.XLOOKUP(Tabla14[[#This Row],[Codigo Finca]],Tabla4[Codigo Finca],Tabla4[Precio Caja],0)</f>
        <v>1500</v>
      </c>
      <c r="J68" s="277">
        <f>_xlfn.XLOOKUP(Tabla14[[#This Row],[Codigo Finca]],Tabla4[Codigo Finca],Tabla4[Precio Caja Segunda],0)</f>
        <v>1000</v>
      </c>
      <c r="K68" s="277">
        <f>_xlfn.XLOOKUP(Tabla14[[#This Row],[Codigo Finca]],Tabla4[Codigo Finca],Tabla4[Precio Rechazo],0)</f>
        <v>500</v>
      </c>
      <c r="L68" s="277">
        <f t="shared" si="13"/>
        <v>467</v>
      </c>
      <c r="M68" s="278">
        <f t="shared" si="14"/>
        <v>3.9243697478991595</v>
      </c>
      <c r="N68" s="269"/>
      <c r="O68" s="270"/>
      <c r="P68" s="251">
        <f t="shared" si="15"/>
        <v>0</v>
      </c>
      <c r="Q68" s="263">
        <f t="shared" si="16"/>
        <v>0</v>
      </c>
      <c r="R68" s="265">
        <f t="shared" si="17"/>
        <v>0</v>
      </c>
      <c r="S68" s="283">
        <v>467</v>
      </c>
      <c r="T68" s="275">
        <v>6</v>
      </c>
      <c r="U68" s="280">
        <f t="shared" si="18"/>
        <v>119</v>
      </c>
      <c r="V68" s="281">
        <f t="shared" si="19"/>
        <v>19.833333333333332</v>
      </c>
      <c r="W68" s="282">
        <f t="shared" si="20"/>
        <v>29750</v>
      </c>
      <c r="X68" s="283"/>
      <c r="Y68" s="275"/>
      <c r="Z68" s="280">
        <f>Tabla14[[#This Row],[Cajas Segunda]]</f>
        <v>0</v>
      </c>
      <c r="AA68" s="281">
        <f t="shared" si="21"/>
        <v>0</v>
      </c>
      <c r="AB68" s="284">
        <f t="shared" si="22"/>
        <v>0</v>
      </c>
      <c r="AC68" s="285"/>
      <c r="AD68" s="286">
        <v>680</v>
      </c>
      <c r="AE68" s="286"/>
      <c r="AF68" s="286"/>
      <c r="AG68" s="286">
        <v>6</v>
      </c>
      <c r="AH68" s="280">
        <f t="shared" si="23"/>
        <v>27.2</v>
      </c>
      <c r="AI68" s="281">
        <f t="shared" si="24"/>
        <v>4.5333333333333332</v>
      </c>
      <c r="AJ68" s="282">
        <f t="shared" si="25"/>
        <v>2266.6666666666665</v>
      </c>
      <c r="AK68" s="264">
        <f>Tabla14[[#This Row],[Cajas por Personas]]</f>
        <v>0</v>
      </c>
      <c r="AL68" s="267">
        <f>Tabla14[[#This Row],[Valor Precorte Pesona]]</f>
        <v>0</v>
      </c>
      <c r="AM68" s="294">
        <f>Tabla14[[#This Row],[Personas Precorte]]</f>
        <v>0</v>
      </c>
      <c r="AN68" s="308">
        <f>Tabla14[[#This Row],[Valor Precorte Pesona Precorte]]*Tabla14[[#This Row],[Perzonas Precorte]]</f>
        <v>0</v>
      </c>
      <c r="AO68" s="287">
        <f>Tabla14[[#This Row],[Cajas por Personas2]]</f>
        <v>19.833333333333332</v>
      </c>
      <c r="AP68" s="288">
        <f>Tabla14[[#This Row],[Valor Embarque Pesona]]</f>
        <v>29750</v>
      </c>
      <c r="AQ68" s="295">
        <f>Tabla14[[#This Row],[Personas Precorte2]]</f>
        <v>6</v>
      </c>
      <c r="AR68" s="296">
        <f>Tabla14[[#This Row],[Valor Embarque Pesona3]]*Tabla14[[#This Row],[Perzona Primera]]</f>
        <v>178500</v>
      </c>
      <c r="AS68" s="287">
        <f>Tabla14[[#This Row],[Columna2]]</f>
        <v>0</v>
      </c>
      <c r="AT68" s="288">
        <f>Tabla14[[#This Row],[Columna1]]</f>
        <v>0</v>
      </c>
      <c r="AU68" s="302">
        <f>Tabla14[[#This Row],[Personas Intervienen]]</f>
        <v>0</v>
      </c>
      <c r="AV68" s="297">
        <f>Tabla14[[#This Row],[Valor Embarque Pesona5]]*Tabla14[[#This Row],[Presonas Segunda]]</f>
        <v>0</v>
      </c>
      <c r="AW68" s="287">
        <f>Tabla14[[#This Row],[Bolsas Por Personas]]</f>
        <v>4.5333333333333332</v>
      </c>
      <c r="AX68" s="288">
        <f>Tabla14[[#This Row],[Valor bolsas Pesona]]</f>
        <v>2266.6666666666665</v>
      </c>
      <c r="AY68" s="309">
        <f>Tabla14[[#This Row],[Personas13]]</f>
        <v>6</v>
      </c>
      <c r="AZ68" s="310">
        <f>Tabla14[[#This Row],[Valor bolsas Pesona2]]*Tabla14[[#This Row],[Personas Rechazo]]</f>
        <v>13600</v>
      </c>
      <c r="BA68" s="311">
        <f>+Tabla14[[#This Row],[Total Valor Segunda]]+Tabla14[[#This Row],[Total Valor Primera]]+Tabla14[[#This Row],[Total Valor Precorte]]</f>
        <v>178500</v>
      </c>
      <c r="BB68" s="292">
        <f>Tabla14[[#This Row],[Valor bolsas Pesona2]]+Tabla14[[#This Row],[Valor Embarque Pesona3]]</f>
        <v>32016.666666666668</v>
      </c>
      <c r="BD68" s="292">
        <f>Tabla14[[#This Row],[VALOR GANADO]]-Tabla14[[#This Row],[REAJUSTADO]]</f>
        <v>32016.666666666668</v>
      </c>
      <c r="BE68" s="250">
        <f>Tabla14[[#This Row],[CUANTO SE REAJUSTA]]*Tabla14[[#This Row],[Personas Rechazo]]</f>
        <v>192100</v>
      </c>
      <c r="BF68" s="250">
        <f>Tabla14[[#This Row],[REAJUSTADO]]/25000</f>
        <v>0</v>
      </c>
      <c r="BG68" s="302">
        <f>Tabla14[[#This Row],[REAJUSTADO]]*Tabla14[[#This Row],[Personas Rechazo]]</f>
        <v>0</v>
      </c>
      <c r="BH68" s="292" t="str">
        <f>Tabla14[[#This Row],[Finca]]</f>
        <v>Damaquiel</v>
      </c>
      <c r="BJ68" s="330">
        <f>Tabla14[[#This Row],[Numero de Ocacionales]]*Tabla14[[#This Row],[REAJUSTADO]]</f>
        <v>0</v>
      </c>
      <c r="BM68" s="330">
        <f>+Tabla14[[#This Row],[CUANTO SE REAJUSTA]]*3</f>
        <v>96050</v>
      </c>
    </row>
    <row r="69" spans="3:65" hidden="1" x14ac:dyDescent="0.25">
      <c r="C69" s="320">
        <v>44643</v>
      </c>
      <c r="D69" s="508">
        <f>YEAR(Tabla14[[#This Row],[Fecha]])</f>
        <v>2022</v>
      </c>
      <c r="E69" s="321">
        <f>IF(Tabla14[[#This Row],[Fecha]]&gt;0,_xlfn.ISOWEEKNUM(Tabla14[[#This Row],[Fecha]]),0)</f>
        <v>12</v>
      </c>
      <c r="F69" s="269">
        <v>384</v>
      </c>
      <c r="G69" s="268" t="s">
        <v>152</v>
      </c>
      <c r="H69" s="266" t="str">
        <f>_xlfn.XLOOKUP(Tabla14[[#This Row],[Codigo Finca]],Tabla4[Codigo Finca],Tabla4[Nombre Finca],"")</f>
        <v>San Pedro</v>
      </c>
      <c r="I69" s="262">
        <f>_xlfn.XLOOKUP(Tabla14[[#This Row],[Codigo Finca]],Tabla4[Codigo Finca],Tabla4[Precio Caja],0)</f>
        <v>1500</v>
      </c>
      <c r="J69" s="262">
        <f>_xlfn.XLOOKUP(Tabla14[[#This Row],[Codigo Finca]],Tabla4[Codigo Finca],Tabla4[Precio Caja Segunda],0)</f>
        <v>1000</v>
      </c>
      <c r="K69" s="262">
        <f>_xlfn.XLOOKUP(Tabla14[[#This Row],[Codigo Finca]],Tabla4[Codigo Finca],Tabla4[Precio Rechazo],0)</f>
        <v>500</v>
      </c>
      <c r="L69" s="262">
        <f t="shared" si="13"/>
        <v>1116</v>
      </c>
      <c r="M69" s="272">
        <f t="shared" si="14"/>
        <v>2.90625</v>
      </c>
      <c r="N69" s="269"/>
      <c r="O69" s="270"/>
      <c r="P69" s="251">
        <f t="shared" si="15"/>
        <v>0</v>
      </c>
      <c r="Q69" s="263">
        <f t="shared" si="16"/>
        <v>0</v>
      </c>
      <c r="R69" s="265">
        <f t="shared" si="17"/>
        <v>0</v>
      </c>
      <c r="S69" s="269">
        <v>1116</v>
      </c>
      <c r="T69" s="268">
        <v>18</v>
      </c>
      <c r="U69" s="251">
        <f t="shared" si="18"/>
        <v>384</v>
      </c>
      <c r="V69" s="263">
        <f t="shared" si="19"/>
        <v>21.333333333333332</v>
      </c>
      <c r="W69" s="322">
        <f t="shared" si="20"/>
        <v>32000</v>
      </c>
      <c r="X69" s="269"/>
      <c r="Y69" s="268"/>
      <c r="Z69" s="251">
        <f>Tabla14[[#This Row],[Cajas Segunda]]</f>
        <v>0</v>
      </c>
      <c r="AA69" s="263">
        <f t="shared" si="21"/>
        <v>0</v>
      </c>
      <c r="AB69" s="265">
        <f t="shared" si="22"/>
        <v>0</v>
      </c>
      <c r="AC69" s="273"/>
      <c r="AD69" s="271"/>
      <c r="AE69" s="271">
        <v>32</v>
      </c>
      <c r="AF69" s="271">
        <v>85</v>
      </c>
      <c r="AG69" s="271">
        <v>18</v>
      </c>
      <c r="AH69" s="251">
        <f t="shared" si="23"/>
        <v>108.8</v>
      </c>
      <c r="AI69" s="263">
        <f t="shared" si="24"/>
        <v>6.0444444444444443</v>
      </c>
      <c r="AJ69" s="322">
        <f t="shared" si="25"/>
        <v>3022.2222222222222</v>
      </c>
      <c r="AK69" s="264">
        <f>Tabla14[[#This Row],[Cajas por Personas]]</f>
        <v>0</v>
      </c>
      <c r="AL69" s="267">
        <f>Tabla14[[#This Row],[Valor Precorte Pesona]]</f>
        <v>0</v>
      </c>
      <c r="AM69" s="294">
        <f>Tabla14[[#This Row],[Personas Precorte]]</f>
        <v>0</v>
      </c>
      <c r="AN69" s="308">
        <f>Tabla14[[#This Row],[Valor Precorte Pesona Precorte]]*Tabla14[[#This Row],[Perzonas Precorte]]</f>
        <v>0</v>
      </c>
      <c r="AO69" s="264">
        <f>Tabla14[[#This Row],[Cajas por Personas2]]</f>
        <v>21.333333333333332</v>
      </c>
      <c r="AP69" s="267">
        <f>Tabla14[[#This Row],[Valor Embarque Pesona]]</f>
        <v>32000</v>
      </c>
      <c r="AQ69" s="295">
        <f>Tabla14[[#This Row],[Personas Precorte2]]</f>
        <v>18</v>
      </c>
      <c r="AR69" s="296">
        <f>Tabla14[[#This Row],[Valor Embarque Pesona3]]*Tabla14[[#This Row],[Perzona Primera]]</f>
        <v>576000</v>
      </c>
      <c r="AS69" s="264">
        <f>Tabla14[[#This Row],[Columna2]]</f>
        <v>0</v>
      </c>
      <c r="AT69" s="267">
        <f>Tabla14[[#This Row],[Columna1]]</f>
        <v>0</v>
      </c>
      <c r="AU69" s="302">
        <f>Tabla14[[#This Row],[Personas Intervienen]]</f>
        <v>0</v>
      </c>
      <c r="AV69" s="297">
        <f>Tabla14[[#This Row],[Valor Embarque Pesona5]]*Tabla14[[#This Row],[Presonas Segunda]]</f>
        <v>0</v>
      </c>
      <c r="AW69" s="264">
        <f>Tabla14[[#This Row],[Bolsas Por Personas]]</f>
        <v>6.0444444444444443</v>
      </c>
      <c r="AX69" s="267">
        <f>Tabla14[[#This Row],[Valor bolsas Pesona]]</f>
        <v>3022.2222222222222</v>
      </c>
      <c r="AY69" s="290">
        <f>Tabla14[[#This Row],[Personas13]]</f>
        <v>18</v>
      </c>
      <c r="AZ69" s="323">
        <f>Tabla14[[#This Row],[Valor bolsas Pesona2]]*Tabla14[[#This Row],[Personas Rechazo]]</f>
        <v>54400</v>
      </c>
      <c r="BA69" s="324">
        <f>+Tabla14[[#This Row],[Total Valor Segunda]]+Tabla14[[#This Row],[Total Valor Primera]]+Tabla14[[#This Row],[Total Valor Precorte]]</f>
        <v>576000</v>
      </c>
      <c r="BB69" s="292">
        <v>35000</v>
      </c>
      <c r="BC69" s="332">
        <v>16</v>
      </c>
      <c r="BD69" s="292">
        <f>Tabla14[[#This Row],[VALOR GANADO]]-Tabla14[[#This Row],[REAJUSTADO]]</f>
        <v>34984</v>
      </c>
      <c r="BE69" s="250">
        <f>Tabla14[[#This Row],[CUANTO SE REAJUSTA]]*Tabla14[[#This Row],[Personas Rechazo]]</f>
        <v>629712</v>
      </c>
      <c r="BF69" s="250">
        <f>Tabla14[[#This Row],[REAJUSTADO]]/25000</f>
        <v>6.4000000000000005E-4</v>
      </c>
      <c r="BG69" s="302">
        <f>Tabla14[[#This Row],[REAJUSTADO]]*Tabla14[[#This Row],[Personas Rechazo]]</f>
        <v>288</v>
      </c>
      <c r="BH69" s="292" t="str">
        <f>Tabla14[[#This Row],[Finca]]</f>
        <v>San Pedro</v>
      </c>
      <c r="BJ69" s="330">
        <f>Tabla14[[#This Row],[Numero de Ocacionales]]*Tabla14[[#This Row],[REAJUSTADO]]</f>
        <v>0</v>
      </c>
      <c r="BM69" s="330">
        <f>+Tabla14[[#This Row],[CUANTO SE REAJUSTA]]*3</f>
        <v>104952</v>
      </c>
    </row>
    <row r="70" spans="3:65" hidden="1" x14ac:dyDescent="0.25">
      <c r="C70" s="320">
        <v>44643</v>
      </c>
      <c r="D70" s="508">
        <f>YEAR(Tabla14[[#This Row],[Fecha]])</f>
        <v>2022</v>
      </c>
      <c r="E70" s="321">
        <f>IF(Tabla14[[#This Row],[Fecha]]&gt;0,_xlfn.ISOWEEKNUM(Tabla14[[#This Row],[Fecha]]),0)</f>
        <v>12</v>
      </c>
      <c r="F70" s="269">
        <v>123</v>
      </c>
      <c r="G70" s="268" t="s">
        <v>153</v>
      </c>
      <c r="H70" s="266" t="str">
        <f>_xlfn.XLOOKUP(Tabla14[[#This Row],[Codigo Finca]],Tabla4[Codigo Finca],Tabla4[Nombre Finca],"")</f>
        <v>Uveros</v>
      </c>
      <c r="I70" s="262">
        <f>_xlfn.XLOOKUP(Tabla14[[#This Row],[Codigo Finca]],Tabla4[Codigo Finca],Tabla4[Precio Caja],0)</f>
        <v>1500</v>
      </c>
      <c r="J70" s="262">
        <f>_xlfn.XLOOKUP(Tabla14[[#This Row],[Codigo Finca]],Tabla4[Codigo Finca],Tabla4[Precio Caja Segunda],0)</f>
        <v>1000</v>
      </c>
      <c r="K70" s="262">
        <f>_xlfn.XLOOKUP(Tabla14[[#This Row],[Codigo Finca]],Tabla4[Codigo Finca],Tabla4[Precio Rechazo],0)</f>
        <v>500</v>
      </c>
      <c r="L70" s="262">
        <f t="shared" si="13"/>
        <v>411</v>
      </c>
      <c r="M70" s="272">
        <f t="shared" si="14"/>
        <v>3.3414634146341462</v>
      </c>
      <c r="N70" s="269"/>
      <c r="O70" s="270"/>
      <c r="P70" s="251">
        <f t="shared" si="15"/>
        <v>0</v>
      </c>
      <c r="Q70" s="263">
        <f t="shared" si="16"/>
        <v>0</v>
      </c>
      <c r="R70" s="265">
        <f t="shared" si="17"/>
        <v>0</v>
      </c>
      <c r="S70" s="269">
        <v>411</v>
      </c>
      <c r="T70" s="268">
        <v>7</v>
      </c>
      <c r="U70" s="251">
        <f t="shared" si="18"/>
        <v>123</v>
      </c>
      <c r="V70" s="263">
        <f t="shared" si="19"/>
        <v>17.571428571428573</v>
      </c>
      <c r="W70" s="322">
        <f t="shared" si="20"/>
        <v>26357.142857142859</v>
      </c>
      <c r="X70" s="269"/>
      <c r="Y70" s="268"/>
      <c r="Z70" s="251">
        <f>Tabla14[[#This Row],[Cajas Segunda]]</f>
        <v>0</v>
      </c>
      <c r="AA70" s="263">
        <f t="shared" si="21"/>
        <v>0</v>
      </c>
      <c r="AB70" s="265">
        <f t="shared" si="22"/>
        <v>0</v>
      </c>
      <c r="AC70" s="273"/>
      <c r="AD70" s="271">
        <v>340</v>
      </c>
      <c r="AE70" s="271"/>
      <c r="AF70" s="271"/>
      <c r="AG70" s="271">
        <v>7</v>
      </c>
      <c r="AH70" s="251">
        <f t="shared" si="23"/>
        <v>13.6</v>
      </c>
      <c r="AI70" s="263">
        <f t="shared" si="24"/>
        <v>1.9428571428571428</v>
      </c>
      <c r="AJ70" s="322">
        <f t="shared" si="25"/>
        <v>971.42857142857144</v>
      </c>
      <c r="AK70" s="264">
        <f>Tabla14[[#This Row],[Cajas por Personas]]</f>
        <v>0</v>
      </c>
      <c r="AL70" s="267">
        <f>Tabla14[[#This Row],[Valor Precorte Pesona]]</f>
        <v>0</v>
      </c>
      <c r="AM70" s="294">
        <f>Tabla14[[#This Row],[Personas Precorte]]</f>
        <v>0</v>
      </c>
      <c r="AN70" s="308">
        <f>Tabla14[[#This Row],[Valor Precorte Pesona Precorte]]*Tabla14[[#This Row],[Perzonas Precorte]]</f>
        <v>0</v>
      </c>
      <c r="AO70" s="264">
        <f>Tabla14[[#This Row],[Cajas por Personas2]]</f>
        <v>17.571428571428573</v>
      </c>
      <c r="AP70" s="267">
        <f>Tabla14[[#This Row],[Valor Embarque Pesona]]</f>
        <v>26357.142857142859</v>
      </c>
      <c r="AQ70" s="295">
        <f>Tabla14[[#This Row],[Personas Precorte2]]</f>
        <v>7</v>
      </c>
      <c r="AR70" s="296">
        <f>Tabla14[[#This Row],[Valor Embarque Pesona3]]*Tabla14[[#This Row],[Perzona Primera]]</f>
        <v>184500</v>
      </c>
      <c r="AS70" s="264">
        <f>Tabla14[[#This Row],[Columna2]]</f>
        <v>0</v>
      </c>
      <c r="AT70" s="267">
        <f>Tabla14[[#This Row],[Columna1]]</f>
        <v>0</v>
      </c>
      <c r="AU70" s="302">
        <f>Tabla14[[#This Row],[Personas Intervienen]]</f>
        <v>0</v>
      </c>
      <c r="AV70" s="297">
        <f>Tabla14[[#This Row],[Valor Embarque Pesona5]]*Tabla14[[#This Row],[Presonas Segunda]]</f>
        <v>0</v>
      </c>
      <c r="AW70" s="264">
        <f>Tabla14[[#This Row],[Bolsas Por Personas]]</f>
        <v>1.9428571428571428</v>
      </c>
      <c r="AX70" s="267">
        <f>Tabla14[[#This Row],[Valor bolsas Pesona]]</f>
        <v>971.42857142857144</v>
      </c>
      <c r="AY70" s="290">
        <f>Tabla14[[#This Row],[Personas13]]</f>
        <v>7</v>
      </c>
      <c r="AZ70" s="323">
        <f>Tabla14[[#This Row],[Valor bolsas Pesona2]]*Tabla14[[#This Row],[Personas Rechazo]]</f>
        <v>6800</v>
      </c>
      <c r="BA70" s="324">
        <f>+Tabla14[[#This Row],[Total Valor Segunda]]+Tabla14[[#This Row],[Total Valor Primera]]+Tabla14[[#This Row],[Total Valor Precorte]]</f>
        <v>184500</v>
      </c>
      <c r="BB70" s="292">
        <f>Tabla14[[#This Row],[Valor bolsas Pesona2]]+Tabla14[[#This Row],[Valor Embarque Pesona3]]</f>
        <v>27328.571428571431</v>
      </c>
      <c r="BD70" s="292">
        <f>Tabla14[[#This Row],[VALOR GANADO]]-Tabla14[[#This Row],[REAJUSTADO]]</f>
        <v>27328.571428571431</v>
      </c>
      <c r="BE70" s="250">
        <f>Tabla14[[#This Row],[CUANTO SE REAJUSTA]]*Tabla14[[#This Row],[Personas Rechazo]]</f>
        <v>191300.00000000003</v>
      </c>
      <c r="BF70" s="250">
        <f>Tabla14[[#This Row],[REAJUSTADO]]/25000</f>
        <v>0</v>
      </c>
      <c r="BG70" s="302">
        <f>Tabla14[[#This Row],[REAJUSTADO]]*Tabla14[[#This Row],[Personas Rechazo]]</f>
        <v>0</v>
      </c>
      <c r="BH70" s="292" t="str">
        <f>Tabla14[[#This Row],[Finca]]</f>
        <v>Uveros</v>
      </c>
      <c r="BJ70" s="330">
        <f>Tabla14[[#This Row],[Numero de Ocacionales]]*Tabla14[[#This Row],[REAJUSTADO]]</f>
        <v>0</v>
      </c>
      <c r="BM70" s="330">
        <f>+Tabla14[[#This Row],[CUANTO SE REAJUSTA]]*3</f>
        <v>81985.71428571429</v>
      </c>
    </row>
    <row r="71" spans="3:65" hidden="1" x14ac:dyDescent="0.25">
      <c r="C71" s="320">
        <v>44649</v>
      </c>
      <c r="D71" s="508">
        <f>YEAR(Tabla14[[#This Row],[Fecha]])</f>
        <v>2022</v>
      </c>
      <c r="E71" s="321">
        <f>IF(Tabla14[[#This Row],[Fecha]]&gt;0,_xlfn.ISOWEEKNUM(Tabla14[[#This Row],[Fecha]]),0)</f>
        <v>13</v>
      </c>
      <c r="F71" s="269">
        <f>15.4*14</f>
        <v>215.6</v>
      </c>
      <c r="G71" s="268" t="s">
        <v>157</v>
      </c>
      <c r="H71" s="266" t="str">
        <f>_xlfn.XLOOKUP(Tabla14[[#This Row],[Codigo Finca]],Tabla4[Codigo Finca],Tabla4[Nombre Finca],"")</f>
        <v>Pedrito</v>
      </c>
      <c r="I71" s="262">
        <f>_xlfn.XLOOKUP(Tabla14[[#This Row],[Codigo Finca]],Tabla4[Codigo Finca],Tabla4[Precio Caja],0)</f>
        <v>2100</v>
      </c>
      <c r="J71" s="262">
        <f>_xlfn.XLOOKUP(Tabla14[[#This Row],[Codigo Finca]],Tabla4[Codigo Finca],Tabla4[Precio Caja Segunda],0)</f>
        <v>1000</v>
      </c>
      <c r="K71" s="262">
        <f>_xlfn.XLOOKUP(Tabla14[[#This Row],[Codigo Finca]],Tabla4[Codigo Finca],Tabla4[Precio Rechazo],0)</f>
        <v>500</v>
      </c>
      <c r="L71" s="262">
        <f t="shared" ref="L71:L78" si="26">S71+N71</f>
        <v>1245</v>
      </c>
      <c r="M71" s="272">
        <f t="shared" ref="M71:M78" si="27">IF(F71&gt;0,L71/F71,0)</f>
        <v>5.7745825602968459</v>
      </c>
      <c r="N71" s="269"/>
      <c r="O71" s="270"/>
      <c r="P71" s="251">
        <f t="shared" si="15"/>
        <v>0</v>
      </c>
      <c r="Q71" s="263">
        <f t="shared" ref="Q71:Q78" si="28">IF(O71&gt;0,P71/O71,0)</f>
        <v>0</v>
      </c>
      <c r="R71" s="265">
        <f t="shared" ref="R71:R78" si="29">IF(I71&gt;0,Q71*I71,)</f>
        <v>0</v>
      </c>
      <c r="S71" s="269">
        <v>1245</v>
      </c>
      <c r="T71" s="268">
        <v>14</v>
      </c>
      <c r="U71" s="251">
        <f t="shared" ref="U71:U78" si="30">F71-P71</f>
        <v>215.6</v>
      </c>
      <c r="V71" s="263">
        <f t="shared" ref="V71:V78" si="31">IF(T71&gt;0,U71/T71,0)</f>
        <v>15.4</v>
      </c>
      <c r="W71" s="322">
        <f t="shared" ref="W71:W78" si="32">IF(T71&gt;0,(U71*I71)/T71,0)</f>
        <v>32340</v>
      </c>
      <c r="X71" s="269"/>
      <c r="Y71" s="268"/>
      <c r="Z71" s="251">
        <f>Tabla14[[#This Row],[Cajas Segunda]]</f>
        <v>0</v>
      </c>
      <c r="AA71" s="263">
        <f t="shared" ref="AA71:AA78" si="33">IF(Y71&gt;0,Z71/Y71,0)</f>
        <v>0</v>
      </c>
      <c r="AB71" s="265">
        <f t="shared" ref="AB71:AB78" si="34">IF(Y71&gt;0,(Z71*J71)/Y71,0)</f>
        <v>0</v>
      </c>
      <c r="AC71" s="273">
        <f>3.15*14</f>
        <v>44.1</v>
      </c>
      <c r="AD71" s="271"/>
      <c r="AE71" s="271"/>
      <c r="AF71" s="271"/>
      <c r="AG71" s="271">
        <v>14</v>
      </c>
      <c r="AH71" s="251">
        <f t="shared" ref="AH71:AH78" si="35">IF(AND(AC71&gt;0,AE71=0,AF71=0,AD71=0),AC71,IF(AND(AC71=0,AE71&gt;0,AF71&gt;0,AD71=0),AE71*AF71/25,IF(AND(AC71=0,AE71=0,AF71=0,AD71&gt;0),AD71/25,0)))</f>
        <v>44.1</v>
      </c>
      <c r="AI71" s="263">
        <f t="shared" ref="AI71:AI78" si="36">IF(AG71&gt;0,AH71/AG71,0)</f>
        <v>3.15</v>
      </c>
      <c r="AJ71" s="322">
        <f t="shared" ref="AJ71:AJ78" si="37">AI71*K71</f>
        <v>1575</v>
      </c>
      <c r="AK71" s="264">
        <f>Tabla14[[#This Row],[Cajas por Personas]]</f>
        <v>0</v>
      </c>
      <c r="AL71" s="267">
        <f>Tabla14[[#This Row],[Valor Precorte Pesona]]</f>
        <v>0</v>
      </c>
      <c r="AM71" s="294">
        <f>Tabla14[[#This Row],[Personas Precorte]]</f>
        <v>0</v>
      </c>
      <c r="AN71" s="308">
        <f>Tabla14[[#This Row],[Valor Precorte Pesona Precorte]]*Tabla14[[#This Row],[Perzonas Precorte]]</f>
        <v>0</v>
      </c>
      <c r="AO71" s="264">
        <f>Tabla14[[#This Row],[Cajas por Personas2]]</f>
        <v>15.4</v>
      </c>
      <c r="AP71" s="267">
        <f>Tabla14[[#This Row],[Valor Embarque Pesona]]</f>
        <v>32340</v>
      </c>
      <c r="AQ71" s="295">
        <f>Tabla14[[#This Row],[Personas Precorte2]]</f>
        <v>14</v>
      </c>
      <c r="AR71" s="296">
        <f>Tabla14[[#This Row],[Valor Embarque Pesona3]]*Tabla14[[#This Row],[Perzona Primera]]</f>
        <v>452760</v>
      </c>
      <c r="AS71" s="264">
        <f>Tabla14[[#This Row],[Columna2]]</f>
        <v>0</v>
      </c>
      <c r="AT71" s="267">
        <f>Tabla14[[#This Row],[Columna1]]</f>
        <v>0</v>
      </c>
      <c r="AU71" s="302">
        <f>Tabla14[[#This Row],[Personas Intervienen]]</f>
        <v>0</v>
      </c>
      <c r="AV71" s="297">
        <f>Tabla14[[#This Row],[Valor Embarque Pesona5]]*Tabla14[[#This Row],[Presonas Segunda]]</f>
        <v>0</v>
      </c>
      <c r="AW71" s="264">
        <f>Tabla14[[#This Row],[Bolsas Por Personas]]</f>
        <v>3.15</v>
      </c>
      <c r="AX71" s="267">
        <f>Tabla14[[#This Row],[Valor bolsas Pesona]]</f>
        <v>1575</v>
      </c>
      <c r="AY71" s="290">
        <f>Tabla14[[#This Row],[Personas13]]</f>
        <v>14</v>
      </c>
      <c r="AZ71" s="323">
        <f>Tabla14[[#This Row],[Valor bolsas Pesona2]]*Tabla14[[#This Row],[Personas Rechazo]]</f>
        <v>22050</v>
      </c>
      <c r="BA71" s="324">
        <f>+Tabla14[[#This Row],[Total Valor Segunda]]+Tabla14[[#This Row],[Total Valor Primera]]+Tabla14[[#This Row],[Total Valor Precorte]]</f>
        <v>452760</v>
      </c>
      <c r="BB71" s="292">
        <v>34000</v>
      </c>
      <c r="BD71" s="292">
        <f>Tabla14[[#This Row],[VALOR GANADO]]-Tabla14[[#This Row],[REAJUSTADO]]</f>
        <v>34000</v>
      </c>
      <c r="BE71" s="250">
        <f>Tabla14[[#This Row],[CUANTO SE REAJUSTA]]*Tabla14[[#This Row],[Personas Rechazo]]</f>
        <v>476000</v>
      </c>
      <c r="BF71" s="250">
        <f>Tabla14[[#This Row],[REAJUSTADO]]/25000</f>
        <v>0</v>
      </c>
      <c r="BG71" s="302">
        <f>Tabla14[[#This Row],[REAJUSTADO]]*Tabla14[[#This Row],[Personas Rechazo]]</f>
        <v>0</v>
      </c>
      <c r="BH71" s="292" t="str">
        <f>Tabla14[[#This Row],[Finca]]</f>
        <v>Pedrito</v>
      </c>
      <c r="BJ71" s="330">
        <f>Tabla14[[#This Row],[Numero de Ocacionales]]*Tabla14[[#This Row],[REAJUSTADO]]</f>
        <v>0</v>
      </c>
      <c r="BM71" s="330">
        <f>+Tabla14[[#This Row],[CUANTO SE REAJUSTA]]*3</f>
        <v>102000</v>
      </c>
    </row>
    <row r="72" spans="3:65" hidden="1" x14ac:dyDescent="0.25">
      <c r="C72" s="320">
        <v>44649</v>
      </c>
      <c r="D72" s="508">
        <f>YEAR(Tabla14[[#This Row],[Fecha]])</f>
        <v>2022</v>
      </c>
      <c r="E72" s="321">
        <f>IF(Tabla14[[#This Row],[Fecha]]&gt;0,_xlfn.ISOWEEKNUM(Tabla14[[#This Row],[Fecha]]),0)</f>
        <v>13</v>
      </c>
      <c r="F72" s="269">
        <f>17.5*8</f>
        <v>140</v>
      </c>
      <c r="G72" s="268" t="s">
        <v>155</v>
      </c>
      <c r="H72" s="266" t="str">
        <f>_xlfn.XLOOKUP(Tabla14[[#This Row],[Codigo Finca]],Tabla4[Codigo Finca],Tabla4[Nombre Finca],"")</f>
        <v>Damaquiel</v>
      </c>
      <c r="I72" s="262">
        <f>_xlfn.XLOOKUP(Tabla14[[#This Row],[Codigo Finca]],Tabla4[Codigo Finca],Tabla4[Precio Caja],0)</f>
        <v>1500</v>
      </c>
      <c r="J72" s="262">
        <f>_xlfn.XLOOKUP(Tabla14[[#This Row],[Codigo Finca]],Tabla4[Codigo Finca],Tabla4[Precio Caja Segunda],0)</f>
        <v>1000</v>
      </c>
      <c r="K72" s="262">
        <f>_xlfn.XLOOKUP(Tabla14[[#This Row],[Codigo Finca]],Tabla4[Codigo Finca],Tabla4[Precio Rechazo],0)</f>
        <v>500</v>
      </c>
      <c r="L72" s="262">
        <f t="shared" si="26"/>
        <v>531</v>
      </c>
      <c r="M72" s="272">
        <f t="shared" si="27"/>
        <v>3.7928571428571427</v>
      </c>
      <c r="N72" s="269"/>
      <c r="O72" s="270"/>
      <c r="P72" s="251">
        <f t="shared" si="15"/>
        <v>0</v>
      </c>
      <c r="Q72" s="263">
        <f t="shared" si="28"/>
        <v>0</v>
      </c>
      <c r="R72" s="265">
        <f t="shared" si="29"/>
        <v>0</v>
      </c>
      <c r="S72" s="269">
        <v>531</v>
      </c>
      <c r="T72" s="268">
        <v>8</v>
      </c>
      <c r="U72" s="251">
        <f t="shared" si="30"/>
        <v>140</v>
      </c>
      <c r="V72" s="263">
        <f t="shared" si="31"/>
        <v>17.5</v>
      </c>
      <c r="W72" s="322">
        <f t="shared" si="32"/>
        <v>26250</v>
      </c>
      <c r="X72" s="269"/>
      <c r="Y72" s="268"/>
      <c r="Z72" s="251">
        <f>Tabla14[[#This Row],[Cajas Segunda]]</f>
        <v>0</v>
      </c>
      <c r="AA72" s="263">
        <f t="shared" si="33"/>
        <v>0</v>
      </c>
      <c r="AB72" s="265">
        <f t="shared" si="34"/>
        <v>0</v>
      </c>
      <c r="AC72" s="273"/>
      <c r="AD72" s="271"/>
      <c r="AE72" s="271">
        <v>12</v>
      </c>
      <c r="AF72" s="271">
        <v>85</v>
      </c>
      <c r="AG72" s="271">
        <v>8</v>
      </c>
      <c r="AH72" s="251">
        <f t="shared" si="35"/>
        <v>40.799999999999997</v>
      </c>
      <c r="AI72" s="263">
        <f t="shared" si="36"/>
        <v>5.0999999999999996</v>
      </c>
      <c r="AJ72" s="322">
        <f t="shared" si="37"/>
        <v>2550</v>
      </c>
      <c r="AK72" s="264">
        <f>Tabla14[[#This Row],[Cajas por Personas]]</f>
        <v>0</v>
      </c>
      <c r="AL72" s="267">
        <f>Tabla14[[#This Row],[Valor Precorte Pesona]]</f>
        <v>0</v>
      </c>
      <c r="AM72" s="294">
        <f>Tabla14[[#This Row],[Personas Precorte]]</f>
        <v>0</v>
      </c>
      <c r="AN72" s="308">
        <f>Tabla14[[#This Row],[Valor Precorte Pesona Precorte]]*Tabla14[[#This Row],[Perzonas Precorte]]</f>
        <v>0</v>
      </c>
      <c r="AO72" s="264">
        <f>Tabla14[[#This Row],[Cajas por Personas2]]</f>
        <v>17.5</v>
      </c>
      <c r="AP72" s="267">
        <f>Tabla14[[#This Row],[Valor Embarque Pesona]]</f>
        <v>26250</v>
      </c>
      <c r="AQ72" s="295">
        <f>Tabla14[[#This Row],[Personas Precorte2]]</f>
        <v>8</v>
      </c>
      <c r="AR72" s="296">
        <f>Tabla14[[#This Row],[Valor Embarque Pesona3]]*Tabla14[[#This Row],[Perzona Primera]]</f>
        <v>210000</v>
      </c>
      <c r="AS72" s="264">
        <f>Tabla14[[#This Row],[Columna2]]</f>
        <v>0</v>
      </c>
      <c r="AT72" s="267">
        <f>Tabla14[[#This Row],[Columna1]]</f>
        <v>0</v>
      </c>
      <c r="AU72" s="302">
        <f>Tabla14[[#This Row],[Personas Intervienen]]</f>
        <v>0</v>
      </c>
      <c r="AV72" s="297">
        <f>Tabla14[[#This Row],[Valor Embarque Pesona5]]*Tabla14[[#This Row],[Presonas Segunda]]</f>
        <v>0</v>
      </c>
      <c r="AW72" s="264">
        <f>Tabla14[[#This Row],[Bolsas Por Personas]]</f>
        <v>5.0999999999999996</v>
      </c>
      <c r="AX72" s="267">
        <f>Tabla14[[#This Row],[Valor bolsas Pesona]]</f>
        <v>2550</v>
      </c>
      <c r="AY72" s="290">
        <f>Tabla14[[#This Row],[Personas13]]</f>
        <v>8</v>
      </c>
      <c r="AZ72" s="323">
        <f>Tabla14[[#This Row],[Valor bolsas Pesona2]]*Tabla14[[#This Row],[Personas Rechazo]]</f>
        <v>20400</v>
      </c>
      <c r="BA72" s="324">
        <f>+Tabla14[[#This Row],[Total Valor Segunda]]+Tabla14[[#This Row],[Total Valor Primera]]+Tabla14[[#This Row],[Total Valor Precorte]]</f>
        <v>210000</v>
      </c>
      <c r="BB72" s="292">
        <f>Tabla14[[#This Row],[Valor bolsas Pesona2]]+Tabla14[[#This Row],[Valor Embarque Pesona3]]</f>
        <v>28800</v>
      </c>
      <c r="BD72" s="292">
        <f>Tabla14[[#This Row],[VALOR GANADO]]-Tabla14[[#This Row],[REAJUSTADO]]</f>
        <v>28800</v>
      </c>
      <c r="BE72" s="250">
        <f>Tabla14[[#This Row],[CUANTO SE REAJUSTA]]*Tabla14[[#This Row],[Personas Rechazo]]</f>
        <v>230400</v>
      </c>
      <c r="BF72" s="250">
        <f>Tabla14[[#This Row],[REAJUSTADO]]/25000</f>
        <v>0</v>
      </c>
      <c r="BG72" s="302">
        <f>Tabla14[[#This Row],[REAJUSTADO]]*Tabla14[[#This Row],[Personas Rechazo]]</f>
        <v>0</v>
      </c>
      <c r="BH72" s="292" t="str">
        <f>Tabla14[[#This Row],[Finca]]</f>
        <v>Damaquiel</v>
      </c>
      <c r="BJ72" s="330">
        <f>Tabla14[[#This Row],[Numero de Ocacionales]]*Tabla14[[#This Row],[REAJUSTADO]]</f>
        <v>0</v>
      </c>
      <c r="BM72" s="330">
        <f>+Tabla14[[#This Row],[CUANTO SE REAJUSTA]]*3</f>
        <v>86400</v>
      </c>
    </row>
    <row r="73" spans="3:65" hidden="1" x14ac:dyDescent="0.25">
      <c r="C73" s="274">
        <v>44650</v>
      </c>
      <c r="D73" s="507">
        <f>YEAR(Tabla14[[#This Row],[Fecha]])</f>
        <v>2022</v>
      </c>
      <c r="E73" s="313">
        <f>IF(Tabla14[[#This Row],[Fecha]]&gt;0,_xlfn.ISOWEEKNUM(Tabla14[[#This Row],[Fecha]]),0)</f>
        <v>13</v>
      </c>
      <c r="F73" s="283">
        <v>52</v>
      </c>
      <c r="G73" s="275" t="s">
        <v>155</v>
      </c>
      <c r="H73" s="325" t="str">
        <f>_xlfn.XLOOKUP(Tabla14[[#This Row],[Codigo Finca]],Tabla4[Codigo Finca],Tabla4[Nombre Finca],"")</f>
        <v>Damaquiel</v>
      </c>
      <c r="I73" s="277">
        <f>_xlfn.XLOOKUP(Tabla14[[#This Row],[Codigo Finca]],Tabla4[Codigo Finca],Tabla4[Precio Caja],0)</f>
        <v>1500</v>
      </c>
      <c r="J73" s="277">
        <f>_xlfn.XLOOKUP(Tabla14[[#This Row],[Codigo Finca]],Tabla4[Codigo Finca],Tabla4[Precio Caja Segunda],0)</f>
        <v>1000</v>
      </c>
      <c r="K73" s="277">
        <f>_xlfn.XLOOKUP(Tabla14[[#This Row],[Codigo Finca]],Tabla4[Codigo Finca],Tabla4[Precio Rechazo],0)</f>
        <v>500</v>
      </c>
      <c r="L73" s="277">
        <f t="shared" si="26"/>
        <v>277</v>
      </c>
      <c r="M73" s="278">
        <f t="shared" si="27"/>
        <v>5.3269230769230766</v>
      </c>
      <c r="N73" s="269"/>
      <c r="O73" s="270"/>
      <c r="P73" s="251">
        <f t="shared" si="15"/>
        <v>0</v>
      </c>
      <c r="Q73" s="263">
        <f t="shared" si="28"/>
        <v>0</v>
      </c>
      <c r="R73" s="265">
        <f t="shared" si="29"/>
        <v>0</v>
      </c>
      <c r="S73" s="283">
        <v>277</v>
      </c>
      <c r="T73" s="275">
        <v>5</v>
      </c>
      <c r="U73" s="280">
        <f t="shared" si="30"/>
        <v>52</v>
      </c>
      <c r="V73" s="281">
        <f t="shared" si="31"/>
        <v>10.4</v>
      </c>
      <c r="W73" s="322">
        <f t="shared" si="32"/>
        <v>15600</v>
      </c>
      <c r="X73" s="283"/>
      <c r="Y73" s="275"/>
      <c r="Z73" s="280">
        <f>Tabla14[[#This Row],[Cajas Segunda]]</f>
        <v>0</v>
      </c>
      <c r="AA73" s="281">
        <f t="shared" si="33"/>
        <v>0</v>
      </c>
      <c r="AB73" s="284">
        <f t="shared" si="34"/>
        <v>0</v>
      </c>
      <c r="AC73" s="285"/>
      <c r="AD73" s="286"/>
      <c r="AE73" s="286">
        <v>6</v>
      </c>
      <c r="AF73" s="286">
        <v>85</v>
      </c>
      <c r="AG73" s="286">
        <v>5</v>
      </c>
      <c r="AH73" s="280">
        <f t="shared" si="35"/>
        <v>20.399999999999999</v>
      </c>
      <c r="AI73" s="281">
        <f t="shared" si="36"/>
        <v>4.08</v>
      </c>
      <c r="AJ73" s="282">
        <f t="shared" si="37"/>
        <v>2040</v>
      </c>
      <c r="AK73" s="264">
        <f>Tabla14[[#This Row],[Cajas por Personas]]</f>
        <v>0</v>
      </c>
      <c r="AL73" s="267">
        <f>Tabla14[[#This Row],[Valor Precorte Pesona]]</f>
        <v>0</v>
      </c>
      <c r="AM73" s="294">
        <f>Tabla14[[#This Row],[Personas Precorte]]</f>
        <v>0</v>
      </c>
      <c r="AN73" s="308">
        <f>Tabla14[[#This Row],[Valor Precorte Pesona Precorte]]*Tabla14[[#This Row],[Perzonas Precorte]]</f>
        <v>0</v>
      </c>
      <c r="AO73" s="287">
        <f>Tabla14[[#This Row],[Cajas por Personas2]]</f>
        <v>10.4</v>
      </c>
      <c r="AP73" s="288">
        <f>Tabla14[[#This Row],[Valor Embarque Pesona]]</f>
        <v>15600</v>
      </c>
      <c r="AQ73" s="295">
        <f>Tabla14[[#This Row],[Personas Precorte2]]</f>
        <v>5</v>
      </c>
      <c r="AR73" s="296">
        <f>Tabla14[[#This Row],[Valor Embarque Pesona3]]*Tabla14[[#This Row],[Perzona Primera]]</f>
        <v>78000</v>
      </c>
      <c r="AS73" s="287">
        <f>Tabla14[[#This Row],[Columna2]]</f>
        <v>0</v>
      </c>
      <c r="AT73" s="288">
        <f>Tabla14[[#This Row],[Columna1]]</f>
        <v>0</v>
      </c>
      <c r="AU73" s="302">
        <f>Tabla14[[#This Row],[Personas Intervienen]]</f>
        <v>0</v>
      </c>
      <c r="AV73" s="297">
        <f>Tabla14[[#This Row],[Valor Embarque Pesona5]]*Tabla14[[#This Row],[Presonas Segunda]]</f>
        <v>0</v>
      </c>
      <c r="AW73" s="287">
        <f>Tabla14[[#This Row],[Bolsas Por Personas]]</f>
        <v>4.08</v>
      </c>
      <c r="AX73" s="288">
        <f>Tabla14[[#This Row],[Valor bolsas Pesona]]</f>
        <v>2040</v>
      </c>
      <c r="AY73" s="309">
        <f>Tabla14[[#This Row],[Personas13]]</f>
        <v>5</v>
      </c>
      <c r="AZ73" s="310">
        <f>Tabla14[[#This Row],[Valor bolsas Pesona2]]*Tabla14[[#This Row],[Personas Rechazo]]</f>
        <v>10200</v>
      </c>
      <c r="BA73" s="311">
        <f>+Tabla14[[#This Row],[Total Valor Segunda]]+Tabla14[[#This Row],[Total Valor Primera]]+Tabla14[[#This Row],[Total Valor Precorte]]</f>
        <v>78000</v>
      </c>
      <c r="BB73" s="292">
        <f>Tabla14[[#This Row],[Valor bolsas Pesona2]]+Tabla14[[#This Row],[Valor Embarque Pesona3]]</f>
        <v>17640</v>
      </c>
      <c r="BD73" s="292">
        <f>Tabla14[[#This Row],[VALOR GANADO]]-Tabla14[[#This Row],[REAJUSTADO]]</f>
        <v>17640</v>
      </c>
      <c r="BE73" s="250">
        <f>Tabla14[[#This Row],[CUANTO SE REAJUSTA]]*Tabla14[[#This Row],[Personas Rechazo]]</f>
        <v>88200</v>
      </c>
      <c r="BF73" s="250">
        <f>Tabla14[[#This Row],[REAJUSTADO]]/25000</f>
        <v>0</v>
      </c>
      <c r="BG73" s="302">
        <f>Tabla14[[#This Row],[REAJUSTADO]]*Tabla14[[#This Row],[Personas Rechazo]]</f>
        <v>0</v>
      </c>
      <c r="BH73" s="292" t="str">
        <f>Tabla14[[#This Row],[Finca]]</f>
        <v>Damaquiel</v>
      </c>
      <c r="BJ73" s="330">
        <f>Tabla14[[#This Row],[Numero de Ocacionales]]*Tabla14[[#This Row],[REAJUSTADO]]</f>
        <v>0</v>
      </c>
      <c r="BM73" s="330">
        <f>+Tabla14[[#This Row],[CUANTO SE REAJUSTA]]*3</f>
        <v>52920</v>
      </c>
    </row>
    <row r="74" spans="3:65" hidden="1" x14ac:dyDescent="0.25">
      <c r="C74" s="274">
        <v>44650</v>
      </c>
      <c r="D74" s="507">
        <f>YEAR(Tabla14[[#This Row],[Fecha]])</f>
        <v>2022</v>
      </c>
      <c r="E74" s="313">
        <f>IF(Tabla14[[#This Row],[Fecha]]&gt;0,_xlfn.ISOWEEKNUM(Tabla14[[#This Row],[Fecha]]),0)</f>
        <v>13</v>
      </c>
      <c r="F74" s="283">
        <v>308</v>
      </c>
      <c r="G74" s="275" t="s">
        <v>152</v>
      </c>
      <c r="H74" s="325" t="str">
        <f>_xlfn.XLOOKUP(Tabla14[[#This Row],[Codigo Finca]],Tabla4[Codigo Finca],Tabla4[Nombre Finca],"")</f>
        <v>San Pedro</v>
      </c>
      <c r="I74" s="277">
        <f>_xlfn.XLOOKUP(Tabla14[[#This Row],[Codigo Finca]],Tabla4[Codigo Finca],Tabla4[Precio Caja],0)</f>
        <v>1500</v>
      </c>
      <c r="J74" s="277">
        <f>_xlfn.XLOOKUP(Tabla14[[#This Row],[Codigo Finca]],Tabla4[Codigo Finca],Tabla4[Precio Caja Segunda],0)</f>
        <v>1000</v>
      </c>
      <c r="K74" s="277">
        <f>_xlfn.XLOOKUP(Tabla14[[#This Row],[Codigo Finca]],Tabla4[Codigo Finca],Tabla4[Precio Rechazo],0)</f>
        <v>500</v>
      </c>
      <c r="L74" s="277">
        <f t="shared" si="26"/>
        <v>1318</v>
      </c>
      <c r="M74" s="278">
        <f t="shared" si="27"/>
        <v>4.279220779220779</v>
      </c>
      <c r="N74" s="269"/>
      <c r="O74" s="270"/>
      <c r="P74" s="251">
        <f t="shared" si="15"/>
        <v>0</v>
      </c>
      <c r="Q74" s="263">
        <f t="shared" si="28"/>
        <v>0</v>
      </c>
      <c r="R74" s="265">
        <f t="shared" si="29"/>
        <v>0</v>
      </c>
      <c r="S74" s="283">
        <v>1318</v>
      </c>
      <c r="T74" s="275">
        <v>16</v>
      </c>
      <c r="U74" s="280">
        <f t="shared" si="30"/>
        <v>308</v>
      </c>
      <c r="V74" s="281">
        <f t="shared" si="31"/>
        <v>19.25</v>
      </c>
      <c r="W74" s="282">
        <f t="shared" si="32"/>
        <v>28875</v>
      </c>
      <c r="X74" s="283"/>
      <c r="Y74" s="275"/>
      <c r="Z74" s="280">
        <f>Tabla14[[#This Row],[Cajas Segunda]]</f>
        <v>0</v>
      </c>
      <c r="AA74" s="281">
        <f t="shared" si="33"/>
        <v>0</v>
      </c>
      <c r="AB74" s="284">
        <f t="shared" si="34"/>
        <v>0</v>
      </c>
      <c r="AC74" s="285"/>
      <c r="AD74" s="286"/>
      <c r="AE74" s="286">
        <v>27.5</v>
      </c>
      <c r="AF74" s="286">
        <v>85</v>
      </c>
      <c r="AG74" s="286">
        <v>16</v>
      </c>
      <c r="AH74" s="280">
        <f t="shared" si="35"/>
        <v>93.5</v>
      </c>
      <c r="AI74" s="281">
        <f t="shared" si="36"/>
        <v>5.84375</v>
      </c>
      <c r="AJ74" s="282">
        <f t="shared" si="37"/>
        <v>2921.875</v>
      </c>
      <c r="AK74" s="264">
        <f>Tabla14[[#This Row],[Cajas por Personas]]</f>
        <v>0</v>
      </c>
      <c r="AL74" s="267">
        <f>Tabla14[[#This Row],[Valor Precorte Pesona]]</f>
        <v>0</v>
      </c>
      <c r="AM74" s="294">
        <f>Tabla14[[#This Row],[Personas Precorte]]</f>
        <v>0</v>
      </c>
      <c r="AN74" s="308">
        <f>Tabla14[[#This Row],[Valor Precorte Pesona Precorte]]*Tabla14[[#This Row],[Perzonas Precorte]]</f>
        <v>0</v>
      </c>
      <c r="AO74" s="287">
        <f>Tabla14[[#This Row],[Cajas por Personas2]]</f>
        <v>19.25</v>
      </c>
      <c r="AP74" s="288">
        <f>Tabla14[[#This Row],[Valor Embarque Pesona]]</f>
        <v>28875</v>
      </c>
      <c r="AQ74" s="295">
        <f>Tabla14[[#This Row],[Personas Precorte2]]</f>
        <v>16</v>
      </c>
      <c r="AR74" s="296">
        <f>Tabla14[[#This Row],[Valor Embarque Pesona3]]*Tabla14[[#This Row],[Perzona Primera]]</f>
        <v>462000</v>
      </c>
      <c r="AS74" s="287">
        <f>Tabla14[[#This Row],[Columna2]]</f>
        <v>0</v>
      </c>
      <c r="AT74" s="288">
        <f>Tabla14[[#This Row],[Columna1]]</f>
        <v>0</v>
      </c>
      <c r="AU74" s="302">
        <f>Tabla14[[#This Row],[Personas Intervienen]]</f>
        <v>0</v>
      </c>
      <c r="AV74" s="297">
        <f>Tabla14[[#This Row],[Valor Embarque Pesona5]]*Tabla14[[#This Row],[Presonas Segunda]]</f>
        <v>0</v>
      </c>
      <c r="AW74" s="287">
        <f>Tabla14[[#This Row],[Bolsas Por Personas]]</f>
        <v>5.84375</v>
      </c>
      <c r="AX74" s="288">
        <f>Tabla14[[#This Row],[Valor bolsas Pesona]]</f>
        <v>2921.875</v>
      </c>
      <c r="AY74" s="309">
        <f>Tabla14[[#This Row],[Personas13]]</f>
        <v>16</v>
      </c>
      <c r="AZ74" s="310">
        <f>Tabla14[[#This Row],[Valor bolsas Pesona2]]*Tabla14[[#This Row],[Personas Rechazo]]</f>
        <v>46750</v>
      </c>
      <c r="BA74" s="311">
        <f>+Tabla14[[#This Row],[Total Valor Segunda]]+Tabla14[[#This Row],[Total Valor Primera]]+Tabla14[[#This Row],[Total Valor Precorte]]</f>
        <v>462000</v>
      </c>
      <c r="BB74" s="292">
        <v>32000</v>
      </c>
      <c r="BD74" s="292">
        <f>Tabla14[[#This Row],[VALOR GANADO]]-Tabla14[[#This Row],[REAJUSTADO]]</f>
        <v>32000</v>
      </c>
      <c r="BE74" s="250">
        <f>Tabla14[[#This Row],[CUANTO SE REAJUSTA]]*Tabla14[[#This Row],[Personas Rechazo]]</f>
        <v>512000</v>
      </c>
      <c r="BF74" s="250">
        <f>Tabla14[[#This Row],[REAJUSTADO]]/25000</f>
        <v>0</v>
      </c>
      <c r="BG74" s="302">
        <f>Tabla14[[#This Row],[REAJUSTADO]]*Tabla14[[#This Row],[Personas Rechazo]]</f>
        <v>0</v>
      </c>
      <c r="BH74" s="292" t="str">
        <f>Tabla14[[#This Row],[Finca]]</f>
        <v>San Pedro</v>
      </c>
      <c r="BJ74" s="330">
        <f>Tabla14[[#This Row],[Numero de Ocacionales]]*Tabla14[[#This Row],[REAJUSTADO]]</f>
        <v>0</v>
      </c>
      <c r="BM74" s="330">
        <f>+Tabla14[[#This Row],[CUANTO SE REAJUSTA]]*3</f>
        <v>96000</v>
      </c>
    </row>
    <row r="75" spans="3:65" hidden="1" x14ac:dyDescent="0.25">
      <c r="C75" s="274">
        <v>44651</v>
      </c>
      <c r="D75" s="507">
        <f>YEAR(Tabla14[[#This Row],[Fecha]])</f>
        <v>2022</v>
      </c>
      <c r="E75" s="313">
        <f>IF(Tabla14[[#This Row],[Fecha]]&gt;0,_xlfn.ISOWEEKNUM(Tabla14[[#This Row],[Fecha]]),0)</f>
        <v>13</v>
      </c>
      <c r="F75" s="283">
        <v>262</v>
      </c>
      <c r="G75" s="275" t="s">
        <v>152</v>
      </c>
      <c r="H75" s="325" t="str">
        <f>_xlfn.XLOOKUP(Tabla14[[#This Row],[Codigo Finca]],Tabla4[Codigo Finca],Tabla4[Nombre Finca],"")</f>
        <v>San Pedro</v>
      </c>
      <c r="I75" s="277">
        <f>_xlfn.XLOOKUP(Tabla14[[#This Row],[Codigo Finca]],Tabla4[Codigo Finca],Tabla4[Precio Caja],0)</f>
        <v>1500</v>
      </c>
      <c r="J75" s="277">
        <f>_xlfn.XLOOKUP(Tabla14[[#This Row],[Codigo Finca]],Tabla4[Codigo Finca],Tabla4[Precio Caja Segunda],0)</f>
        <v>1000</v>
      </c>
      <c r="K75" s="277">
        <f>_xlfn.XLOOKUP(Tabla14[[#This Row],[Codigo Finca]],Tabla4[Codigo Finca],Tabla4[Precio Rechazo],0)</f>
        <v>500</v>
      </c>
      <c r="L75" s="277">
        <f t="shared" si="26"/>
        <v>607</v>
      </c>
      <c r="M75" s="278">
        <f t="shared" si="27"/>
        <v>2.3167938931297711</v>
      </c>
      <c r="N75" s="269"/>
      <c r="O75" s="270"/>
      <c r="P75" s="251">
        <f t="shared" si="15"/>
        <v>0</v>
      </c>
      <c r="Q75" s="263">
        <f t="shared" si="28"/>
        <v>0</v>
      </c>
      <c r="R75" s="265">
        <f t="shared" si="29"/>
        <v>0</v>
      </c>
      <c r="S75" s="283">
        <v>607</v>
      </c>
      <c r="T75" s="275">
        <v>13</v>
      </c>
      <c r="U75" s="280">
        <f t="shared" si="30"/>
        <v>262</v>
      </c>
      <c r="V75" s="281">
        <f t="shared" si="31"/>
        <v>20.153846153846153</v>
      </c>
      <c r="W75" s="282">
        <f t="shared" si="32"/>
        <v>30230.76923076923</v>
      </c>
      <c r="X75" s="283"/>
      <c r="Y75" s="275"/>
      <c r="Z75" s="280">
        <f>Tabla14[[#This Row],[Cajas Segunda]]</f>
        <v>0</v>
      </c>
      <c r="AA75" s="281">
        <f t="shared" si="33"/>
        <v>0</v>
      </c>
      <c r="AB75" s="284">
        <f t="shared" si="34"/>
        <v>0</v>
      </c>
      <c r="AC75" s="285"/>
      <c r="AD75" s="286"/>
      <c r="AE75" s="286">
        <v>20</v>
      </c>
      <c r="AF75" s="286">
        <v>85</v>
      </c>
      <c r="AG75" s="286">
        <v>13</v>
      </c>
      <c r="AH75" s="280">
        <f t="shared" si="35"/>
        <v>68</v>
      </c>
      <c r="AI75" s="281">
        <f t="shared" si="36"/>
        <v>5.2307692307692308</v>
      </c>
      <c r="AJ75" s="282">
        <f t="shared" si="37"/>
        <v>2615.3846153846152</v>
      </c>
      <c r="AK75" s="264">
        <f>Tabla14[[#This Row],[Cajas por Personas]]</f>
        <v>0</v>
      </c>
      <c r="AL75" s="267">
        <f>Tabla14[[#This Row],[Valor Precorte Pesona]]</f>
        <v>0</v>
      </c>
      <c r="AM75" s="294">
        <f>Tabla14[[#This Row],[Personas Precorte]]</f>
        <v>0</v>
      </c>
      <c r="AN75" s="308">
        <f>Tabla14[[#This Row],[Valor Precorte Pesona Precorte]]*Tabla14[[#This Row],[Perzonas Precorte]]</f>
        <v>0</v>
      </c>
      <c r="AO75" s="287">
        <f>Tabla14[[#This Row],[Cajas por Personas2]]</f>
        <v>20.153846153846153</v>
      </c>
      <c r="AP75" s="288">
        <f>Tabla14[[#This Row],[Valor Embarque Pesona]]</f>
        <v>30230.76923076923</v>
      </c>
      <c r="AQ75" s="295">
        <f>Tabla14[[#This Row],[Personas Precorte2]]</f>
        <v>13</v>
      </c>
      <c r="AR75" s="296">
        <f>Tabla14[[#This Row],[Valor Embarque Pesona3]]*Tabla14[[#This Row],[Perzona Primera]]</f>
        <v>393000</v>
      </c>
      <c r="AS75" s="287">
        <f>Tabla14[[#This Row],[Columna2]]</f>
        <v>0</v>
      </c>
      <c r="AT75" s="288">
        <f>Tabla14[[#This Row],[Columna1]]</f>
        <v>0</v>
      </c>
      <c r="AU75" s="302">
        <f>Tabla14[[#This Row],[Personas Intervienen]]</f>
        <v>0</v>
      </c>
      <c r="AV75" s="297">
        <f>Tabla14[[#This Row],[Valor Embarque Pesona5]]*Tabla14[[#This Row],[Presonas Segunda]]</f>
        <v>0</v>
      </c>
      <c r="AW75" s="287">
        <f>Tabla14[[#This Row],[Bolsas Por Personas]]</f>
        <v>5.2307692307692308</v>
      </c>
      <c r="AX75" s="288">
        <f>Tabla14[[#This Row],[Valor bolsas Pesona]]</f>
        <v>2615.3846153846152</v>
      </c>
      <c r="AY75" s="309">
        <f>Tabla14[[#This Row],[Personas13]]</f>
        <v>13</v>
      </c>
      <c r="AZ75" s="310">
        <f>Tabla14[[#This Row],[Valor bolsas Pesona2]]*Tabla14[[#This Row],[Personas Rechazo]]</f>
        <v>34000</v>
      </c>
      <c r="BA75" s="311">
        <f>+Tabla14[[#This Row],[Total Valor Segunda]]+Tabla14[[#This Row],[Total Valor Primera]]+Tabla14[[#This Row],[Total Valor Precorte]]</f>
        <v>393000</v>
      </c>
      <c r="BB75" s="292">
        <f>Tabla14[[#This Row],[Valor bolsas Pesona2]]+Tabla14[[#This Row],[Valor Embarque Pesona3]]</f>
        <v>32846.153846153844</v>
      </c>
      <c r="BD75" s="292">
        <f>Tabla14[[#This Row],[VALOR GANADO]]-Tabla14[[#This Row],[REAJUSTADO]]</f>
        <v>32846.153846153844</v>
      </c>
      <c r="BE75" s="250">
        <f>Tabla14[[#This Row],[CUANTO SE REAJUSTA]]*Tabla14[[#This Row],[Personas Rechazo]]</f>
        <v>427000</v>
      </c>
      <c r="BF75" s="250">
        <f>Tabla14[[#This Row],[REAJUSTADO]]/25000</f>
        <v>0</v>
      </c>
      <c r="BG75" s="302">
        <f>Tabla14[[#This Row],[REAJUSTADO]]*Tabla14[[#This Row],[Personas Rechazo]]</f>
        <v>0</v>
      </c>
      <c r="BH75" s="292" t="str">
        <f>Tabla14[[#This Row],[Finca]]</f>
        <v>San Pedro</v>
      </c>
      <c r="BJ75" s="330">
        <f>Tabla14[[#This Row],[Numero de Ocacionales]]*Tabla14[[#This Row],[REAJUSTADO]]</f>
        <v>0</v>
      </c>
      <c r="BM75" s="330">
        <f>+Tabla14[[#This Row],[CUANTO SE REAJUSTA]]*3</f>
        <v>98538.461538461532</v>
      </c>
    </row>
    <row r="76" spans="3:65" hidden="1" x14ac:dyDescent="0.25">
      <c r="C76" s="274">
        <v>44651</v>
      </c>
      <c r="D76" s="507">
        <f>YEAR(Tabla14[[#This Row],[Fecha]])</f>
        <v>2022</v>
      </c>
      <c r="E76" s="313">
        <f>IF(Tabla14[[#This Row],[Fecha]]&gt;0,_xlfn.ISOWEEKNUM(Tabla14[[#This Row],[Fecha]]),0)</f>
        <v>13</v>
      </c>
      <c r="F76" s="283">
        <v>96</v>
      </c>
      <c r="G76" s="275" t="s">
        <v>153</v>
      </c>
      <c r="H76" s="325" t="str">
        <f>_xlfn.XLOOKUP(Tabla14[[#This Row],[Codigo Finca]],Tabla4[Codigo Finca],Tabla4[Nombre Finca],"")</f>
        <v>Uveros</v>
      </c>
      <c r="I76" s="277">
        <f>_xlfn.XLOOKUP(Tabla14[[#This Row],[Codigo Finca]],Tabla4[Codigo Finca],Tabla4[Precio Caja],0)</f>
        <v>1500</v>
      </c>
      <c r="J76" s="277">
        <f>_xlfn.XLOOKUP(Tabla14[[#This Row],[Codigo Finca]],Tabla4[Codigo Finca],Tabla4[Precio Caja Segunda],0)</f>
        <v>1000</v>
      </c>
      <c r="K76" s="277">
        <f>_xlfn.XLOOKUP(Tabla14[[#This Row],[Codigo Finca]],Tabla4[Codigo Finca],Tabla4[Precio Rechazo],0)</f>
        <v>500</v>
      </c>
      <c r="L76" s="277">
        <f t="shared" si="26"/>
        <v>297</v>
      </c>
      <c r="M76" s="278">
        <f t="shared" si="27"/>
        <v>3.09375</v>
      </c>
      <c r="N76" s="269"/>
      <c r="O76" s="270"/>
      <c r="P76" s="251">
        <f t="shared" si="15"/>
        <v>0</v>
      </c>
      <c r="Q76" s="263">
        <f t="shared" si="28"/>
        <v>0</v>
      </c>
      <c r="R76" s="265">
        <f t="shared" si="29"/>
        <v>0</v>
      </c>
      <c r="S76" s="283">
        <v>297</v>
      </c>
      <c r="T76" s="275">
        <v>6</v>
      </c>
      <c r="U76" s="280">
        <f t="shared" si="30"/>
        <v>96</v>
      </c>
      <c r="V76" s="281">
        <f t="shared" si="31"/>
        <v>16</v>
      </c>
      <c r="W76" s="282">
        <f t="shared" si="32"/>
        <v>24000</v>
      </c>
      <c r="X76" s="283"/>
      <c r="Y76" s="275"/>
      <c r="Z76" s="280">
        <f>Tabla14[[#This Row],[Cajas Segunda]]</f>
        <v>0</v>
      </c>
      <c r="AA76" s="281">
        <f t="shared" si="33"/>
        <v>0</v>
      </c>
      <c r="AB76" s="284">
        <f t="shared" si="34"/>
        <v>0</v>
      </c>
      <c r="AC76" s="285"/>
      <c r="AD76" s="286"/>
      <c r="AE76" s="286">
        <v>4</v>
      </c>
      <c r="AF76" s="286">
        <v>85</v>
      </c>
      <c r="AG76" s="286">
        <v>6</v>
      </c>
      <c r="AH76" s="280">
        <f t="shared" si="35"/>
        <v>13.6</v>
      </c>
      <c r="AI76" s="281">
        <f t="shared" si="36"/>
        <v>2.2666666666666666</v>
      </c>
      <c r="AJ76" s="282">
        <f t="shared" si="37"/>
        <v>1133.3333333333333</v>
      </c>
      <c r="AK76" s="264">
        <f>Tabla14[[#This Row],[Cajas por Personas]]</f>
        <v>0</v>
      </c>
      <c r="AL76" s="267">
        <f>Tabla14[[#This Row],[Valor Precorte Pesona]]</f>
        <v>0</v>
      </c>
      <c r="AM76" s="294">
        <f>Tabla14[[#This Row],[Personas Precorte]]</f>
        <v>0</v>
      </c>
      <c r="AN76" s="308">
        <f>Tabla14[[#This Row],[Valor Precorte Pesona Precorte]]*Tabla14[[#This Row],[Perzonas Precorte]]</f>
        <v>0</v>
      </c>
      <c r="AO76" s="287">
        <f>Tabla14[[#This Row],[Cajas por Personas2]]</f>
        <v>16</v>
      </c>
      <c r="AP76" s="288">
        <f>Tabla14[[#This Row],[Valor Embarque Pesona]]</f>
        <v>24000</v>
      </c>
      <c r="AQ76" s="295">
        <f>Tabla14[[#This Row],[Personas Precorte2]]</f>
        <v>6</v>
      </c>
      <c r="AR76" s="296">
        <f>Tabla14[[#This Row],[Valor Embarque Pesona3]]*Tabla14[[#This Row],[Perzona Primera]]</f>
        <v>144000</v>
      </c>
      <c r="AS76" s="287">
        <f>Tabla14[[#This Row],[Columna2]]</f>
        <v>0</v>
      </c>
      <c r="AT76" s="288">
        <f>Tabla14[[#This Row],[Columna1]]</f>
        <v>0</v>
      </c>
      <c r="AU76" s="302">
        <f>Tabla14[[#This Row],[Personas Intervienen]]</f>
        <v>0</v>
      </c>
      <c r="AV76" s="297">
        <f>Tabla14[[#This Row],[Valor Embarque Pesona5]]*Tabla14[[#This Row],[Presonas Segunda]]</f>
        <v>0</v>
      </c>
      <c r="AW76" s="287">
        <f>Tabla14[[#This Row],[Bolsas Por Personas]]</f>
        <v>2.2666666666666666</v>
      </c>
      <c r="AX76" s="288">
        <f>Tabla14[[#This Row],[Valor bolsas Pesona]]</f>
        <v>1133.3333333333333</v>
      </c>
      <c r="AY76" s="309">
        <f>Tabla14[[#This Row],[Personas13]]</f>
        <v>6</v>
      </c>
      <c r="AZ76" s="310">
        <f>Tabla14[[#This Row],[Valor bolsas Pesona2]]*Tabla14[[#This Row],[Personas Rechazo]]</f>
        <v>6800</v>
      </c>
      <c r="BA76" s="311">
        <f>+Tabla14[[#This Row],[Total Valor Segunda]]+Tabla14[[#This Row],[Total Valor Primera]]+Tabla14[[#This Row],[Total Valor Precorte]]</f>
        <v>144000</v>
      </c>
      <c r="BB76" s="292">
        <v>27000</v>
      </c>
      <c r="BD76" s="292">
        <f>Tabla14[[#This Row],[VALOR GANADO]]-Tabla14[[#This Row],[REAJUSTADO]]</f>
        <v>27000</v>
      </c>
      <c r="BE76" s="250">
        <f>Tabla14[[#This Row],[CUANTO SE REAJUSTA]]*Tabla14[[#This Row],[Personas Rechazo]]</f>
        <v>162000</v>
      </c>
      <c r="BF76" s="250">
        <f>Tabla14[[#This Row],[REAJUSTADO]]/25000</f>
        <v>0</v>
      </c>
      <c r="BG76" s="302">
        <f>Tabla14[[#This Row],[REAJUSTADO]]*Tabla14[[#This Row],[Personas Rechazo]]</f>
        <v>0</v>
      </c>
      <c r="BH76" s="292" t="str">
        <f>Tabla14[[#This Row],[Finca]]</f>
        <v>Uveros</v>
      </c>
      <c r="BJ76" s="330">
        <f>Tabla14[[#This Row],[Numero de Ocacionales]]*Tabla14[[#This Row],[REAJUSTADO]]</f>
        <v>0</v>
      </c>
      <c r="BM76" s="330">
        <f>+Tabla14[[#This Row],[CUANTO SE REAJUSTA]]*3</f>
        <v>81000</v>
      </c>
    </row>
    <row r="77" spans="3:65" hidden="1" x14ac:dyDescent="0.25">
      <c r="C77" s="274">
        <v>44656</v>
      </c>
      <c r="D77" s="507">
        <f>YEAR(Tabla14[[#This Row],[Fecha]])</f>
        <v>2022</v>
      </c>
      <c r="E77" s="313">
        <f>IF(Tabla14[[#This Row],[Fecha]]&gt;0,_xlfn.ISOWEEKNUM(Tabla14[[#This Row],[Fecha]]),0)</f>
        <v>14</v>
      </c>
      <c r="F77" s="283">
        <v>160</v>
      </c>
      <c r="G77" s="275" t="s">
        <v>157</v>
      </c>
      <c r="H77" s="325" t="str">
        <f>_xlfn.XLOOKUP(Tabla14[[#This Row],[Codigo Finca]],Tabla4[Codigo Finca],Tabla4[Nombre Finca],"")</f>
        <v>Pedrito</v>
      </c>
      <c r="I77" s="277">
        <f>_xlfn.XLOOKUP(Tabla14[[#This Row],[Codigo Finca]],Tabla4[Codigo Finca],Tabla4[Precio Caja],0)</f>
        <v>2100</v>
      </c>
      <c r="J77" s="277">
        <f>_xlfn.XLOOKUP(Tabla14[[#This Row],[Codigo Finca]],Tabla4[Codigo Finca],Tabla4[Precio Caja Segunda],0)</f>
        <v>1000</v>
      </c>
      <c r="K77" s="277">
        <f>_xlfn.XLOOKUP(Tabla14[[#This Row],[Codigo Finca]],Tabla4[Codigo Finca],Tabla4[Precio Rechazo],0)</f>
        <v>500</v>
      </c>
      <c r="L77" s="277">
        <f t="shared" si="26"/>
        <v>892</v>
      </c>
      <c r="M77" s="278">
        <f t="shared" si="27"/>
        <v>5.5750000000000002</v>
      </c>
      <c r="N77" s="269">
        <v>100</v>
      </c>
      <c r="O77" s="270">
        <v>3</v>
      </c>
      <c r="P77" s="251">
        <f t="shared" si="15"/>
        <v>8.9686098654708513</v>
      </c>
      <c r="Q77" s="263">
        <f t="shared" si="28"/>
        <v>2.9895366218236172</v>
      </c>
      <c r="R77" s="265">
        <f t="shared" si="29"/>
        <v>6278.0269058295962</v>
      </c>
      <c r="S77" s="283">
        <v>792</v>
      </c>
      <c r="T77" s="275">
        <v>12</v>
      </c>
      <c r="U77" s="280">
        <f t="shared" si="30"/>
        <v>151.03139013452915</v>
      </c>
      <c r="V77" s="281">
        <f>IF(T77&gt;0,U77/T77,0)</f>
        <v>12.58594917787743</v>
      </c>
      <c r="W77" s="282">
        <f>IF(T77&gt;0,(U77*I77)/T77,0)</f>
        <v>26430.493273542601</v>
      </c>
      <c r="X77" s="283"/>
      <c r="Y77" s="275"/>
      <c r="Z77" s="280">
        <f>Tabla14[[#This Row],[Cajas Segunda]]</f>
        <v>0</v>
      </c>
      <c r="AA77" s="281">
        <f t="shared" si="33"/>
        <v>0</v>
      </c>
      <c r="AB77" s="284">
        <f t="shared" si="34"/>
        <v>0</v>
      </c>
      <c r="AC77" s="285">
        <v>65</v>
      </c>
      <c r="AD77" s="286"/>
      <c r="AE77" s="286"/>
      <c r="AF77" s="286"/>
      <c r="AG77" s="286">
        <v>12</v>
      </c>
      <c r="AH77" s="280">
        <f t="shared" si="35"/>
        <v>65</v>
      </c>
      <c r="AI77" s="281">
        <f t="shared" si="36"/>
        <v>5.416666666666667</v>
      </c>
      <c r="AJ77" s="282">
        <f t="shared" si="37"/>
        <v>2708.3333333333335</v>
      </c>
      <c r="AK77" s="264">
        <f>Tabla14[[#This Row],[Cajas por Personas]]</f>
        <v>2.9895366218236172</v>
      </c>
      <c r="AL77" s="267">
        <f>Tabla14[[#This Row],[Valor Precorte Pesona]]</f>
        <v>6278.0269058295962</v>
      </c>
      <c r="AM77" s="294">
        <f>Tabla14[[#This Row],[Personas Precorte]]</f>
        <v>3</v>
      </c>
      <c r="AN77" s="308">
        <f>Tabla14[[#This Row],[Valor Precorte Pesona Precorte]]*Tabla14[[#This Row],[Perzonas Precorte]]</f>
        <v>18834.080717488789</v>
      </c>
      <c r="AO77" s="287">
        <f>Tabla14[[#This Row],[Cajas por Personas2]]</f>
        <v>12.58594917787743</v>
      </c>
      <c r="AP77" s="288">
        <f>Tabla14[[#This Row],[Valor Embarque Pesona]]</f>
        <v>26430.493273542601</v>
      </c>
      <c r="AQ77" s="295">
        <f>Tabla14[[#This Row],[Personas Precorte2]]</f>
        <v>12</v>
      </c>
      <c r="AR77" s="296">
        <f>Tabla14[[#This Row],[Valor Embarque Pesona3]]*Tabla14[[#This Row],[Perzona Primera]]</f>
        <v>317165.91928251123</v>
      </c>
      <c r="AS77" s="287">
        <f>Tabla14[[#This Row],[Columna2]]</f>
        <v>0</v>
      </c>
      <c r="AT77" s="288">
        <f>Tabla14[[#This Row],[Columna1]]</f>
        <v>0</v>
      </c>
      <c r="AU77" s="302">
        <f>Tabla14[[#This Row],[Personas Intervienen]]</f>
        <v>0</v>
      </c>
      <c r="AV77" s="297">
        <f>Tabla14[[#This Row],[Valor Embarque Pesona5]]*Tabla14[[#This Row],[Presonas Segunda]]</f>
        <v>0</v>
      </c>
      <c r="AW77" s="287">
        <f>Tabla14[[#This Row],[Bolsas Por Personas]]</f>
        <v>5.416666666666667</v>
      </c>
      <c r="AX77" s="288">
        <f>Tabla14[[#This Row],[Valor bolsas Pesona]]</f>
        <v>2708.3333333333335</v>
      </c>
      <c r="AY77" s="309">
        <f>Tabla14[[#This Row],[Personas13]]</f>
        <v>12</v>
      </c>
      <c r="AZ77" s="310">
        <f>Tabla14[[#This Row],[Valor bolsas Pesona2]]*Tabla14[[#This Row],[Personas Rechazo]]</f>
        <v>32500</v>
      </c>
      <c r="BA77" s="311">
        <f>+Tabla14[[#This Row],[Total Valor Segunda]]+Tabla14[[#This Row],[Total Valor Primera]]+Tabla14[[#This Row],[Total Valor Precorte]]</f>
        <v>336000</v>
      </c>
      <c r="BB77" s="292">
        <f>Tabla14[[#This Row],[Valor bolsas Pesona2]]+Tabla14[[#This Row],[Valor Embarque Pesona3]]</f>
        <v>29138.826606875933</v>
      </c>
      <c r="BD77" s="292">
        <f>Tabla14[[#This Row],[VALOR GANADO]]-Tabla14[[#This Row],[REAJUSTADO]]</f>
        <v>29138.826606875933</v>
      </c>
      <c r="BE77" s="250">
        <f>Tabla14[[#This Row],[CUANTO SE REAJUSTA]]*Tabla14[[#This Row],[Personas Rechazo]]</f>
        <v>349665.91928251123</v>
      </c>
      <c r="BF77" s="250">
        <f>Tabla14[[#This Row],[REAJUSTADO]]/25000</f>
        <v>0</v>
      </c>
      <c r="BG77" s="302">
        <f>Tabla14[[#This Row],[REAJUSTADO]]*Tabla14[[#This Row],[Personas Rechazo]]</f>
        <v>0</v>
      </c>
      <c r="BH77" s="292" t="str">
        <f>Tabla14[[#This Row],[Finca]]</f>
        <v>Pedrito</v>
      </c>
      <c r="BJ77" s="330">
        <f>Tabla14[[#This Row],[Numero de Ocacionales]]*Tabla14[[#This Row],[REAJUSTADO]]</f>
        <v>0</v>
      </c>
      <c r="BM77" s="330">
        <f>+Tabla14[[#This Row],[CUANTO SE REAJUSTA]]*3</f>
        <v>87416.479820627806</v>
      </c>
    </row>
    <row r="78" spans="3:65" hidden="1" x14ac:dyDescent="0.25">
      <c r="C78" s="274">
        <v>44656</v>
      </c>
      <c r="D78" s="507">
        <f>YEAR(Tabla14[[#This Row],[Fecha]])</f>
        <v>2022</v>
      </c>
      <c r="E78" s="313">
        <f>IF(Tabla14[[#This Row],[Fecha]]&gt;0,_xlfn.ISOWEEKNUM(Tabla14[[#This Row],[Fecha]]),0)</f>
        <v>14</v>
      </c>
      <c r="F78" s="283">
        <v>189</v>
      </c>
      <c r="G78" s="275" t="s">
        <v>155</v>
      </c>
      <c r="H78" s="325" t="str">
        <f>_xlfn.XLOOKUP(Tabla14[[#This Row],[Codigo Finca]],Tabla4[Codigo Finca],Tabla4[Nombre Finca],"")</f>
        <v>Damaquiel</v>
      </c>
      <c r="I78" s="277">
        <f>_xlfn.XLOOKUP(Tabla14[[#This Row],[Codigo Finca]],Tabla4[Codigo Finca],Tabla4[Precio Caja],0)</f>
        <v>1500</v>
      </c>
      <c r="J78" s="277">
        <f>_xlfn.XLOOKUP(Tabla14[[#This Row],[Codigo Finca]],Tabla4[Codigo Finca],Tabla4[Precio Caja Segunda],0)</f>
        <v>1000</v>
      </c>
      <c r="K78" s="277">
        <f>_xlfn.XLOOKUP(Tabla14[[#This Row],[Codigo Finca]],Tabla4[Codigo Finca],Tabla4[Precio Rechazo],0)</f>
        <v>500</v>
      </c>
      <c r="L78" s="277">
        <f t="shared" si="26"/>
        <v>686</v>
      </c>
      <c r="M78" s="278">
        <f t="shared" si="27"/>
        <v>3.6296296296296298</v>
      </c>
      <c r="N78" s="269"/>
      <c r="O78" s="270"/>
      <c r="P78" s="251">
        <f t="shared" si="15"/>
        <v>0</v>
      </c>
      <c r="Q78" s="263">
        <f t="shared" si="28"/>
        <v>0</v>
      </c>
      <c r="R78" s="265">
        <f t="shared" si="29"/>
        <v>0</v>
      </c>
      <c r="S78" s="283">
        <f>200+192+165+129</f>
        <v>686</v>
      </c>
      <c r="T78" s="275">
        <v>12</v>
      </c>
      <c r="U78" s="280">
        <f t="shared" si="30"/>
        <v>189</v>
      </c>
      <c r="V78" s="281">
        <f t="shared" si="31"/>
        <v>15.75</v>
      </c>
      <c r="W78" s="282">
        <f t="shared" si="32"/>
        <v>23625</v>
      </c>
      <c r="X78" s="283"/>
      <c r="Y78" s="275"/>
      <c r="Z78" s="280">
        <f>Tabla14[[#This Row],[Cajas Segunda]]</f>
        <v>0</v>
      </c>
      <c r="AA78" s="281">
        <f t="shared" si="33"/>
        <v>0</v>
      </c>
      <c r="AB78" s="284">
        <f t="shared" si="34"/>
        <v>0</v>
      </c>
      <c r="AC78" s="285">
        <f>4.58*12</f>
        <v>54.96</v>
      </c>
      <c r="AD78" s="286"/>
      <c r="AE78" s="286"/>
      <c r="AF78" s="286"/>
      <c r="AG78" s="286">
        <v>12</v>
      </c>
      <c r="AH78" s="280">
        <f t="shared" si="35"/>
        <v>54.96</v>
      </c>
      <c r="AI78" s="281">
        <f t="shared" si="36"/>
        <v>4.58</v>
      </c>
      <c r="AJ78" s="282">
        <f t="shared" si="37"/>
        <v>2290</v>
      </c>
      <c r="AK78" s="264">
        <f>Tabla14[[#This Row],[Cajas por Personas]]</f>
        <v>0</v>
      </c>
      <c r="AL78" s="267">
        <f>Tabla14[[#This Row],[Valor Precorte Pesona]]</f>
        <v>0</v>
      </c>
      <c r="AM78" s="294">
        <f>Tabla14[[#This Row],[Personas Precorte]]</f>
        <v>0</v>
      </c>
      <c r="AN78" s="308">
        <f>Tabla14[[#This Row],[Valor Precorte Pesona Precorte]]*Tabla14[[#This Row],[Perzonas Precorte]]</f>
        <v>0</v>
      </c>
      <c r="AO78" s="287">
        <f>Tabla14[[#This Row],[Cajas por Personas2]]</f>
        <v>15.75</v>
      </c>
      <c r="AP78" s="288">
        <f>Tabla14[[#This Row],[Valor Embarque Pesona]]</f>
        <v>23625</v>
      </c>
      <c r="AQ78" s="295">
        <f>Tabla14[[#This Row],[Personas Precorte2]]</f>
        <v>12</v>
      </c>
      <c r="AR78" s="296">
        <f>Tabla14[[#This Row],[Valor Embarque Pesona3]]*Tabla14[[#This Row],[Perzona Primera]]</f>
        <v>283500</v>
      </c>
      <c r="AS78" s="287">
        <f>Tabla14[[#This Row],[Columna2]]</f>
        <v>0</v>
      </c>
      <c r="AT78" s="288">
        <f>Tabla14[[#This Row],[Columna1]]</f>
        <v>0</v>
      </c>
      <c r="AU78" s="302">
        <f>Tabla14[[#This Row],[Personas Intervienen]]</f>
        <v>0</v>
      </c>
      <c r="AV78" s="297">
        <f>Tabla14[[#This Row],[Valor Embarque Pesona5]]*Tabla14[[#This Row],[Presonas Segunda]]</f>
        <v>0</v>
      </c>
      <c r="AW78" s="287">
        <f>Tabla14[[#This Row],[Bolsas Por Personas]]</f>
        <v>4.58</v>
      </c>
      <c r="AX78" s="288">
        <f>Tabla14[[#This Row],[Valor bolsas Pesona]]</f>
        <v>2290</v>
      </c>
      <c r="AY78" s="309">
        <f>Tabla14[[#This Row],[Personas13]]</f>
        <v>12</v>
      </c>
      <c r="AZ78" s="310">
        <f>Tabla14[[#This Row],[Valor bolsas Pesona2]]*Tabla14[[#This Row],[Personas Rechazo]]</f>
        <v>27480</v>
      </c>
      <c r="BA78" s="311">
        <f>+Tabla14[[#This Row],[Total Valor Segunda]]+Tabla14[[#This Row],[Total Valor Primera]]+Tabla14[[#This Row],[Total Valor Precorte]]</f>
        <v>283500</v>
      </c>
      <c r="BB78" s="292">
        <f>Tabla14[[#This Row],[Valor bolsas Pesona2]]+Tabla14[[#This Row],[Valor Embarque Pesona3]]</f>
        <v>25915</v>
      </c>
      <c r="BD78" s="292">
        <f>Tabla14[[#This Row],[VALOR GANADO]]-Tabla14[[#This Row],[REAJUSTADO]]</f>
        <v>25915</v>
      </c>
      <c r="BE78" s="250">
        <f>Tabla14[[#This Row],[CUANTO SE REAJUSTA]]*Tabla14[[#This Row],[Personas Rechazo]]</f>
        <v>310980</v>
      </c>
      <c r="BF78" s="250">
        <f>Tabla14[[#This Row],[REAJUSTADO]]/25000</f>
        <v>0</v>
      </c>
      <c r="BG78" s="302">
        <f>Tabla14[[#This Row],[REAJUSTADO]]*Tabla14[[#This Row],[Personas Rechazo]]</f>
        <v>0</v>
      </c>
      <c r="BH78" s="292" t="str">
        <f>Tabla14[[#This Row],[Finca]]</f>
        <v>Damaquiel</v>
      </c>
      <c r="BJ78" s="330">
        <f>Tabla14[[#This Row],[Numero de Ocacionales]]*Tabla14[[#This Row],[REAJUSTADO]]</f>
        <v>0</v>
      </c>
      <c r="BM78" s="330">
        <f>+Tabla14[[#This Row],[CUANTO SE REAJUSTA]]*3</f>
        <v>77745</v>
      </c>
    </row>
    <row r="79" spans="3:65" hidden="1" x14ac:dyDescent="0.25">
      <c r="C79" s="274">
        <v>44657</v>
      </c>
      <c r="D79" s="507">
        <f>YEAR(Tabla14[[#This Row],[Fecha]])</f>
        <v>2022</v>
      </c>
      <c r="E79" s="313">
        <f>IF(Tabla14[[#This Row],[Fecha]]&gt;0,_xlfn.ISOWEEKNUM(Tabla14[[#This Row],[Fecha]]),0)</f>
        <v>14</v>
      </c>
      <c r="F79" s="283">
        <v>320</v>
      </c>
      <c r="G79" s="275" t="s">
        <v>152</v>
      </c>
      <c r="H79" s="325" t="str">
        <f>_xlfn.XLOOKUP(Tabla14[[#This Row],[Codigo Finca]],Tabla4[Codigo Finca],Tabla4[Nombre Finca],"")</f>
        <v>San Pedro</v>
      </c>
      <c r="I79" s="277">
        <f>_xlfn.XLOOKUP(Tabla14[[#This Row],[Codigo Finca]],Tabla4[Codigo Finca],Tabla4[Precio Caja],0)</f>
        <v>1500</v>
      </c>
      <c r="J79" s="277">
        <f>_xlfn.XLOOKUP(Tabla14[[#This Row],[Codigo Finca]],Tabla4[Codigo Finca],Tabla4[Precio Caja Segunda],0)</f>
        <v>1000</v>
      </c>
      <c r="K79" s="277">
        <f>_xlfn.XLOOKUP(Tabla14[[#This Row],[Codigo Finca]],Tabla4[Codigo Finca],Tabla4[Precio Rechazo],0)</f>
        <v>500</v>
      </c>
      <c r="L79" s="277">
        <f t="shared" ref="L79:L84" si="38">S79+N79</f>
        <v>1157</v>
      </c>
      <c r="M79" s="278">
        <f t="shared" ref="M79:M84" si="39">IF(F79&gt;0,L79/F79,0)</f>
        <v>3.6156250000000001</v>
      </c>
      <c r="N79" s="283"/>
      <c r="O79" s="279"/>
      <c r="P79" s="280">
        <f t="shared" ref="P79:P84" si="40">IF(N79&gt;0,(N79/M79)/2,0)</f>
        <v>0</v>
      </c>
      <c r="Q79" s="281">
        <f t="shared" ref="Q79:Q84" si="41">IF(O79&gt;0,P79/O79,0)</f>
        <v>0</v>
      </c>
      <c r="R79" s="282">
        <f t="shared" ref="R79:R84" si="42">IF(I79&gt;0,Q79*I79,)</f>
        <v>0</v>
      </c>
      <c r="S79" s="283">
        <v>1157</v>
      </c>
      <c r="T79" s="275">
        <v>16</v>
      </c>
      <c r="U79" s="280">
        <f t="shared" ref="U79:U84" si="43">F79-P79</f>
        <v>320</v>
      </c>
      <c r="V79" s="281">
        <f t="shared" ref="V79:V84" si="44">IF(T79&gt;0,U79/T79,0)</f>
        <v>20</v>
      </c>
      <c r="W79" s="282">
        <f t="shared" ref="W79:W84" si="45">IF(T79&gt;0,(U79*I79)/T79,0)</f>
        <v>30000</v>
      </c>
      <c r="X79" s="283"/>
      <c r="Y79" s="275"/>
      <c r="Z79" s="280">
        <f>Tabla14[[#This Row],[Cajas Segunda]]</f>
        <v>0</v>
      </c>
      <c r="AA79" s="281">
        <f t="shared" ref="AA79:AA84" si="46">IF(Y79&gt;0,Z79/Y79,0)</f>
        <v>0</v>
      </c>
      <c r="AB79" s="284">
        <f t="shared" ref="AB79:AB84" si="47">IF(Y79&gt;0,(Z79*J79)/Y79,0)</f>
        <v>0</v>
      </c>
      <c r="AC79" s="285">
        <v>170</v>
      </c>
      <c r="AD79" s="286"/>
      <c r="AE79" s="286"/>
      <c r="AF79" s="286"/>
      <c r="AG79" s="286">
        <v>16</v>
      </c>
      <c r="AH79" s="280">
        <f t="shared" ref="AH79:AH84" si="48">IF(AND(AC79&gt;0,AE79=0,AF79=0,AD79=0),AC79,IF(AND(AC79=0,AE79&gt;0,AF79&gt;0,AD79=0),AE79*AF79/25,IF(AND(AC79=0,AE79=0,AF79=0,AD79&gt;0),AD79/25,0)))</f>
        <v>170</v>
      </c>
      <c r="AI79" s="281">
        <f t="shared" ref="AI79:AI84" si="49">IF(AG79&gt;0,AH79/AG79,0)</f>
        <v>10.625</v>
      </c>
      <c r="AJ79" s="282">
        <f t="shared" ref="AJ79:AJ84" si="50">AI79*K79</f>
        <v>5312.5</v>
      </c>
      <c r="AK79" s="287">
        <f>Tabla14[[#This Row],[Cajas por Personas]]</f>
        <v>0</v>
      </c>
      <c r="AL79" s="288">
        <f>Tabla14[[#This Row],[Valor Precorte Pesona]]</f>
        <v>0</v>
      </c>
      <c r="AM79" s="294">
        <f>Tabla14[[#This Row],[Personas Precorte]]</f>
        <v>0</v>
      </c>
      <c r="AN79" s="308">
        <f>Tabla14[[#This Row],[Valor Precorte Pesona Precorte]]*Tabla14[[#This Row],[Perzonas Precorte]]</f>
        <v>0</v>
      </c>
      <c r="AO79" s="287">
        <f>Tabla14[[#This Row],[Cajas por Personas2]]</f>
        <v>20</v>
      </c>
      <c r="AP79" s="288">
        <f>Tabla14[[#This Row],[Valor Embarque Pesona]]</f>
        <v>30000</v>
      </c>
      <c r="AQ79" s="295">
        <f>Tabla14[[#This Row],[Personas Precorte2]]</f>
        <v>16</v>
      </c>
      <c r="AR79" s="296">
        <f>Tabla14[[#This Row],[Valor Embarque Pesona3]]*Tabla14[[#This Row],[Perzona Primera]]</f>
        <v>480000</v>
      </c>
      <c r="AS79" s="287">
        <f>Tabla14[[#This Row],[Columna2]]</f>
        <v>0</v>
      </c>
      <c r="AT79" s="288">
        <f>Tabla14[[#This Row],[Columna1]]</f>
        <v>0</v>
      </c>
      <c r="AU79" s="302">
        <f>Tabla14[[#This Row],[Personas Intervienen]]</f>
        <v>0</v>
      </c>
      <c r="AV79" s="297">
        <f>Tabla14[[#This Row],[Valor Embarque Pesona5]]*Tabla14[[#This Row],[Presonas Segunda]]</f>
        <v>0</v>
      </c>
      <c r="AW79" s="287">
        <f>Tabla14[[#This Row],[Bolsas Por Personas]]</f>
        <v>10.625</v>
      </c>
      <c r="AX79" s="288">
        <f>Tabla14[[#This Row],[Valor bolsas Pesona]]</f>
        <v>5312.5</v>
      </c>
      <c r="AY79" s="309">
        <f>Tabla14[[#This Row],[Personas13]]</f>
        <v>16</v>
      </c>
      <c r="AZ79" s="310">
        <f>Tabla14[[#This Row],[Valor bolsas Pesona2]]*Tabla14[[#This Row],[Personas Rechazo]]</f>
        <v>85000</v>
      </c>
      <c r="BA79" s="311">
        <f>+Tabla14[[#This Row],[Total Valor Segunda]]+Tabla14[[#This Row],[Total Valor Primera]]+Tabla14[[#This Row],[Total Valor Precorte]]</f>
        <v>480000</v>
      </c>
      <c r="BB79" s="292">
        <f>Tabla14[[#This Row],[Valor bolsas Pesona2]]+Tabla14[[#This Row],[Valor Embarque Pesona3]]</f>
        <v>35312.5</v>
      </c>
      <c r="BD79" s="292">
        <f>Tabla14[[#This Row],[VALOR GANADO]]-Tabla14[[#This Row],[REAJUSTADO]]</f>
        <v>35312.5</v>
      </c>
      <c r="BE79" s="250">
        <f>Tabla14[[#This Row],[CUANTO SE REAJUSTA]]*Tabla14[[#This Row],[Personas Rechazo]]</f>
        <v>565000</v>
      </c>
      <c r="BF79" s="250">
        <f>Tabla14[[#This Row],[REAJUSTADO]]/25000</f>
        <v>0</v>
      </c>
      <c r="BG79" s="302">
        <f>Tabla14[[#This Row],[REAJUSTADO]]*Tabla14[[#This Row],[Personas Rechazo]]</f>
        <v>0</v>
      </c>
      <c r="BH79" s="292" t="str">
        <f>Tabla14[[#This Row],[Finca]]</f>
        <v>San Pedro</v>
      </c>
      <c r="BJ79" s="330">
        <f>Tabla14[[#This Row],[Numero de Ocacionales]]*Tabla14[[#This Row],[REAJUSTADO]]</f>
        <v>0</v>
      </c>
      <c r="BM79" s="330">
        <f>+Tabla14[[#This Row],[CUANTO SE REAJUSTA]]*3</f>
        <v>105937.5</v>
      </c>
    </row>
    <row r="80" spans="3:65" hidden="1" x14ac:dyDescent="0.25">
      <c r="C80" s="274">
        <v>44658</v>
      </c>
      <c r="D80" s="507">
        <f>YEAR(Tabla14[[#This Row],[Fecha]])</f>
        <v>2022</v>
      </c>
      <c r="E80" s="313">
        <f>IF(Tabla14[[#This Row],[Fecha]]&gt;0,_xlfn.ISOWEEKNUM(Tabla14[[#This Row],[Fecha]]),0)</f>
        <v>14</v>
      </c>
      <c r="F80" s="283">
        <v>185</v>
      </c>
      <c r="G80" s="275" t="s">
        <v>152</v>
      </c>
      <c r="H80" s="325" t="str">
        <f>_xlfn.XLOOKUP(Tabla14[[#This Row],[Codigo Finca]],Tabla4[Codigo Finca],Tabla4[Nombre Finca],"")</f>
        <v>San Pedro</v>
      </c>
      <c r="I80" s="277">
        <f>_xlfn.XLOOKUP(Tabla14[[#This Row],[Codigo Finca]],Tabla4[Codigo Finca],Tabla4[Precio Caja],0)</f>
        <v>1500</v>
      </c>
      <c r="J80" s="277">
        <f>_xlfn.XLOOKUP(Tabla14[[#This Row],[Codigo Finca]],Tabla4[Codigo Finca],Tabla4[Precio Caja Segunda],0)</f>
        <v>1000</v>
      </c>
      <c r="K80" s="277">
        <f>_xlfn.XLOOKUP(Tabla14[[#This Row],[Codigo Finca]],Tabla4[Codigo Finca],Tabla4[Precio Rechazo],0)</f>
        <v>500</v>
      </c>
      <c r="L80" s="277">
        <f t="shared" si="38"/>
        <v>501</v>
      </c>
      <c r="M80" s="278">
        <f t="shared" si="39"/>
        <v>2.708108108108108</v>
      </c>
      <c r="N80" s="283"/>
      <c r="O80" s="279"/>
      <c r="P80" s="280">
        <f t="shared" si="40"/>
        <v>0</v>
      </c>
      <c r="Q80" s="281">
        <f t="shared" si="41"/>
        <v>0</v>
      </c>
      <c r="R80" s="282">
        <f t="shared" si="42"/>
        <v>0</v>
      </c>
      <c r="S80" s="283">
        <v>501</v>
      </c>
      <c r="T80" s="275">
        <v>10</v>
      </c>
      <c r="U80" s="280">
        <f t="shared" si="43"/>
        <v>185</v>
      </c>
      <c r="V80" s="281">
        <f t="shared" si="44"/>
        <v>18.5</v>
      </c>
      <c r="W80" s="282">
        <f t="shared" si="45"/>
        <v>27750</v>
      </c>
      <c r="X80" s="283"/>
      <c r="Y80" s="275"/>
      <c r="Z80" s="280">
        <f>Tabla14[[#This Row],[Cajas Segunda]]</f>
        <v>0</v>
      </c>
      <c r="AA80" s="281">
        <f t="shared" si="46"/>
        <v>0</v>
      </c>
      <c r="AB80" s="284">
        <f t="shared" si="47"/>
        <v>0</v>
      </c>
      <c r="AC80" s="285">
        <v>100</v>
      </c>
      <c r="AD80" s="286"/>
      <c r="AE80" s="286"/>
      <c r="AF80" s="286"/>
      <c r="AG80" s="286">
        <v>10</v>
      </c>
      <c r="AH80" s="280">
        <f t="shared" si="48"/>
        <v>100</v>
      </c>
      <c r="AI80" s="281">
        <f t="shared" si="49"/>
        <v>10</v>
      </c>
      <c r="AJ80" s="282">
        <f t="shared" si="50"/>
        <v>5000</v>
      </c>
      <c r="AK80" s="287">
        <f>Tabla14[[#This Row],[Cajas por Personas]]</f>
        <v>0</v>
      </c>
      <c r="AL80" s="288">
        <f>Tabla14[[#This Row],[Valor Precorte Pesona]]</f>
        <v>0</v>
      </c>
      <c r="AM80" s="294">
        <f>Tabla14[[#This Row],[Personas Precorte]]</f>
        <v>0</v>
      </c>
      <c r="AN80" s="308">
        <f>Tabla14[[#This Row],[Valor Precorte Pesona Precorte]]*Tabla14[[#This Row],[Perzonas Precorte]]</f>
        <v>0</v>
      </c>
      <c r="AO80" s="287">
        <f>Tabla14[[#This Row],[Cajas por Personas2]]</f>
        <v>18.5</v>
      </c>
      <c r="AP80" s="288">
        <f>Tabla14[[#This Row],[Valor Embarque Pesona]]</f>
        <v>27750</v>
      </c>
      <c r="AQ80" s="295">
        <f>Tabla14[[#This Row],[Personas Precorte2]]</f>
        <v>10</v>
      </c>
      <c r="AR80" s="296">
        <f>Tabla14[[#This Row],[Valor Embarque Pesona3]]*Tabla14[[#This Row],[Perzona Primera]]</f>
        <v>277500</v>
      </c>
      <c r="AS80" s="287">
        <f>Tabla14[[#This Row],[Columna2]]</f>
        <v>0</v>
      </c>
      <c r="AT80" s="288">
        <f>Tabla14[[#This Row],[Columna1]]</f>
        <v>0</v>
      </c>
      <c r="AU80" s="302">
        <f>Tabla14[[#This Row],[Personas Intervienen]]</f>
        <v>0</v>
      </c>
      <c r="AV80" s="297">
        <f>Tabla14[[#This Row],[Valor Embarque Pesona5]]*Tabla14[[#This Row],[Presonas Segunda]]</f>
        <v>0</v>
      </c>
      <c r="AW80" s="287">
        <f>Tabla14[[#This Row],[Bolsas Por Personas]]</f>
        <v>10</v>
      </c>
      <c r="AX80" s="288">
        <f>Tabla14[[#This Row],[Valor bolsas Pesona]]</f>
        <v>5000</v>
      </c>
      <c r="AY80" s="309">
        <f>Tabla14[[#This Row],[Personas13]]</f>
        <v>10</v>
      </c>
      <c r="AZ80" s="310">
        <f>Tabla14[[#This Row],[Valor bolsas Pesona2]]*Tabla14[[#This Row],[Personas Rechazo]]</f>
        <v>50000</v>
      </c>
      <c r="BA80" s="311">
        <f>+Tabla14[[#This Row],[Total Valor Segunda]]+Tabla14[[#This Row],[Total Valor Primera]]+Tabla14[[#This Row],[Total Valor Precorte]]</f>
        <v>277500</v>
      </c>
      <c r="BB80" s="292">
        <f>Tabla14[[#This Row],[Valor bolsas Pesona2]]+Tabla14[[#This Row],[Valor Embarque Pesona3]]</f>
        <v>32750</v>
      </c>
      <c r="BD80" s="292">
        <f>Tabla14[[#This Row],[VALOR GANADO]]-Tabla14[[#This Row],[REAJUSTADO]]</f>
        <v>32750</v>
      </c>
      <c r="BE80" s="250">
        <f>Tabla14[[#This Row],[CUANTO SE REAJUSTA]]*Tabla14[[#This Row],[Personas Rechazo]]</f>
        <v>327500</v>
      </c>
      <c r="BF80" s="250">
        <f>Tabla14[[#This Row],[REAJUSTADO]]/25000</f>
        <v>0</v>
      </c>
      <c r="BG80" s="302">
        <f>Tabla14[[#This Row],[REAJUSTADO]]*Tabla14[[#This Row],[Personas Rechazo]]</f>
        <v>0</v>
      </c>
      <c r="BH80" s="292" t="str">
        <f>Tabla14[[#This Row],[Finca]]</f>
        <v>San Pedro</v>
      </c>
      <c r="BJ80" s="330">
        <f>Tabla14[[#This Row],[Numero de Ocacionales]]*Tabla14[[#This Row],[REAJUSTADO]]</f>
        <v>0</v>
      </c>
      <c r="BM80" s="330">
        <f>+Tabla14[[#This Row],[CUANTO SE REAJUSTA]]*3</f>
        <v>98250</v>
      </c>
    </row>
    <row r="81" spans="1:65" hidden="1" x14ac:dyDescent="0.25">
      <c r="C81" s="274">
        <v>44658</v>
      </c>
      <c r="D81" s="507">
        <f>YEAR(Tabla14[[#This Row],[Fecha]])</f>
        <v>2022</v>
      </c>
      <c r="E81" s="313">
        <f>IF(Tabla14[[#This Row],[Fecha]]&gt;0,_xlfn.ISOWEEKNUM(Tabla14[[#This Row],[Fecha]]),0)</f>
        <v>14</v>
      </c>
      <c r="F81" s="283">
        <v>108</v>
      </c>
      <c r="G81" s="275" t="s">
        <v>153</v>
      </c>
      <c r="H81" s="325" t="str">
        <f>_xlfn.XLOOKUP(Tabla14[[#This Row],[Codigo Finca]],Tabla4[Codigo Finca],Tabla4[Nombre Finca],"")</f>
        <v>Uveros</v>
      </c>
      <c r="I81" s="277">
        <f>_xlfn.XLOOKUP(Tabla14[[#This Row],[Codigo Finca]],Tabla4[Codigo Finca],Tabla4[Precio Caja],0)</f>
        <v>1500</v>
      </c>
      <c r="J81" s="277">
        <f>_xlfn.XLOOKUP(Tabla14[[#This Row],[Codigo Finca]],Tabla4[Codigo Finca],Tabla4[Precio Caja Segunda],0)</f>
        <v>1000</v>
      </c>
      <c r="K81" s="277">
        <f>_xlfn.XLOOKUP(Tabla14[[#This Row],[Codigo Finca]],Tabla4[Codigo Finca],Tabla4[Precio Rechazo],0)</f>
        <v>500</v>
      </c>
      <c r="L81" s="277">
        <f t="shared" si="38"/>
        <v>336</v>
      </c>
      <c r="M81" s="278">
        <f t="shared" si="39"/>
        <v>3.1111111111111112</v>
      </c>
      <c r="N81" s="283"/>
      <c r="O81" s="279"/>
      <c r="P81" s="280">
        <f t="shared" si="40"/>
        <v>0</v>
      </c>
      <c r="Q81" s="281">
        <f t="shared" si="41"/>
        <v>0</v>
      </c>
      <c r="R81" s="282">
        <f t="shared" si="42"/>
        <v>0</v>
      </c>
      <c r="S81" s="283">
        <f>154+182</f>
        <v>336</v>
      </c>
      <c r="T81" s="275">
        <v>7</v>
      </c>
      <c r="U81" s="280">
        <f t="shared" si="43"/>
        <v>108</v>
      </c>
      <c r="V81" s="281">
        <f t="shared" si="44"/>
        <v>15.428571428571429</v>
      </c>
      <c r="W81" s="282">
        <f t="shared" si="45"/>
        <v>23142.857142857141</v>
      </c>
      <c r="X81" s="283"/>
      <c r="Y81" s="275"/>
      <c r="Z81" s="280">
        <f>Tabla14[[#This Row],[Cajas Segunda]]</f>
        <v>0</v>
      </c>
      <c r="AA81" s="281">
        <f t="shared" si="46"/>
        <v>0</v>
      </c>
      <c r="AB81" s="284">
        <f t="shared" si="47"/>
        <v>0</v>
      </c>
      <c r="AC81" s="285"/>
      <c r="AD81" s="286"/>
      <c r="AE81" s="286">
        <v>2</v>
      </c>
      <c r="AF81" s="286">
        <v>85</v>
      </c>
      <c r="AG81" s="286">
        <v>7</v>
      </c>
      <c r="AH81" s="280">
        <f t="shared" si="48"/>
        <v>6.8</v>
      </c>
      <c r="AI81" s="281">
        <f t="shared" si="49"/>
        <v>0.97142857142857142</v>
      </c>
      <c r="AJ81" s="282">
        <f t="shared" si="50"/>
        <v>485.71428571428572</v>
      </c>
      <c r="AK81" s="287">
        <f>Tabla14[[#This Row],[Cajas por Personas]]</f>
        <v>0</v>
      </c>
      <c r="AL81" s="288">
        <f>Tabla14[[#This Row],[Valor Precorte Pesona]]</f>
        <v>0</v>
      </c>
      <c r="AM81" s="294">
        <f>Tabla14[[#This Row],[Personas Precorte]]</f>
        <v>0</v>
      </c>
      <c r="AN81" s="308">
        <f>Tabla14[[#This Row],[Valor Precorte Pesona Precorte]]*Tabla14[[#This Row],[Perzonas Precorte]]</f>
        <v>0</v>
      </c>
      <c r="AO81" s="287">
        <f>Tabla14[[#This Row],[Cajas por Personas2]]</f>
        <v>15.428571428571429</v>
      </c>
      <c r="AP81" s="288">
        <f>Tabla14[[#This Row],[Valor Embarque Pesona]]</f>
        <v>23142.857142857141</v>
      </c>
      <c r="AQ81" s="295">
        <f>Tabla14[[#This Row],[Personas Precorte2]]</f>
        <v>7</v>
      </c>
      <c r="AR81" s="296">
        <f>Tabla14[[#This Row],[Valor Embarque Pesona3]]*Tabla14[[#This Row],[Perzona Primera]]</f>
        <v>162000</v>
      </c>
      <c r="AS81" s="287">
        <f>Tabla14[[#This Row],[Columna2]]</f>
        <v>0</v>
      </c>
      <c r="AT81" s="288">
        <f>Tabla14[[#This Row],[Columna1]]</f>
        <v>0</v>
      </c>
      <c r="AU81" s="302">
        <f>Tabla14[[#This Row],[Personas Intervienen]]</f>
        <v>0</v>
      </c>
      <c r="AV81" s="297">
        <f>Tabla14[[#This Row],[Valor Embarque Pesona5]]*Tabla14[[#This Row],[Presonas Segunda]]</f>
        <v>0</v>
      </c>
      <c r="AW81" s="287">
        <f>Tabla14[[#This Row],[Bolsas Por Personas]]</f>
        <v>0.97142857142857142</v>
      </c>
      <c r="AX81" s="288">
        <f>Tabla14[[#This Row],[Valor bolsas Pesona]]</f>
        <v>485.71428571428572</v>
      </c>
      <c r="AY81" s="309">
        <f>Tabla14[[#This Row],[Personas13]]</f>
        <v>7</v>
      </c>
      <c r="AZ81" s="310">
        <f>Tabla14[[#This Row],[Valor bolsas Pesona2]]*Tabla14[[#This Row],[Personas Rechazo]]</f>
        <v>3400</v>
      </c>
      <c r="BA81" s="311">
        <f>+Tabla14[[#This Row],[Total Valor Segunda]]+Tabla14[[#This Row],[Total Valor Primera]]+Tabla14[[#This Row],[Total Valor Precorte]]</f>
        <v>162000</v>
      </c>
      <c r="BB81" s="292">
        <f>Tabla14[[#This Row],[Valor bolsas Pesona2]]+Tabla14[[#This Row],[Valor Embarque Pesona3]]</f>
        <v>23628.571428571428</v>
      </c>
      <c r="BD81" s="292">
        <f>Tabla14[[#This Row],[VALOR GANADO]]-Tabla14[[#This Row],[REAJUSTADO]]</f>
        <v>23628.571428571428</v>
      </c>
      <c r="BE81" s="250">
        <f>Tabla14[[#This Row],[CUANTO SE REAJUSTA]]*Tabla14[[#This Row],[Personas Rechazo]]</f>
        <v>165400</v>
      </c>
      <c r="BF81" s="250">
        <f>Tabla14[[#This Row],[REAJUSTADO]]/25000</f>
        <v>0</v>
      </c>
      <c r="BG81" s="302">
        <f>Tabla14[[#This Row],[REAJUSTADO]]*Tabla14[[#This Row],[Personas Rechazo]]</f>
        <v>0</v>
      </c>
      <c r="BH81" s="292" t="str">
        <f>Tabla14[[#This Row],[Finca]]</f>
        <v>Uveros</v>
      </c>
      <c r="BJ81" s="330">
        <f>Tabla14[[#This Row],[Numero de Ocacionales]]*Tabla14[[#This Row],[REAJUSTADO]]</f>
        <v>0</v>
      </c>
      <c r="BM81" s="330">
        <f>+Tabla14[[#This Row],[CUANTO SE REAJUSTA]]*3</f>
        <v>70885.71428571429</v>
      </c>
    </row>
    <row r="82" spans="1:65" hidden="1" x14ac:dyDescent="0.25">
      <c r="C82" s="274">
        <v>44662</v>
      </c>
      <c r="D82" s="507">
        <f>YEAR(Tabla14[[#This Row],[Fecha]])</f>
        <v>2022</v>
      </c>
      <c r="E82" s="313">
        <f>IF(Tabla14[[#This Row],[Fecha]]&gt;0,_xlfn.ISOWEEKNUM(Tabla14[[#This Row],[Fecha]]),0)</f>
        <v>15</v>
      </c>
      <c r="F82" s="283">
        <v>167</v>
      </c>
      <c r="G82" s="275" t="s">
        <v>152</v>
      </c>
      <c r="H82" s="325" t="str">
        <f>_xlfn.XLOOKUP(Tabla14[[#This Row],[Codigo Finca]],Tabla4[Codigo Finca],Tabla4[Nombre Finca],"")</f>
        <v>San Pedro</v>
      </c>
      <c r="I82" s="277">
        <f>_xlfn.XLOOKUP(Tabla14[[#This Row],[Codigo Finca]],Tabla4[Codigo Finca],Tabla4[Precio Caja],0)</f>
        <v>1500</v>
      </c>
      <c r="J82" s="277">
        <f>_xlfn.XLOOKUP(Tabla14[[#This Row],[Codigo Finca]],Tabla4[Codigo Finca],Tabla4[Precio Caja Segunda],0)</f>
        <v>1000</v>
      </c>
      <c r="K82" s="277">
        <f>_xlfn.XLOOKUP(Tabla14[[#This Row],[Codigo Finca]],Tabla4[Codigo Finca],Tabla4[Precio Rechazo],0)</f>
        <v>500</v>
      </c>
      <c r="L82" s="277">
        <f t="shared" si="38"/>
        <v>683</v>
      </c>
      <c r="M82" s="278">
        <f t="shared" si="39"/>
        <v>4.0898203592814371</v>
      </c>
      <c r="N82" s="283"/>
      <c r="O82" s="279"/>
      <c r="P82" s="280">
        <f t="shared" si="40"/>
        <v>0</v>
      </c>
      <c r="Q82" s="281">
        <f t="shared" si="41"/>
        <v>0</v>
      </c>
      <c r="R82" s="282">
        <f t="shared" si="42"/>
        <v>0</v>
      </c>
      <c r="S82" s="283">
        <v>683</v>
      </c>
      <c r="T82" s="275">
        <v>12</v>
      </c>
      <c r="U82" s="280">
        <f t="shared" si="43"/>
        <v>167</v>
      </c>
      <c r="V82" s="281">
        <f t="shared" si="44"/>
        <v>13.916666666666666</v>
      </c>
      <c r="W82" s="282">
        <f t="shared" si="45"/>
        <v>20875</v>
      </c>
      <c r="X82" s="283"/>
      <c r="Y82" s="275"/>
      <c r="Z82" s="280">
        <f>Tabla14[[#This Row],[Cajas Segunda]]</f>
        <v>0</v>
      </c>
      <c r="AA82" s="281">
        <f t="shared" si="46"/>
        <v>0</v>
      </c>
      <c r="AB82" s="284">
        <f t="shared" si="47"/>
        <v>0</v>
      </c>
      <c r="AC82" s="285"/>
      <c r="AD82" s="286"/>
      <c r="AE82" s="286">
        <v>25</v>
      </c>
      <c r="AF82" s="286">
        <v>85</v>
      </c>
      <c r="AG82" s="286">
        <v>12</v>
      </c>
      <c r="AH82" s="280">
        <f t="shared" si="48"/>
        <v>85</v>
      </c>
      <c r="AI82" s="281">
        <f t="shared" si="49"/>
        <v>7.083333333333333</v>
      </c>
      <c r="AJ82" s="282">
        <f t="shared" si="50"/>
        <v>3541.6666666666665</v>
      </c>
      <c r="AK82" s="287">
        <f>Tabla14[[#This Row],[Cajas por Personas]]</f>
        <v>0</v>
      </c>
      <c r="AL82" s="288">
        <f>Tabla14[[#This Row],[Valor Precorte Pesona]]</f>
        <v>0</v>
      </c>
      <c r="AM82" s="294">
        <f>Tabla14[[#This Row],[Personas Precorte]]</f>
        <v>0</v>
      </c>
      <c r="AN82" s="308">
        <f>Tabla14[[#This Row],[Valor Precorte Pesona Precorte]]*Tabla14[[#This Row],[Perzonas Precorte]]</f>
        <v>0</v>
      </c>
      <c r="AO82" s="287">
        <f>Tabla14[[#This Row],[Cajas por Personas2]]</f>
        <v>13.916666666666666</v>
      </c>
      <c r="AP82" s="288">
        <f>Tabla14[[#This Row],[Valor Embarque Pesona]]</f>
        <v>20875</v>
      </c>
      <c r="AQ82" s="295">
        <f>Tabla14[[#This Row],[Personas Precorte2]]</f>
        <v>12</v>
      </c>
      <c r="AR82" s="296">
        <f>Tabla14[[#This Row],[Valor Embarque Pesona3]]*Tabla14[[#This Row],[Perzona Primera]]</f>
        <v>250500</v>
      </c>
      <c r="AS82" s="287">
        <f>Tabla14[[#This Row],[Columna2]]</f>
        <v>0</v>
      </c>
      <c r="AT82" s="288">
        <f>Tabla14[[#This Row],[Columna1]]</f>
        <v>0</v>
      </c>
      <c r="AU82" s="302">
        <f>Tabla14[[#This Row],[Personas Intervienen]]</f>
        <v>0</v>
      </c>
      <c r="AV82" s="297">
        <f>Tabla14[[#This Row],[Valor Embarque Pesona5]]*Tabla14[[#This Row],[Presonas Segunda]]</f>
        <v>0</v>
      </c>
      <c r="AW82" s="287">
        <f>Tabla14[[#This Row],[Bolsas Por Personas]]</f>
        <v>7.083333333333333</v>
      </c>
      <c r="AX82" s="288">
        <f>Tabla14[[#This Row],[Valor bolsas Pesona]]</f>
        <v>3541.6666666666665</v>
      </c>
      <c r="AY82" s="309">
        <f>Tabla14[[#This Row],[Personas13]]</f>
        <v>12</v>
      </c>
      <c r="AZ82" s="310">
        <f>Tabla14[[#This Row],[Valor bolsas Pesona2]]*Tabla14[[#This Row],[Personas Rechazo]]</f>
        <v>42500</v>
      </c>
      <c r="BA82" s="311">
        <f>+Tabla14[[#This Row],[Total Valor Segunda]]+Tabla14[[#This Row],[Total Valor Primera]]+Tabla14[[#This Row],[Total Valor Precorte]]</f>
        <v>250500</v>
      </c>
      <c r="BB82" s="292">
        <f>Tabla14[[#This Row],[Valor bolsas Pesona2]]+Tabla14[[#This Row],[Valor Embarque Pesona3]]</f>
        <v>24416.666666666668</v>
      </c>
      <c r="BC82" s="332">
        <v>30000</v>
      </c>
      <c r="BD82" s="292">
        <f>Tabla14[[#This Row],[VALOR GANADO]]-Tabla14[[#This Row],[REAJUSTADO]]</f>
        <v>-5583.3333333333321</v>
      </c>
      <c r="BE82" s="250">
        <f>Tabla14[[#This Row],[CUANTO SE REAJUSTA]]*Tabla14[[#This Row],[Personas Rechazo]]</f>
        <v>-66999.999999999985</v>
      </c>
      <c r="BF82" s="329">
        <f>Tabla14[[#This Row],[REAJUSTADO]]/25000</f>
        <v>1.2</v>
      </c>
      <c r="BG82" s="302">
        <f>Tabla14[[#This Row],[REAJUSTADO]]*Tabla14[[#This Row],[Personas Rechazo]]</f>
        <v>360000</v>
      </c>
      <c r="BH82" s="292" t="str">
        <f>Tabla14[[#This Row],[Finca]]</f>
        <v>San Pedro</v>
      </c>
      <c r="BJ82" s="330">
        <f>Tabla14[[#This Row],[Numero de Ocacionales]]*Tabla14[[#This Row],[REAJUSTADO]]</f>
        <v>0</v>
      </c>
      <c r="BM82" s="330">
        <f>+Tabla14[[#This Row],[CUANTO SE REAJUSTA]]*3</f>
        <v>-16749.999999999996</v>
      </c>
    </row>
    <row r="83" spans="1:65" hidden="1" x14ac:dyDescent="0.25">
      <c r="C83" s="274">
        <v>44662</v>
      </c>
      <c r="D83" s="507">
        <f>YEAR(Tabla14[[#This Row],[Fecha]])</f>
        <v>2022</v>
      </c>
      <c r="E83" s="313">
        <f>IF(Tabla14[[#This Row],[Fecha]]&gt;0,_xlfn.ISOWEEKNUM(Tabla14[[#This Row],[Fecha]]),0)</f>
        <v>15</v>
      </c>
      <c r="F83" s="283">
        <v>154</v>
      </c>
      <c r="G83" s="275" t="s">
        <v>155</v>
      </c>
      <c r="H83" s="325" t="str">
        <f>_xlfn.XLOOKUP(Tabla14[[#This Row],[Codigo Finca]],Tabla4[Codigo Finca],Tabla4[Nombre Finca],"")</f>
        <v>Damaquiel</v>
      </c>
      <c r="I83" s="277">
        <f>_xlfn.XLOOKUP(Tabla14[[#This Row],[Codigo Finca]],Tabla4[Codigo Finca],Tabla4[Precio Caja],0)</f>
        <v>1500</v>
      </c>
      <c r="J83" s="277">
        <f>_xlfn.XLOOKUP(Tabla14[[#This Row],[Codigo Finca]],Tabla4[Codigo Finca],Tabla4[Precio Caja Segunda],0)</f>
        <v>1000</v>
      </c>
      <c r="K83" s="277">
        <f>_xlfn.XLOOKUP(Tabla14[[#This Row],[Codigo Finca]],Tabla4[Codigo Finca],Tabla4[Precio Rechazo],0)</f>
        <v>500</v>
      </c>
      <c r="L83" s="277">
        <f t="shared" si="38"/>
        <v>492</v>
      </c>
      <c r="M83" s="278">
        <f t="shared" si="39"/>
        <v>3.1948051948051948</v>
      </c>
      <c r="N83" s="283"/>
      <c r="O83" s="279"/>
      <c r="P83" s="280">
        <f t="shared" si="40"/>
        <v>0</v>
      </c>
      <c r="Q83" s="281">
        <f t="shared" si="41"/>
        <v>0</v>
      </c>
      <c r="R83" s="282">
        <f t="shared" si="42"/>
        <v>0</v>
      </c>
      <c r="S83" s="283">
        <v>492</v>
      </c>
      <c r="T83" s="275">
        <v>8</v>
      </c>
      <c r="U83" s="280">
        <f t="shared" si="43"/>
        <v>154</v>
      </c>
      <c r="V83" s="281">
        <f t="shared" si="44"/>
        <v>19.25</v>
      </c>
      <c r="W83" s="282">
        <f t="shared" si="45"/>
        <v>28875</v>
      </c>
      <c r="X83" s="283"/>
      <c r="Y83" s="275"/>
      <c r="Z83" s="280">
        <f>Tabla14[[#This Row],[Cajas Segunda]]</f>
        <v>0</v>
      </c>
      <c r="AA83" s="281">
        <f t="shared" si="46"/>
        <v>0</v>
      </c>
      <c r="AB83" s="284">
        <f t="shared" si="47"/>
        <v>0</v>
      </c>
      <c r="AC83" s="285"/>
      <c r="AD83" s="286"/>
      <c r="AE83" s="286">
        <v>12</v>
      </c>
      <c r="AF83" s="286">
        <v>85</v>
      </c>
      <c r="AG83" s="286">
        <v>8</v>
      </c>
      <c r="AH83" s="280">
        <f t="shared" si="48"/>
        <v>40.799999999999997</v>
      </c>
      <c r="AI83" s="281">
        <f t="shared" si="49"/>
        <v>5.0999999999999996</v>
      </c>
      <c r="AJ83" s="282">
        <f t="shared" si="50"/>
        <v>2550</v>
      </c>
      <c r="AK83" s="287">
        <f>Tabla14[[#This Row],[Cajas por Personas]]</f>
        <v>0</v>
      </c>
      <c r="AL83" s="288">
        <f>Tabla14[[#This Row],[Valor Precorte Pesona]]</f>
        <v>0</v>
      </c>
      <c r="AM83" s="294">
        <f>Tabla14[[#This Row],[Personas Precorte]]</f>
        <v>0</v>
      </c>
      <c r="AN83" s="308">
        <f>Tabla14[[#This Row],[Valor Precorte Pesona Precorte]]*Tabla14[[#This Row],[Perzonas Precorte]]</f>
        <v>0</v>
      </c>
      <c r="AO83" s="287">
        <f>Tabla14[[#This Row],[Cajas por Personas2]]</f>
        <v>19.25</v>
      </c>
      <c r="AP83" s="288">
        <f>Tabla14[[#This Row],[Valor Embarque Pesona]]</f>
        <v>28875</v>
      </c>
      <c r="AQ83" s="295">
        <f>Tabla14[[#This Row],[Personas Precorte2]]</f>
        <v>8</v>
      </c>
      <c r="AR83" s="296">
        <f>Tabla14[[#This Row],[Valor Embarque Pesona3]]*Tabla14[[#This Row],[Perzona Primera]]</f>
        <v>231000</v>
      </c>
      <c r="AS83" s="287">
        <f>Tabla14[[#This Row],[Columna2]]</f>
        <v>0</v>
      </c>
      <c r="AT83" s="288">
        <f>Tabla14[[#This Row],[Columna1]]</f>
        <v>0</v>
      </c>
      <c r="AU83" s="302">
        <f>Tabla14[[#This Row],[Personas Intervienen]]</f>
        <v>0</v>
      </c>
      <c r="AV83" s="297">
        <f>Tabla14[[#This Row],[Valor Embarque Pesona5]]*Tabla14[[#This Row],[Presonas Segunda]]</f>
        <v>0</v>
      </c>
      <c r="AW83" s="287">
        <f>Tabla14[[#This Row],[Bolsas Por Personas]]</f>
        <v>5.0999999999999996</v>
      </c>
      <c r="AX83" s="288">
        <f>Tabla14[[#This Row],[Valor bolsas Pesona]]</f>
        <v>2550</v>
      </c>
      <c r="AY83" s="309">
        <f>Tabla14[[#This Row],[Personas13]]</f>
        <v>8</v>
      </c>
      <c r="AZ83" s="310">
        <f>Tabla14[[#This Row],[Valor bolsas Pesona2]]*Tabla14[[#This Row],[Personas Rechazo]]</f>
        <v>20400</v>
      </c>
      <c r="BA83" s="311">
        <f>+Tabla14[[#This Row],[Total Valor Segunda]]+Tabla14[[#This Row],[Total Valor Primera]]+Tabla14[[#This Row],[Total Valor Precorte]]</f>
        <v>231000</v>
      </c>
      <c r="BB83" s="292">
        <f>Tabla14[[#This Row],[Valor bolsas Pesona2]]+Tabla14[[#This Row],[Valor Embarque Pesona3]]</f>
        <v>31425</v>
      </c>
      <c r="BC83" s="332">
        <v>31500</v>
      </c>
      <c r="BD83" s="292">
        <f>Tabla14[[#This Row],[VALOR GANADO]]-Tabla14[[#This Row],[REAJUSTADO]]</f>
        <v>-75</v>
      </c>
      <c r="BE83" s="250">
        <f>Tabla14[[#This Row],[CUANTO SE REAJUSTA]]*Tabla14[[#This Row],[Personas Rechazo]]</f>
        <v>-600</v>
      </c>
      <c r="BF83" s="329">
        <f>Tabla14[[#This Row],[REAJUSTADO]]/25000</f>
        <v>1.26</v>
      </c>
      <c r="BG83" s="302">
        <f>Tabla14[[#This Row],[REAJUSTADO]]*Tabla14[[#This Row],[Personas Rechazo]]</f>
        <v>252000</v>
      </c>
      <c r="BH83" s="292" t="str">
        <f>Tabla14[[#This Row],[Finca]]</f>
        <v>Damaquiel</v>
      </c>
      <c r="BJ83" s="330">
        <f>Tabla14[[#This Row],[Numero de Ocacionales]]*Tabla14[[#This Row],[REAJUSTADO]]</f>
        <v>0</v>
      </c>
      <c r="BM83" s="330">
        <f>+Tabla14[[#This Row],[CUANTO SE REAJUSTA]]*3</f>
        <v>-225</v>
      </c>
    </row>
    <row r="84" spans="1:65" hidden="1" x14ac:dyDescent="0.25">
      <c r="C84" s="274">
        <v>44663</v>
      </c>
      <c r="D84" s="507">
        <f>YEAR(Tabla14[[#This Row],[Fecha]])</f>
        <v>2022</v>
      </c>
      <c r="E84" s="313">
        <f>IF(Tabla14[[#This Row],[Fecha]]&gt;0,_xlfn.ISOWEEKNUM(Tabla14[[#This Row],[Fecha]]),0)</f>
        <v>15</v>
      </c>
      <c r="F84" s="283">
        <f>107+34</f>
        <v>141</v>
      </c>
      <c r="G84" s="275" t="s">
        <v>152</v>
      </c>
      <c r="H84" s="325" t="str">
        <f>_xlfn.XLOOKUP(Tabla14[[#This Row],[Codigo Finca]],Tabla4[Codigo Finca],Tabla4[Nombre Finca],"")</f>
        <v>San Pedro</v>
      </c>
      <c r="I84" s="277">
        <f>_xlfn.XLOOKUP(Tabla14[[#This Row],[Codigo Finca]],Tabla4[Codigo Finca],Tabla4[Precio Caja],0)</f>
        <v>1500</v>
      </c>
      <c r="J84" s="277">
        <f>_xlfn.XLOOKUP(Tabla14[[#This Row],[Codigo Finca]],Tabla4[Codigo Finca],Tabla4[Precio Caja Segunda],0)</f>
        <v>1000</v>
      </c>
      <c r="K84" s="277">
        <f>_xlfn.XLOOKUP(Tabla14[[#This Row],[Codigo Finca]],Tabla4[Codigo Finca],Tabla4[Precio Rechazo],0)</f>
        <v>500</v>
      </c>
      <c r="L84" s="277">
        <f t="shared" si="38"/>
        <v>600</v>
      </c>
      <c r="M84" s="278">
        <f t="shared" si="39"/>
        <v>4.2553191489361701</v>
      </c>
      <c r="N84" s="283"/>
      <c r="O84" s="279"/>
      <c r="P84" s="280">
        <f t="shared" si="40"/>
        <v>0</v>
      </c>
      <c r="Q84" s="281">
        <f t="shared" si="41"/>
        <v>0</v>
      </c>
      <c r="R84" s="282">
        <f t="shared" si="42"/>
        <v>0</v>
      </c>
      <c r="S84" s="283">
        <v>600</v>
      </c>
      <c r="T84" s="275">
        <v>13</v>
      </c>
      <c r="U84" s="280">
        <f t="shared" si="43"/>
        <v>141</v>
      </c>
      <c r="V84" s="281">
        <f t="shared" si="44"/>
        <v>10.846153846153847</v>
      </c>
      <c r="W84" s="282">
        <f t="shared" si="45"/>
        <v>16269.23076923077</v>
      </c>
      <c r="X84" s="283"/>
      <c r="Y84" s="275"/>
      <c r="Z84" s="280">
        <f>Tabla14[[#This Row],[Cajas Segunda]]</f>
        <v>0</v>
      </c>
      <c r="AA84" s="281">
        <f t="shared" si="46"/>
        <v>0</v>
      </c>
      <c r="AB84" s="284">
        <f t="shared" si="47"/>
        <v>0</v>
      </c>
      <c r="AC84" s="285"/>
      <c r="AD84" s="286"/>
      <c r="AE84" s="286">
        <v>13</v>
      </c>
      <c r="AF84" s="286">
        <v>85</v>
      </c>
      <c r="AG84" s="286">
        <v>13</v>
      </c>
      <c r="AH84" s="280">
        <f t="shared" si="48"/>
        <v>44.2</v>
      </c>
      <c r="AI84" s="281">
        <f t="shared" si="49"/>
        <v>3.4000000000000004</v>
      </c>
      <c r="AJ84" s="282">
        <f t="shared" si="50"/>
        <v>1700.0000000000002</v>
      </c>
      <c r="AK84" s="287">
        <f>Tabla14[[#This Row],[Cajas por Personas]]</f>
        <v>0</v>
      </c>
      <c r="AL84" s="288">
        <f>Tabla14[[#This Row],[Valor Precorte Pesona]]</f>
        <v>0</v>
      </c>
      <c r="AM84" s="294">
        <f>Tabla14[[#This Row],[Personas Precorte]]</f>
        <v>0</v>
      </c>
      <c r="AN84" s="308">
        <f>Tabla14[[#This Row],[Valor Precorte Pesona Precorte]]*Tabla14[[#This Row],[Perzonas Precorte]]</f>
        <v>0</v>
      </c>
      <c r="AO84" s="287">
        <f>Tabla14[[#This Row],[Cajas por Personas2]]</f>
        <v>10.846153846153847</v>
      </c>
      <c r="AP84" s="288">
        <f>Tabla14[[#This Row],[Valor Embarque Pesona]]</f>
        <v>16269.23076923077</v>
      </c>
      <c r="AQ84" s="295">
        <f>Tabla14[[#This Row],[Personas Precorte2]]</f>
        <v>13</v>
      </c>
      <c r="AR84" s="296">
        <f>Tabla14[[#This Row],[Valor Embarque Pesona3]]*Tabla14[[#This Row],[Perzona Primera]]</f>
        <v>211500</v>
      </c>
      <c r="AS84" s="287">
        <f>Tabla14[[#This Row],[Columna2]]</f>
        <v>0</v>
      </c>
      <c r="AT84" s="288">
        <f>Tabla14[[#This Row],[Columna1]]</f>
        <v>0</v>
      </c>
      <c r="AU84" s="302">
        <f>Tabla14[[#This Row],[Personas Intervienen]]</f>
        <v>0</v>
      </c>
      <c r="AV84" s="297">
        <f>Tabla14[[#This Row],[Valor Embarque Pesona5]]*Tabla14[[#This Row],[Presonas Segunda]]</f>
        <v>0</v>
      </c>
      <c r="AW84" s="287">
        <f>Tabla14[[#This Row],[Bolsas Por Personas]]</f>
        <v>3.4000000000000004</v>
      </c>
      <c r="AX84" s="288">
        <f>Tabla14[[#This Row],[Valor bolsas Pesona]]</f>
        <v>1700.0000000000002</v>
      </c>
      <c r="AY84" s="309">
        <f>Tabla14[[#This Row],[Personas13]]</f>
        <v>13</v>
      </c>
      <c r="AZ84" s="310">
        <f>Tabla14[[#This Row],[Valor bolsas Pesona2]]*Tabla14[[#This Row],[Personas Rechazo]]</f>
        <v>22100.000000000004</v>
      </c>
      <c r="BA84" s="311">
        <f>+Tabla14[[#This Row],[Total Valor Segunda]]+Tabla14[[#This Row],[Total Valor Primera]]+Tabla14[[#This Row],[Total Valor Precorte]]</f>
        <v>211500</v>
      </c>
      <c r="BB84" s="292">
        <f>Tabla14[[#This Row],[Valor bolsas Pesona2]]+Tabla14[[#This Row],[Valor Embarque Pesona3]]</f>
        <v>17969.23076923077</v>
      </c>
      <c r="BC84" s="332">
        <v>28000</v>
      </c>
      <c r="BD84" s="292">
        <f>Tabla14[[#This Row],[VALOR GANADO]]-Tabla14[[#This Row],[REAJUSTADO]]</f>
        <v>-10030.76923076923</v>
      </c>
      <c r="BE84" s="250">
        <f>Tabla14[[#This Row],[CUANTO SE REAJUSTA]]*Tabla14[[#This Row],[Personas Rechazo]]</f>
        <v>-130400</v>
      </c>
      <c r="BF84" s="329">
        <f>Tabla14[[#This Row],[REAJUSTADO]]/25000</f>
        <v>1.1200000000000001</v>
      </c>
      <c r="BG84" s="302">
        <f>Tabla14[[#This Row],[REAJUSTADO]]*Tabla14[[#This Row],[Personas Rechazo]]</f>
        <v>364000</v>
      </c>
      <c r="BH84" s="292" t="str">
        <f>Tabla14[[#This Row],[Finca]]</f>
        <v>San Pedro</v>
      </c>
      <c r="BJ84" s="330">
        <f>Tabla14[[#This Row],[Numero de Ocacionales]]*Tabla14[[#This Row],[REAJUSTADO]]</f>
        <v>0</v>
      </c>
      <c r="BM84" s="330">
        <f>+Tabla14[[#This Row],[CUANTO SE REAJUSTA]]*3</f>
        <v>-30092.307692307691</v>
      </c>
    </row>
    <row r="85" spans="1:65" hidden="1" x14ac:dyDescent="0.25">
      <c r="C85" s="274">
        <v>44663</v>
      </c>
      <c r="D85" s="507">
        <f>YEAR(Tabla14[[#This Row],[Fecha]])</f>
        <v>2022</v>
      </c>
      <c r="E85" s="313">
        <f>IF(Tabla14[[#This Row],[Fecha]]&gt;0,_xlfn.ISOWEEKNUM(Tabla14[[#This Row],[Fecha]]),0)</f>
        <v>15</v>
      </c>
      <c r="F85" s="283">
        <v>97</v>
      </c>
      <c r="G85" s="275" t="s">
        <v>153</v>
      </c>
      <c r="H85" s="325" t="str">
        <f>_xlfn.XLOOKUP(Tabla14[[#This Row],[Codigo Finca]],Tabla4[Codigo Finca],Tabla4[Nombre Finca],"")</f>
        <v>Uveros</v>
      </c>
      <c r="I85" s="277">
        <f>_xlfn.XLOOKUP(Tabla14[[#This Row],[Codigo Finca]],Tabla4[Codigo Finca],Tabla4[Precio Caja],0)</f>
        <v>1500</v>
      </c>
      <c r="J85" s="277">
        <f>_xlfn.XLOOKUP(Tabla14[[#This Row],[Codigo Finca]],Tabla4[Codigo Finca],Tabla4[Precio Caja Segunda],0)</f>
        <v>1000</v>
      </c>
      <c r="K85" s="277">
        <f>_xlfn.XLOOKUP(Tabla14[[#This Row],[Codigo Finca]],Tabla4[Codigo Finca],Tabla4[Precio Rechazo],0)</f>
        <v>500</v>
      </c>
      <c r="L85" s="277">
        <f t="shared" ref="L85:L91" si="51">S85+N85</f>
        <v>292</v>
      </c>
      <c r="M85" s="278">
        <f t="shared" ref="M85:M91" si="52">IF(F85&gt;0,L85/F85,0)</f>
        <v>3.0103092783505154</v>
      </c>
      <c r="N85" s="283"/>
      <c r="O85" s="279"/>
      <c r="P85" s="280">
        <f t="shared" ref="P85:P91" si="53">IF(N85&gt;0,(N85/M85)/2,0)</f>
        <v>0</v>
      </c>
      <c r="Q85" s="281">
        <f t="shared" ref="Q85:Q91" si="54">IF(O85&gt;0,P85/O85,0)</f>
        <v>0</v>
      </c>
      <c r="R85" s="282">
        <f t="shared" ref="R85:R91" si="55">IF(I85&gt;0,Q85*I85,)</f>
        <v>0</v>
      </c>
      <c r="S85" s="283">
        <v>292</v>
      </c>
      <c r="T85" s="275">
        <v>6</v>
      </c>
      <c r="U85" s="280">
        <f t="shared" ref="U85:U91" si="56">F85-P85</f>
        <v>97</v>
      </c>
      <c r="V85" s="281">
        <f t="shared" ref="V85:V91" si="57">IF(T85&gt;0,U85/T85,0)</f>
        <v>16.166666666666668</v>
      </c>
      <c r="W85" s="282">
        <f t="shared" ref="W85:W91" si="58">IF(T85&gt;0,(U85*I85)/T85,0)</f>
        <v>24250</v>
      </c>
      <c r="X85" s="283"/>
      <c r="Y85" s="275"/>
      <c r="Z85" s="280">
        <f>Tabla14[[#This Row],[Cajas Segunda]]</f>
        <v>0</v>
      </c>
      <c r="AA85" s="281">
        <f t="shared" ref="AA85:AA91" si="59">IF(Y85&gt;0,Z85/Y85,0)</f>
        <v>0</v>
      </c>
      <c r="AB85" s="284">
        <f t="shared" ref="AB85:AB91" si="60">IF(Y85&gt;0,(Z85*J85)/Y85,0)</f>
        <v>0</v>
      </c>
      <c r="AC85" s="285">
        <v>11.4</v>
      </c>
      <c r="AD85" s="286"/>
      <c r="AE85" s="286"/>
      <c r="AF85" s="286"/>
      <c r="AG85" s="286">
        <v>6</v>
      </c>
      <c r="AH85" s="280">
        <f t="shared" ref="AH85:AH91" si="61">IF(AND(AC85&gt;0,AE85=0,AF85=0,AD85=0),AC85,IF(AND(AC85=0,AE85&gt;0,AF85&gt;0,AD85=0),AE85*AF85/25,IF(AND(AC85=0,AE85=0,AF85=0,AD85&gt;0),AD85/25,0)))</f>
        <v>11.4</v>
      </c>
      <c r="AI85" s="281">
        <f t="shared" ref="AI85:AI91" si="62">IF(AG85&gt;0,AH85/AG85,0)</f>
        <v>1.9000000000000001</v>
      </c>
      <c r="AJ85" s="282">
        <f t="shared" ref="AJ85:AJ91" si="63">AI85*K85</f>
        <v>950.00000000000011</v>
      </c>
      <c r="AK85" s="287">
        <f>Tabla14[[#This Row],[Cajas por Personas]]</f>
        <v>0</v>
      </c>
      <c r="AL85" s="288">
        <f>Tabla14[[#This Row],[Valor Precorte Pesona]]</f>
        <v>0</v>
      </c>
      <c r="AM85" s="294">
        <f>Tabla14[[#This Row],[Personas Precorte]]</f>
        <v>0</v>
      </c>
      <c r="AN85" s="308">
        <f>Tabla14[[#This Row],[Valor Precorte Pesona Precorte]]*Tabla14[[#This Row],[Perzonas Precorte]]</f>
        <v>0</v>
      </c>
      <c r="AO85" s="287">
        <f>Tabla14[[#This Row],[Cajas por Personas2]]</f>
        <v>16.166666666666668</v>
      </c>
      <c r="AP85" s="288">
        <f>Tabla14[[#This Row],[Valor Embarque Pesona]]</f>
        <v>24250</v>
      </c>
      <c r="AQ85" s="295">
        <f>Tabla14[[#This Row],[Personas Precorte2]]</f>
        <v>6</v>
      </c>
      <c r="AR85" s="296">
        <f>Tabla14[[#This Row],[Valor Embarque Pesona3]]*Tabla14[[#This Row],[Perzona Primera]]</f>
        <v>145500</v>
      </c>
      <c r="AS85" s="287">
        <f>Tabla14[[#This Row],[Columna2]]</f>
        <v>0</v>
      </c>
      <c r="AT85" s="288">
        <f>Tabla14[[#This Row],[Columna1]]</f>
        <v>0</v>
      </c>
      <c r="AU85" s="302">
        <f>Tabla14[[#This Row],[Personas Intervienen]]</f>
        <v>0</v>
      </c>
      <c r="AV85" s="297">
        <f>Tabla14[[#This Row],[Valor Embarque Pesona5]]*Tabla14[[#This Row],[Presonas Segunda]]</f>
        <v>0</v>
      </c>
      <c r="AW85" s="287">
        <f>Tabla14[[#This Row],[Bolsas Por Personas]]</f>
        <v>1.9000000000000001</v>
      </c>
      <c r="AX85" s="288">
        <f>Tabla14[[#This Row],[Valor bolsas Pesona]]</f>
        <v>950.00000000000011</v>
      </c>
      <c r="AY85" s="309">
        <f>Tabla14[[#This Row],[Personas13]]</f>
        <v>6</v>
      </c>
      <c r="AZ85" s="310">
        <f>Tabla14[[#This Row],[Valor bolsas Pesona2]]*Tabla14[[#This Row],[Personas Rechazo]]</f>
        <v>5700.0000000000009</v>
      </c>
      <c r="BA85" s="311">
        <f>+Tabla14[[#This Row],[Total Valor Segunda]]+Tabla14[[#This Row],[Total Valor Primera]]+Tabla14[[#This Row],[Total Valor Precorte]]</f>
        <v>145500</v>
      </c>
      <c r="BB85" s="292">
        <f>Tabla14[[#This Row],[Valor bolsas Pesona2]]+Tabla14[[#This Row],[Valor Embarque Pesona3]]</f>
        <v>25200</v>
      </c>
      <c r="BC85" s="332">
        <v>30000</v>
      </c>
      <c r="BD85" s="292">
        <f>Tabla14[[#This Row],[VALOR GANADO]]-Tabla14[[#This Row],[REAJUSTADO]]</f>
        <v>-4800</v>
      </c>
      <c r="BE85" s="250">
        <f>Tabla14[[#This Row],[CUANTO SE REAJUSTA]]*Tabla14[[#This Row],[Personas Rechazo]]</f>
        <v>-28800</v>
      </c>
      <c r="BF85" s="329">
        <f>Tabla14[[#This Row],[REAJUSTADO]]/25000</f>
        <v>1.2</v>
      </c>
      <c r="BG85" s="302">
        <f>Tabla14[[#This Row],[REAJUSTADO]]*Tabla14[[#This Row],[Personas Rechazo]]</f>
        <v>180000</v>
      </c>
      <c r="BH85" s="292" t="str">
        <f>Tabla14[[#This Row],[Finca]]</f>
        <v>Uveros</v>
      </c>
      <c r="BJ85" s="330">
        <f>Tabla14[[#This Row],[Numero de Ocacionales]]*Tabla14[[#This Row],[REAJUSTADO]]</f>
        <v>0</v>
      </c>
      <c r="BM85" s="330">
        <f>+Tabla14[[#This Row],[CUANTO SE REAJUSTA]]*3</f>
        <v>-14400</v>
      </c>
    </row>
    <row r="86" spans="1:65" hidden="1" x14ac:dyDescent="0.25">
      <c r="C86" s="274">
        <v>44670</v>
      </c>
      <c r="D86" s="507">
        <f>YEAR(Tabla14[[#This Row],[Fecha]])</f>
        <v>2022</v>
      </c>
      <c r="E86" s="313">
        <f>IF(Tabla14[[#This Row],[Fecha]]&gt;0,_xlfn.ISOWEEKNUM(Tabla14[[#This Row],[Fecha]]),0)</f>
        <v>16</v>
      </c>
      <c r="F86" s="283">
        <v>122</v>
      </c>
      <c r="G86" s="275" t="s">
        <v>155</v>
      </c>
      <c r="H86" s="325" t="str">
        <f>_xlfn.XLOOKUP(Tabla14[[#This Row],[Codigo Finca]],Tabla4[Codigo Finca],Tabla4[Nombre Finca],"")</f>
        <v>Damaquiel</v>
      </c>
      <c r="I86" s="277">
        <f>_xlfn.XLOOKUP(Tabla14[[#This Row],[Codigo Finca]],Tabla4[Codigo Finca],Tabla4[Precio Caja],0)</f>
        <v>1500</v>
      </c>
      <c r="J86" s="277">
        <f>_xlfn.XLOOKUP(Tabla14[[#This Row],[Codigo Finca]],Tabla4[Codigo Finca],Tabla4[Precio Caja Segunda],0)</f>
        <v>1000</v>
      </c>
      <c r="K86" s="277">
        <f>_xlfn.XLOOKUP(Tabla14[[#This Row],[Codigo Finca]],Tabla4[Codigo Finca],Tabla4[Precio Rechazo],0)</f>
        <v>500</v>
      </c>
      <c r="L86" s="277">
        <f t="shared" si="51"/>
        <v>482</v>
      </c>
      <c r="M86" s="278">
        <f t="shared" si="52"/>
        <v>3.9508196721311477</v>
      </c>
      <c r="N86" s="283"/>
      <c r="O86" s="279"/>
      <c r="P86" s="280">
        <f t="shared" si="53"/>
        <v>0</v>
      </c>
      <c r="Q86" s="281">
        <f t="shared" si="54"/>
        <v>0</v>
      </c>
      <c r="R86" s="282">
        <f t="shared" si="55"/>
        <v>0</v>
      </c>
      <c r="S86" s="283">
        <v>482</v>
      </c>
      <c r="T86" s="275">
        <v>8</v>
      </c>
      <c r="U86" s="280">
        <f t="shared" si="56"/>
        <v>122</v>
      </c>
      <c r="V86" s="281">
        <f t="shared" si="57"/>
        <v>15.25</v>
      </c>
      <c r="W86" s="282">
        <f t="shared" si="58"/>
        <v>22875</v>
      </c>
      <c r="X86" s="283"/>
      <c r="Y86" s="275"/>
      <c r="Z86" s="280">
        <f>Tabla14[[#This Row],[Cajas Segunda]]</f>
        <v>0</v>
      </c>
      <c r="AA86" s="281">
        <f t="shared" si="59"/>
        <v>0</v>
      </c>
      <c r="AB86" s="284">
        <f t="shared" si="60"/>
        <v>0</v>
      </c>
      <c r="AC86" s="285">
        <v>40</v>
      </c>
      <c r="AD86" s="286"/>
      <c r="AE86" s="286"/>
      <c r="AF86" s="286"/>
      <c r="AG86" s="286">
        <v>8</v>
      </c>
      <c r="AH86" s="280">
        <f t="shared" si="61"/>
        <v>40</v>
      </c>
      <c r="AI86" s="281">
        <f t="shared" si="62"/>
        <v>5</v>
      </c>
      <c r="AJ86" s="282">
        <f t="shared" si="63"/>
        <v>2500</v>
      </c>
      <c r="AK86" s="287">
        <f>Tabla14[[#This Row],[Cajas por Personas]]</f>
        <v>0</v>
      </c>
      <c r="AL86" s="288">
        <f>Tabla14[[#This Row],[Valor Precorte Pesona]]</f>
        <v>0</v>
      </c>
      <c r="AM86" s="294">
        <f>Tabla14[[#This Row],[Personas Precorte]]</f>
        <v>0</v>
      </c>
      <c r="AN86" s="308">
        <f>Tabla14[[#This Row],[Valor Precorte Pesona Precorte]]*Tabla14[[#This Row],[Perzonas Precorte]]</f>
        <v>0</v>
      </c>
      <c r="AO86" s="287">
        <f>Tabla14[[#This Row],[Cajas por Personas2]]</f>
        <v>15.25</v>
      </c>
      <c r="AP86" s="288">
        <f>Tabla14[[#This Row],[Valor Embarque Pesona]]</f>
        <v>22875</v>
      </c>
      <c r="AQ86" s="295">
        <f>Tabla14[[#This Row],[Personas Precorte2]]</f>
        <v>8</v>
      </c>
      <c r="AR86" s="296">
        <f>Tabla14[[#This Row],[Valor Embarque Pesona3]]*Tabla14[[#This Row],[Perzona Primera]]</f>
        <v>183000</v>
      </c>
      <c r="AS86" s="287">
        <f>Tabla14[[#This Row],[Columna2]]</f>
        <v>0</v>
      </c>
      <c r="AT86" s="288">
        <f>Tabla14[[#This Row],[Columna1]]</f>
        <v>0</v>
      </c>
      <c r="AU86" s="302">
        <f>Tabla14[[#This Row],[Personas Intervienen]]</f>
        <v>0</v>
      </c>
      <c r="AV86" s="297">
        <f>Tabla14[[#This Row],[Valor Embarque Pesona5]]*Tabla14[[#This Row],[Presonas Segunda]]</f>
        <v>0</v>
      </c>
      <c r="AW86" s="287">
        <f>Tabla14[[#This Row],[Bolsas Por Personas]]</f>
        <v>5</v>
      </c>
      <c r="AX86" s="288">
        <f>Tabla14[[#This Row],[Valor bolsas Pesona]]</f>
        <v>2500</v>
      </c>
      <c r="AY86" s="309">
        <f>Tabla14[[#This Row],[Personas13]]</f>
        <v>8</v>
      </c>
      <c r="AZ86" s="310">
        <f>Tabla14[[#This Row],[Valor bolsas Pesona2]]*Tabla14[[#This Row],[Personas Rechazo]]</f>
        <v>20000</v>
      </c>
      <c r="BA86" s="311">
        <f>+Tabla14[[#This Row],[Total Valor Segunda]]+Tabla14[[#This Row],[Total Valor Primera]]+Tabla14[[#This Row],[Total Valor Precorte]]</f>
        <v>183000</v>
      </c>
      <c r="BB86" s="292">
        <f>Tabla14[[#This Row],[Valor bolsas Pesona2]]+Tabla14[[#This Row],[Valor Embarque Pesona3]]</f>
        <v>25375</v>
      </c>
      <c r="BC86" s="332">
        <v>30000</v>
      </c>
      <c r="BD86" s="292">
        <f>Tabla14[[#This Row],[VALOR GANADO]]-Tabla14[[#This Row],[REAJUSTADO]]</f>
        <v>-4625</v>
      </c>
      <c r="BE86" s="250">
        <f>Tabla14[[#This Row],[CUANTO SE REAJUSTA]]*Tabla14[[#This Row],[Personas Rechazo]]</f>
        <v>-37000</v>
      </c>
      <c r="BF86" s="250">
        <f>Tabla14[[#This Row],[REAJUSTADO]]/25000</f>
        <v>1.2</v>
      </c>
      <c r="BG86" s="302">
        <f>Tabla14[[#This Row],[REAJUSTADO]]*Tabla14[[#This Row],[Personas Rechazo]]</f>
        <v>240000</v>
      </c>
      <c r="BH86" s="292" t="str">
        <f>Tabla14[[#This Row],[Finca]]</f>
        <v>Damaquiel</v>
      </c>
      <c r="BI86" s="250">
        <v>7</v>
      </c>
      <c r="BJ86" s="330">
        <f>Tabla14[[#This Row],[Numero de Ocacionales]]*Tabla14[[#This Row],[REAJUSTADO]]</f>
        <v>210000</v>
      </c>
      <c r="BM86" s="330">
        <f>+Tabla14[[#This Row],[CUANTO SE REAJUSTA]]*3</f>
        <v>-13875</v>
      </c>
    </row>
    <row r="87" spans="1:65" hidden="1" x14ac:dyDescent="0.25">
      <c r="C87" s="274">
        <v>44670</v>
      </c>
      <c r="D87" s="507">
        <f>YEAR(Tabla14[[#This Row],[Fecha]])</f>
        <v>2022</v>
      </c>
      <c r="E87" s="313">
        <f>IF(Tabla14[[#This Row],[Fecha]]&gt;0,_xlfn.ISOWEEKNUM(Tabla14[[#This Row],[Fecha]]),0)</f>
        <v>16</v>
      </c>
      <c r="F87" s="283">
        <v>221</v>
      </c>
      <c r="G87" s="275" t="s">
        <v>157</v>
      </c>
      <c r="H87" s="325" t="str">
        <f>_xlfn.XLOOKUP(Tabla14[[#This Row],[Codigo Finca]],Tabla4[Codigo Finca],Tabla4[Nombre Finca],"")</f>
        <v>Pedrito</v>
      </c>
      <c r="I87" s="277">
        <f>_xlfn.XLOOKUP(Tabla14[[#This Row],[Codigo Finca]],Tabla4[Codigo Finca],Tabla4[Precio Caja],0)</f>
        <v>2100</v>
      </c>
      <c r="J87" s="277">
        <f>_xlfn.XLOOKUP(Tabla14[[#This Row],[Codigo Finca]],Tabla4[Codigo Finca],Tabla4[Precio Caja Segunda],0)</f>
        <v>1000</v>
      </c>
      <c r="K87" s="277">
        <f>_xlfn.XLOOKUP(Tabla14[[#This Row],[Codigo Finca]],Tabla4[Codigo Finca],Tabla4[Precio Rechazo],0)</f>
        <v>500</v>
      </c>
      <c r="L87" s="277">
        <f t="shared" si="51"/>
        <v>618</v>
      </c>
      <c r="M87" s="278">
        <f t="shared" si="52"/>
        <v>2.7963800904977374</v>
      </c>
      <c r="N87" s="283"/>
      <c r="O87" s="279"/>
      <c r="P87" s="280">
        <f t="shared" si="53"/>
        <v>0</v>
      </c>
      <c r="Q87" s="281">
        <f t="shared" si="54"/>
        <v>0</v>
      </c>
      <c r="R87" s="282">
        <f t="shared" si="55"/>
        <v>0</v>
      </c>
      <c r="S87" s="283">
        <v>618</v>
      </c>
      <c r="T87" s="275">
        <v>15</v>
      </c>
      <c r="U87" s="280">
        <f t="shared" si="56"/>
        <v>221</v>
      </c>
      <c r="V87" s="281">
        <f t="shared" si="57"/>
        <v>14.733333333333333</v>
      </c>
      <c r="W87" s="282">
        <f t="shared" si="58"/>
        <v>30940</v>
      </c>
      <c r="X87" s="283"/>
      <c r="Y87" s="275"/>
      <c r="Z87" s="280">
        <f>Tabla14[[#This Row],[Cajas Segunda]]</f>
        <v>0</v>
      </c>
      <c r="AA87" s="281">
        <f t="shared" si="59"/>
        <v>0</v>
      </c>
      <c r="AB87" s="284">
        <f t="shared" si="60"/>
        <v>0</v>
      </c>
      <c r="AC87" s="285">
        <v>42</v>
      </c>
      <c r="AD87" s="286"/>
      <c r="AE87" s="286"/>
      <c r="AF87" s="286"/>
      <c r="AG87" s="286">
        <v>15</v>
      </c>
      <c r="AH87" s="280">
        <f t="shared" si="61"/>
        <v>42</v>
      </c>
      <c r="AI87" s="281">
        <f t="shared" si="62"/>
        <v>2.8</v>
      </c>
      <c r="AJ87" s="282">
        <f t="shared" si="63"/>
        <v>1400</v>
      </c>
      <c r="AK87" s="287">
        <f>Tabla14[[#This Row],[Cajas por Personas]]</f>
        <v>0</v>
      </c>
      <c r="AL87" s="288">
        <f>Tabla14[[#This Row],[Valor Precorte Pesona]]</f>
        <v>0</v>
      </c>
      <c r="AM87" s="294">
        <f>Tabla14[[#This Row],[Personas Precorte]]</f>
        <v>0</v>
      </c>
      <c r="AN87" s="308">
        <f>Tabla14[[#This Row],[Valor Precorte Pesona Precorte]]*Tabla14[[#This Row],[Perzonas Precorte]]</f>
        <v>0</v>
      </c>
      <c r="AO87" s="287">
        <f>Tabla14[[#This Row],[Cajas por Personas2]]</f>
        <v>14.733333333333333</v>
      </c>
      <c r="AP87" s="288">
        <f>Tabla14[[#This Row],[Valor Embarque Pesona]]</f>
        <v>30940</v>
      </c>
      <c r="AQ87" s="295">
        <f>Tabla14[[#This Row],[Personas Precorte2]]</f>
        <v>15</v>
      </c>
      <c r="AR87" s="296">
        <f>Tabla14[[#This Row],[Valor Embarque Pesona3]]*Tabla14[[#This Row],[Perzona Primera]]</f>
        <v>464100</v>
      </c>
      <c r="AS87" s="287">
        <f>Tabla14[[#This Row],[Columna2]]</f>
        <v>0</v>
      </c>
      <c r="AT87" s="288">
        <f>Tabla14[[#This Row],[Columna1]]</f>
        <v>0</v>
      </c>
      <c r="AU87" s="302">
        <f>Tabla14[[#This Row],[Personas Intervienen]]</f>
        <v>0</v>
      </c>
      <c r="AV87" s="297">
        <f>Tabla14[[#This Row],[Valor Embarque Pesona5]]*Tabla14[[#This Row],[Presonas Segunda]]</f>
        <v>0</v>
      </c>
      <c r="AW87" s="287">
        <f>Tabla14[[#This Row],[Bolsas Por Personas]]</f>
        <v>2.8</v>
      </c>
      <c r="AX87" s="288">
        <f>Tabla14[[#This Row],[Valor bolsas Pesona]]</f>
        <v>1400</v>
      </c>
      <c r="AY87" s="309">
        <f>Tabla14[[#This Row],[Personas13]]</f>
        <v>15</v>
      </c>
      <c r="AZ87" s="310">
        <f>Tabla14[[#This Row],[Valor bolsas Pesona2]]*Tabla14[[#This Row],[Personas Rechazo]]</f>
        <v>21000</v>
      </c>
      <c r="BA87" s="311">
        <f>+Tabla14[[#This Row],[Total Valor Segunda]]+Tabla14[[#This Row],[Total Valor Primera]]+Tabla14[[#This Row],[Total Valor Precorte]]</f>
        <v>464100</v>
      </c>
      <c r="BB87" s="292">
        <f>Tabla14[[#This Row],[Valor bolsas Pesona2]]+Tabla14[[#This Row],[Valor Embarque Pesona3]]</f>
        <v>32340</v>
      </c>
      <c r="BC87" s="332">
        <v>32340</v>
      </c>
      <c r="BD87" s="292">
        <f>Tabla14[[#This Row],[VALOR GANADO]]-Tabla14[[#This Row],[REAJUSTADO]]</f>
        <v>0</v>
      </c>
      <c r="BE87" s="250">
        <f>Tabla14[[#This Row],[CUANTO SE REAJUSTA]]*Tabla14[[#This Row],[Personas Rechazo]]</f>
        <v>0</v>
      </c>
      <c r="BF87" s="250">
        <f>Tabla14[[#This Row],[REAJUSTADO]]/25000</f>
        <v>1.2936000000000001</v>
      </c>
      <c r="BG87" s="302">
        <f>Tabla14[[#This Row],[REAJUSTADO]]*Tabla14[[#This Row],[Personas Rechazo]]</f>
        <v>485100</v>
      </c>
      <c r="BH87" s="292" t="str">
        <f>Tabla14[[#This Row],[Finca]]</f>
        <v>Pedrito</v>
      </c>
      <c r="BI87" s="250">
        <v>7</v>
      </c>
      <c r="BJ87" s="330">
        <f>Tabla14[[#This Row],[Numero de Ocacionales]]*Tabla14[[#This Row],[REAJUSTADO]]</f>
        <v>226380</v>
      </c>
      <c r="BM87" s="330">
        <f>+Tabla14[[#This Row],[CUANTO SE REAJUSTA]]*3</f>
        <v>0</v>
      </c>
    </row>
    <row r="88" spans="1:65" hidden="1" x14ac:dyDescent="0.25">
      <c r="C88" s="274">
        <v>44671</v>
      </c>
      <c r="D88" s="507">
        <f>YEAR(Tabla14[[#This Row],[Fecha]])</f>
        <v>2022</v>
      </c>
      <c r="E88" s="313">
        <f>IF(Tabla14[[#This Row],[Fecha]]&gt;0,_xlfn.ISOWEEKNUM(Tabla14[[#This Row],[Fecha]]),0)</f>
        <v>16</v>
      </c>
      <c r="F88" s="283">
        <v>101</v>
      </c>
      <c r="G88" s="275" t="s">
        <v>153</v>
      </c>
      <c r="H88" s="325" t="str">
        <f>_xlfn.XLOOKUP(Tabla14[[#This Row],[Codigo Finca]],Tabla4[Codigo Finca],Tabla4[Nombre Finca],"")</f>
        <v>Uveros</v>
      </c>
      <c r="I88" s="277">
        <f>_xlfn.XLOOKUP(Tabla14[[#This Row],[Codigo Finca]],Tabla4[Codigo Finca],Tabla4[Precio Caja],0)</f>
        <v>1500</v>
      </c>
      <c r="J88" s="277">
        <f>_xlfn.XLOOKUP(Tabla14[[#This Row],[Codigo Finca]],Tabla4[Codigo Finca],Tabla4[Precio Caja Segunda],0)</f>
        <v>1000</v>
      </c>
      <c r="K88" s="277">
        <f>_xlfn.XLOOKUP(Tabla14[[#This Row],[Codigo Finca]],Tabla4[Codigo Finca],Tabla4[Precio Rechazo],0)</f>
        <v>500</v>
      </c>
      <c r="L88" s="277">
        <f t="shared" si="51"/>
        <v>295</v>
      </c>
      <c r="M88" s="278">
        <f t="shared" si="52"/>
        <v>2.9207920792079207</v>
      </c>
      <c r="N88" s="283"/>
      <c r="O88" s="279"/>
      <c r="P88" s="280">
        <f t="shared" si="53"/>
        <v>0</v>
      </c>
      <c r="Q88" s="281">
        <f t="shared" si="54"/>
        <v>0</v>
      </c>
      <c r="R88" s="282">
        <f t="shared" si="55"/>
        <v>0</v>
      </c>
      <c r="S88" s="283">
        <v>295</v>
      </c>
      <c r="T88" s="275">
        <v>6</v>
      </c>
      <c r="U88" s="280">
        <f t="shared" si="56"/>
        <v>101</v>
      </c>
      <c r="V88" s="281">
        <f t="shared" si="57"/>
        <v>16.833333333333332</v>
      </c>
      <c r="W88" s="282">
        <f t="shared" si="58"/>
        <v>25250</v>
      </c>
      <c r="X88" s="283"/>
      <c r="Y88" s="275"/>
      <c r="Z88" s="280">
        <f>Tabla14[[#This Row],[Cajas Segunda]]</f>
        <v>0</v>
      </c>
      <c r="AA88" s="281">
        <f t="shared" si="59"/>
        <v>0</v>
      </c>
      <c r="AB88" s="284">
        <f t="shared" si="60"/>
        <v>0</v>
      </c>
      <c r="AC88" s="285">
        <v>10</v>
      </c>
      <c r="AD88" s="286"/>
      <c r="AE88" s="286"/>
      <c r="AF88" s="286"/>
      <c r="AG88" s="286">
        <v>6</v>
      </c>
      <c r="AH88" s="280">
        <f t="shared" si="61"/>
        <v>10</v>
      </c>
      <c r="AI88" s="281">
        <f t="shared" si="62"/>
        <v>1.6666666666666667</v>
      </c>
      <c r="AJ88" s="282">
        <f t="shared" si="63"/>
        <v>833.33333333333337</v>
      </c>
      <c r="AK88" s="287">
        <f>Tabla14[[#This Row],[Cajas por Personas]]</f>
        <v>0</v>
      </c>
      <c r="AL88" s="288">
        <f>Tabla14[[#This Row],[Valor Precorte Pesona]]</f>
        <v>0</v>
      </c>
      <c r="AM88" s="294">
        <f>Tabla14[[#This Row],[Personas Precorte]]</f>
        <v>0</v>
      </c>
      <c r="AN88" s="308">
        <f>Tabla14[[#This Row],[Valor Precorte Pesona Precorte]]*Tabla14[[#This Row],[Perzonas Precorte]]</f>
        <v>0</v>
      </c>
      <c r="AO88" s="287">
        <f>Tabla14[[#This Row],[Cajas por Personas2]]</f>
        <v>16.833333333333332</v>
      </c>
      <c r="AP88" s="288">
        <f>Tabla14[[#This Row],[Valor Embarque Pesona]]</f>
        <v>25250</v>
      </c>
      <c r="AQ88" s="295">
        <f>Tabla14[[#This Row],[Personas Precorte2]]</f>
        <v>6</v>
      </c>
      <c r="AR88" s="296">
        <f>Tabla14[[#This Row],[Valor Embarque Pesona3]]*Tabla14[[#This Row],[Perzona Primera]]</f>
        <v>151500</v>
      </c>
      <c r="AS88" s="287">
        <f>Tabla14[[#This Row],[Columna2]]</f>
        <v>0</v>
      </c>
      <c r="AT88" s="288">
        <f>Tabla14[[#This Row],[Columna1]]</f>
        <v>0</v>
      </c>
      <c r="AU88" s="302">
        <f>Tabla14[[#This Row],[Personas Intervienen]]</f>
        <v>0</v>
      </c>
      <c r="AV88" s="297">
        <f>Tabla14[[#This Row],[Valor Embarque Pesona5]]*Tabla14[[#This Row],[Presonas Segunda]]</f>
        <v>0</v>
      </c>
      <c r="AW88" s="287">
        <f>Tabla14[[#This Row],[Bolsas Por Personas]]</f>
        <v>1.6666666666666667</v>
      </c>
      <c r="AX88" s="288">
        <f>Tabla14[[#This Row],[Valor bolsas Pesona]]</f>
        <v>833.33333333333337</v>
      </c>
      <c r="AY88" s="309">
        <f>Tabla14[[#This Row],[Personas13]]</f>
        <v>6</v>
      </c>
      <c r="AZ88" s="310">
        <f>Tabla14[[#This Row],[Valor bolsas Pesona2]]*Tabla14[[#This Row],[Personas Rechazo]]</f>
        <v>5000</v>
      </c>
      <c r="BA88" s="311">
        <f>+Tabla14[[#This Row],[Total Valor Segunda]]+Tabla14[[#This Row],[Total Valor Primera]]+Tabla14[[#This Row],[Total Valor Precorte]]</f>
        <v>151500</v>
      </c>
      <c r="BB88" s="292">
        <f>Tabla14[[#This Row],[Valor bolsas Pesona2]]+Tabla14[[#This Row],[Valor Embarque Pesona3]]</f>
        <v>26083.333333333332</v>
      </c>
      <c r="BC88" s="332">
        <v>30000</v>
      </c>
      <c r="BD88" s="292">
        <f>Tabla14[[#This Row],[VALOR GANADO]]-Tabla14[[#This Row],[REAJUSTADO]]</f>
        <v>-3916.6666666666679</v>
      </c>
      <c r="BE88" s="250">
        <f>Tabla14[[#This Row],[CUANTO SE REAJUSTA]]*Tabla14[[#This Row],[Personas Rechazo]]</f>
        <v>-23500.000000000007</v>
      </c>
      <c r="BF88" s="250">
        <f>Tabla14[[#This Row],[REAJUSTADO]]/25000</f>
        <v>1.2</v>
      </c>
      <c r="BG88" s="302">
        <f>Tabla14[[#This Row],[REAJUSTADO]]*Tabla14[[#This Row],[Personas Rechazo]]</f>
        <v>180000</v>
      </c>
      <c r="BH88" s="292" t="str">
        <f>Tabla14[[#This Row],[Finca]]</f>
        <v>Uveros</v>
      </c>
      <c r="BI88" s="250">
        <v>5</v>
      </c>
      <c r="BJ88" s="330">
        <f>Tabla14[[#This Row],[Numero de Ocacionales]]*Tabla14[[#This Row],[REAJUSTADO]]</f>
        <v>150000</v>
      </c>
      <c r="BM88" s="330">
        <f>+Tabla14[[#This Row],[CUANTO SE REAJUSTA]]*3</f>
        <v>-11750.000000000004</v>
      </c>
    </row>
    <row r="89" spans="1:65" hidden="1" x14ac:dyDescent="0.25">
      <c r="C89" s="274">
        <v>44671</v>
      </c>
      <c r="D89" s="507">
        <f>YEAR(Tabla14[[#This Row],[Fecha]])</f>
        <v>2022</v>
      </c>
      <c r="E89" s="313">
        <f>IF(Tabla14[[#This Row],[Fecha]]&gt;0,_xlfn.ISOWEEKNUM(Tabla14[[#This Row],[Fecha]]),0)</f>
        <v>16</v>
      </c>
      <c r="F89" s="283">
        <v>289</v>
      </c>
      <c r="G89" s="275" t="s">
        <v>152</v>
      </c>
      <c r="H89" s="325" t="str">
        <f>_xlfn.XLOOKUP(Tabla14[[#This Row],[Codigo Finca]],Tabla4[Codigo Finca],Tabla4[Nombre Finca],"")</f>
        <v>San Pedro</v>
      </c>
      <c r="I89" s="277">
        <f>_xlfn.XLOOKUP(Tabla14[[#This Row],[Codigo Finca]],Tabla4[Codigo Finca],Tabla4[Precio Caja],0)</f>
        <v>1500</v>
      </c>
      <c r="J89" s="277">
        <f>_xlfn.XLOOKUP(Tabla14[[#This Row],[Codigo Finca]],Tabla4[Codigo Finca],Tabla4[Precio Caja Segunda],0)</f>
        <v>1000</v>
      </c>
      <c r="K89" s="277">
        <f>_xlfn.XLOOKUP(Tabla14[[#This Row],[Codigo Finca]],Tabla4[Codigo Finca],Tabla4[Precio Rechazo],0)</f>
        <v>500</v>
      </c>
      <c r="L89" s="277">
        <f t="shared" si="51"/>
        <v>790</v>
      </c>
      <c r="M89" s="278">
        <f t="shared" si="52"/>
        <v>2.7335640138408306</v>
      </c>
      <c r="N89" s="283"/>
      <c r="O89" s="279"/>
      <c r="P89" s="280">
        <f t="shared" si="53"/>
        <v>0</v>
      </c>
      <c r="Q89" s="281">
        <f t="shared" si="54"/>
        <v>0</v>
      </c>
      <c r="R89" s="282">
        <f t="shared" si="55"/>
        <v>0</v>
      </c>
      <c r="S89" s="283">
        <v>790</v>
      </c>
      <c r="T89" s="275">
        <v>14</v>
      </c>
      <c r="U89" s="280">
        <f t="shared" si="56"/>
        <v>289</v>
      </c>
      <c r="V89" s="281">
        <f t="shared" si="57"/>
        <v>20.642857142857142</v>
      </c>
      <c r="W89" s="282">
        <f t="shared" si="58"/>
        <v>30964.285714285714</v>
      </c>
      <c r="X89" s="283"/>
      <c r="Y89" s="275"/>
      <c r="Z89" s="280">
        <f>Tabla14[[#This Row],[Cajas Segunda]]</f>
        <v>0</v>
      </c>
      <c r="AA89" s="281">
        <f t="shared" si="59"/>
        <v>0</v>
      </c>
      <c r="AB89" s="284">
        <f t="shared" si="60"/>
        <v>0</v>
      </c>
      <c r="AC89" s="285">
        <v>130</v>
      </c>
      <c r="AD89" s="286"/>
      <c r="AE89" s="286"/>
      <c r="AF89" s="286"/>
      <c r="AG89" s="286">
        <v>14</v>
      </c>
      <c r="AH89" s="280">
        <f t="shared" si="61"/>
        <v>130</v>
      </c>
      <c r="AI89" s="281">
        <f t="shared" si="62"/>
        <v>9.2857142857142865</v>
      </c>
      <c r="AJ89" s="282">
        <f t="shared" si="63"/>
        <v>4642.8571428571431</v>
      </c>
      <c r="AK89" s="287">
        <f>Tabla14[[#This Row],[Cajas por Personas]]</f>
        <v>0</v>
      </c>
      <c r="AL89" s="288">
        <f>Tabla14[[#This Row],[Valor Precorte Pesona]]</f>
        <v>0</v>
      </c>
      <c r="AM89" s="294">
        <f>Tabla14[[#This Row],[Personas Precorte]]</f>
        <v>0</v>
      </c>
      <c r="AN89" s="308">
        <f>Tabla14[[#This Row],[Valor Precorte Pesona Precorte]]*Tabla14[[#This Row],[Perzonas Precorte]]</f>
        <v>0</v>
      </c>
      <c r="AO89" s="287">
        <f>Tabla14[[#This Row],[Cajas por Personas2]]</f>
        <v>20.642857142857142</v>
      </c>
      <c r="AP89" s="288">
        <f>Tabla14[[#This Row],[Valor Embarque Pesona]]</f>
        <v>30964.285714285714</v>
      </c>
      <c r="AQ89" s="295">
        <f>Tabla14[[#This Row],[Personas Precorte2]]</f>
        <v>14</v>
      </c>
      <c r="AR89" s="296">
        <f>Tabla14[[#This Row],[Valor Embarque Pesona3]]*Tabla14[[#This Row],[Perzona Primera]]</f>
        <v>433500</v>
      </c>
      <c r="AS89" s="287">
        <f>Tabla14[[#This Row],[Columna2]]</f>
        <v>0</v>
      </c>
      <c r="AT89" s="288">
        <f>Tabla14[[#This Row],[Columna1]]</f>
        <v>0</v>
      </c>
      <c r="AU89" s="302">
        <f>Tabla14[[#This Row],[Personas Intervienen]]</f>
        <v>0</v>
      </c>
      <c r="AV89" s="297">
        <f>Tabla14[[#This Row],[Valor Embarque Pesona5]]*Tabla14[[#This Row],[Presonas Segunda]]</f>
        <v>0</v>
      </c>
      <c r="AW89" s="287">
        <f>Tabla14[[#This Row],[Bolsas Por Personas]]</f>
        <v>9.2857142857142865</v>
      </c>
      <c r="AX89" s="288">
        <f>Tabla14[[#This Row],[Valor bolsas Pesona]]</f>
        <v>4642.8571428571431</v>
      </c>
      <c r="AY89" s="309">
        <f>Tabla14[[#This Row],[Personas13]]</f>
        <v>14</v>
      </c>
      <c r="AZ89" s="310">
        <f>Tabla14[[#This Row],[Valor bolsas Pesona2]]*Tabla14[[#This Row],[Personas Rechazo]]</f>
        <v>65000</v>
      </c>
      <c r="BA89" s="311">
        <f>+Tabla14[[#This Row],[Total Valor Segunda]]+Tabla14[[#This Row],[Total Valor Primera]]+Tabla14[[#This Row],[Total Valor Precorte]]</f>
        <v>433500</v>
      </c>
      <c r="BB89" s="292">
        <f>Tabla14[[#This Row],[Valor bolsas Pesona2]]+Tabla14[[#This Row],[Valor Embarque Pesona3]]</f>
        <v>35607.142857142855</v>
      </c>
      <c r="BC89" s="332">
        <v>35600</v>
      </c>
      <c r="BD89" s="292">
        <f>Tabla14[[#This Row],[VALOR GANADO]]-Tabla14[[#This Row],[REAJUSTADO]]</f>
        <v>7.142857142855064</v>
      </c>
      <c r="BE89" s="250">
        <f>Tabla14[[#This Row],[CUANTO SE REAJUSTA]]*Tabla14[[#This Row],[Personas Rechazo]]</f>
        <v>99.999999999970896</v>
      </c>
      <c r="BF89" s="250">
        <f>Tabla14[[#This Row],[REAJUSTADO]]/25000</f>
        <v>1.4239999999999999</v>
      </c>
      <c r="BG89" s="302">
        <f>Tabla14[[#This Row],[REAJUSTADO]]*Tabla14[[#This Row],[Personas Rechazo]]</f>
        <v>498400</v>
      </c>
      <c r="BH89" s="292" t="str">
        <f>Tabla14[[#This Row],[Finca]]</f>
        <v>San Pedro</v>
      </c>
      <c r="BI89" s="250">
        <v>3</v>
      </c>
      <c r="BJ89" s="330">
        <f>Tabla14[[#This Row],[Numero de Ocacionales]]*Tabla14[[#This Row],[REAJUSTADO]]</f>
        <v>106800</v>
      </c>
      <c r="BM89" s="330">
        <f>+Tabla14[[#This Row],[CUANTO SE REAJUSTA]]*3</f>
        <v>21.428571428565192</v>
      </c>
    </row>
    <row r="90" spans="1:65" hidden="1" x14ac:dyDescent="0.25">
      <c r="C90" s="274">
        <v>44672</v>
      </c>
      <c r="D90" s="507">
        <f>YEAR(Tabla14[[#This Row],[Fecha]])</f>
        <v>2022</v>
      </c>
      <c r="E90" s="313">
        <f>IF(Tabla14[[#This Row],[Fecha]]&gt;0,_xlfn.ISOWEEKNUM(Tabla14[[#This Row],[Fecha]]),0)</f>
        <v>16</v>
      </c>
      <c r="F90" s="283">
        <v>120</v>
      </c>
      <c r="G90" s="275" t="s">
        <v>157</v>
      </c>
      <c r="H90" s="325" t="str">
        <f>_xlfn.XLOOKUP(Tabla14[[#This Row],[Codigo Finca]],Tabla4[Codigo Finca],Tabla4[Nombre Finca],"")</f>
        <v>Pedrito</v>
      </c>
      <c r="I90" s="277">
        <f>_xlfn.XLOOKUP(Tabla14[[#This Row],[Codigo Finca]],Tabla4[Codigo Finca],Tabla4[Precio Caja],0)</f>
        <v>2100</v>
      </c>
      <c r="J90" s="277">
        <f>_xlfn.XLOOKUP(Tabla14[[#This Row],[Codigo Finca]],Tabla4[Codigo Finca],Tabla4[Precio Caja Segunda],0)</f>
        <v>1000</v>
      </c>
      <c r="K90" s="277">
        <f>_xlfn.XLOOKUP(Tabla14[[#This Row],[Codigo Finca]],Tabla4[Codigo Finca],Tabla4[Precio Rechazo],0)</f>
        <v>500</v>
      </c>
      <c r="L90" s="277">
        <f t="shared" si="51"/>
        <v>0</v>
      </c>
      <c r="M90" s="278">
        <f t="shared" si="52"/>
        <v>0</v>
      </c>
      <c r="N90" s="283"/>
      <c r="O90" s="279"/>
      <c r="P90" s="280">
        <f t="shared" si="53"/>
        <v>0</v>
      </c>
      <c r="Q90" s="281">
        <f t="shared" si="54"/>
        <v>0</v>
      </c>
      <c r="R90" s="282">
        <f t="shared" si="55"/>
        <v>0</v>
      </c>
      <c r="S90" s="283"/>
      <c r="T90" s="275">
        <v>8</v>
      </c>
      <c r="U90" s="280">
        <f t="shared" si="56"/>
        <v>120</v>
      </c>
      <c r="V90" s="281">
        <f t="shared" si="57"/>
        <v>15</v>
      </c>
      <c r="W90" s="282">
        <f t="shared" si="58"/>
        <v>31500</v>
      </c>
      <c r="X90" s="283"/>
      <c r="Y90" s="275"/>
      <c r="Z90" s="280">
        <f>Tabla14[[#This Row],[Cajas Segunda]]</f>
        <v>0</v>
      </c>
      <c r="AA90" s="281">
        <f t="shared" si="59"/>
        <v>0</v>
      </c>
      <c r="AB90" s="284">
        <f t="shared" si="60"/>
        <v>0</v>
      </c>
      <c r="AC90" s="285">
        <f>4.62*8</f>
        <v>36.96</v>
      </c>
      <c r="AD90" s="286"/>
      <c r="AE90" s="286"/>
      <c r="AF90" s="286"/>
      <c r="AG90" s="286">
        <v>8</v>
      </c>
      <c r="AH90" s="280">
        <f t="shared" si="61"/>
        <v>36.96</v>
      </c>
      <c r="AI90" s="281">
        <f t="shared" si="62"/>
        <v>4.62</v>
      </c>
      <c r="AJ90" s="282">
        <f t="shared" si="63"/>
        <v>2310</v>
      </c>
      <c r="AK90" s="287">
        <f>Tabla14[[#This Row],[Cajas por Personas]]</f>
        <v>0</v>
      </c>
      <c r="AL90" s="288">
        <f>Tabla14[[#This Row],[Valor Precorte Pesona]]</f>
        <v>0</v>
      </c>
      <c r="AM90" s="294">
        <f>Tabla14[[#This Row],[Personas Precorte]]</f>
        <v>0</v>
      </c>
      <c r="AN90" s="308">
        <f>Tabla14[[#This Row],[Valor Precorte Pesona Precorte]]*Tabla14[[#This Row],[Perzonas Precorte]]</f>
        <v>0</v>
      </c>
      <c r="AO90" s="287">
        <f>Tabla14[[#This Row],[Cajas por Personas2]]</f>
        <v>15</v>
      </c>
      <c r="AP90" s="288">
        <f>Tabla14[[#This Row],[Valor Embarque Pesona]]</f>
        <v>31500</v>
      </c>
      <c r="AQ90" s="295">
        <f>Tabla14[[#This Row],[Personas Precorte2]]</f>
        <v>8</v>
      </c>
      <c r="AR90" s="296">
        <f>Tabla14[[#This Row],[Valor Embarque Pesona3]]*Tabla14[[#This Row],[Perzona Primera]]</f>
        <v>252000</v>
      </c>
      <c r="AS90" s="287">
        <f>Tabla14[[#This Row],[Columna2]]</f>
        <v>0</v>
      </c>
      <c r="AT90" s="288">
        <f>Tabla14[[#This Row],[Columna1]]</f>
        <v>0</v>
      </c>
      <c r="AU90" s="302">
        <f>Tabla14[[#This Row],[Personas Intervienen]]</f>
        <v>0</v>
      </c>
      <c r="AV90" s="297">
        <f>Tabla14[[#This Row],[Valor Embarque Pesona5]]*Tabla14[[#This Row],[Presonas Segunda]]</f>
        <v>0</v>
      </c>
      <c r="AW90" s="287">
        <f>Tabla14[[#This Row],[Bolsas Por Personas]]</f>
        <v>4.62</v>
      </c>
      <c r="AX90" s="288">
        <f>Tabla14[[#This Row],[Valor bolsas Pesona]]</f>
        <v>2310</v>
      </c>
      <c r="AY90" s="309">
        <f>Tabla14[[#This Row],[Personas13]]</f>
        <v>8</v>
      </c>
      <c r="AZ90" s="310">
        <f>Tabla14[[#This Row],[Valor bolsas Pesona2]]*Tabla14[[#This Row],[Personas Rechazo]]</f>
        <v>18480</v>
      </c>
      <c r="BA90" s="311">
        <f>+Tabla14[[#This Row],[Total Valor Segunda]]+Tabla14[[#This Row],[Total Valor Primera]]+Tabla14[[#This Row],[Total Valor Precorte]]</f>
        <v>252000</v>
      </c>
      <c r="BB90" s="292">
        <f>Tabla14[[#This Row],[Valor bolsas Pesona2]]+Tabla14[[#This Row],[Valor Embarque Pesona3]]</f>
        <v>33810</v>
      </c>
      <c r="BC90" s="332">
        <v>34000</v>
      </c>
      <c r="BD90" s="292">
        <f>Tabla14[[#This Row],[VALOR GANADO]]-Tabla14[[#This Row],[REAJUSTADO]]</f>
        <v>-190</v>
      </c>
      <c r="BE90" s="250">
        <f>Tabla14[[#This Row],[CUANTO SE REAJUSTA]]*Tabla14[[#This Row],[Personas Rechazo]]</f>
        <v>-1520</v>
      </c>
      <c r="BF90" s="250">
        <f>Tabla14[[#This Row],[REAJUSTADO]]/25000</f>
        <v>1.36</v>
      </c>
      <c r="BG90" s="302">
        <f>Tabla14[[#This Row],[REAJUSTADO]]*Tabla14[[#This Row],[Personas Rechazo]]</f>
        <v>272000</v>
      </c>
      <c r="BH90" s="292" t="str">
        <f>Tabla14[[#This Row],[Finca]]</f>
        <v>Pedrito</v>
      </c>
      <c r="BI90" s="250">
        <v>5</v>
      </c>
      <c r="BJ90" s="332">
        <f>Tabla14[[#This Row],[Numero de Ocacionales]]*Tabla14[[#This Row],[REAJUSTADO]]</f>
        <v>170000</v>
      </c>
      <c r="BK90" s="332"/>
      <c r="BM90" s="330">
        <f>+Tabla14[[#This Row],[CUANTO SE REAJUSTA]]*3</f>
        <v>-570</v>
      </c>
    </row>
    <row r="91" spans="1:65" hidden="1" x14ac:dyDescent="0.25">
      <c r="C91" s="274">
        <v>44672</v>
      </c>
      <c r="D91" s="507">
        <f>YEAR(Tabla14[[#This Row],[Fecha]])</f>
        <v>2022</v>
      </c>
      <c r="E91" s="313">
        <f>IF(Tabla14[[#This Row],[Fecha]]&gt;0,_xlfn.ISOWEEKNUM(Tabla14[[#This Row],[Fecha]]),0)</f>
        <v>16</v>
      </c>
      <c r="F91" s="283">
        <v>190</v>
      </c>
      <c r="G91" s="275" t="s">
        <v>152</v>
      </c>
      <c r="H91" s="325" t="str">
        <f>_xlfn.XLOOKUP(Tabla14[[#This Row],[Codigo Finca]],Tabla4[Codigo Finca],Tabla4[Nombre Finca],"")</f>
        <v>San Pedro</v>
      </c>
      <c r="I91" s="277">
        <f>_xlfn.XLOOKUP(Tabla14[[#This Row],[Codigo Finca]],Tabla4[Codigo Finca],Tabla4[Precio Caja],0)</f>
        <v>1500</v>
      </c>
      <c r="J91" s="277">
        <f>_xlfn.XLOOKUP(Tabla14[[#This Row],[Codigo Finca]],Tabla4[Codigo Finca],Tabla4[Precio Caja Segunda],0)</f>
        <v>1000</v>
      </c>
      <c r="K91" s="277">
        <f>_xlfn.XLOOKUP(Tabla14[[#This Row],[Codigo Finca]],Tabla4[Codigo Finca],Tabla4[Precio Rechazo],0)</f>
        <v>500</v>
      </c>
      <c r="L91" s="277">
        <f t="shared" si="51"/>
        <v>620</v>
      </c>
      <c r="M91" s="278">
        <f t="shared" si="52"/>
        <v>3.263157894736842</v>
      </c>
      <c r="N91" s="283"/>
      <c r="O91" s="279"/>
      <c r="P91" s="280">
        <f t="shared" si="53"/>
        <v>0</v>
      </c>
      <c r="Q91" s="281">
        <f t="shared" si="54"/>
        <v>0</v>
      </c>
      <c r="R91" s="282">
        <f t="shared" si="55"/>
        <v>0</v>
      </c>
      <c r="S91" s="283">
        <v>620</v>
      </c>
      <c r="T91" s="275">
        <v>11</v>
      </c>
      <c r="U91" s="280">
        <f t="shared" si="56"/>
        <v>190</v>
      </c>
      <c r="V91" s="281">
        <f t="shared" si="57"/>
        <v>17.272727272727273</v>
      </c>
      <c r="W91" s="282">
        <f t="shared" si="58"/>
        <v>25909.090909090908</v>
      </c>
      <c r="X91" s="283"/>
      <c r="Y91" s="275"/>
      <c r="Z91" s="280">
        <f>Tabla14[[#This Row],[Cajas Segunda]]</f>
        <v>0</v>
      </c>
      <c r="AA91" s="281">
        <f t="shared" si="59"/>
        <v>0</v>
      </c>
      <c r="AB91" s="284">
        <f t="shared" si="60"/>
        <v>0</v>
      </c>
      <c r="AC91" s="285">
        <v>134</v>
      </c>
      <c r="AD91" s="286"/>
      <c r="AE91" s="286"/>
      <c r="AF91" s="286"/>
      <c r="AG91" s="286">
        <v>11</v>
      </c>
      <c r="AH91" s="280">
        <f t="shared" si="61"/>
        <v>134</v>
      </c>
      <c r="AI91" s="281">
        <f t="shared" si="62"/>
        <v>12.181818181818182</v>
      </c>
      <c r="AJ91" s="282">
        <f t="shared" si="63"/>
        <v>6090.909090909091</v>
      </c>
      <c r="AK91" s="287">
        <f>Tabla14[[#This Row],[Cajas por Personas]]</f>
        <v>0</v>
      </c>
      <c r="AL91" s="288">
        <f>Tabla14[[#This Row],[Valor Precorte Pesona]]</f>
        <v>0</v>
      </c>
      <c r="AM91" s="294">
        <f>Tabla14[[#This Row],[Personas Precorte]]</f>
        <v>0</v>
      </c>
      <c r="AN91" s="308">
        <f>Tabla14[[#This Row],[Valor Precorte Pesona Precorte]]*Tabla14[[#This Row],[Perzonas Precorte]]</f>
        <v>0</v>
      </c>
      <c r="AO91" s="287">
        <f>Tabla14[[#This Row],[Cajas por Personas2]]</f>
        <v>17.272727272727273</v>
      </c>
      <c r="AP91" s="288">
        <f>Tabla14[[#This Row],[Valor Embarque Pesona]]</f>
        <v>25909.090909090908</v>
      </c>
      <c r="AQ91" s="295">
        <f>Tabla14[[#This Row],[Personas Precorte2]]</f>
        <v>11</v>
      </c>
      <c r="AR91" s="296">
        <f>Tabla14[[#This Row],[Valor Embarque Pesona3]]*Tabla14[[#This Row],[Perzona Primera]]</f>
        <v>285000</v>
      </c>
      <c r="AS91" s="287">
        <f>Tabla14[[#This Row],[Columna2]]</f>
        <v>0</v>
      </c>
      <c r="AT91" s="288">
        <f>Tabla14[[#This Row],[Columna1]]</f>
        <v>0</v>
      </c>
      <c r="AU91" s="302">
        <f>Tabla14[[#This Row],[Personas Intervienen]]</f>
        <v>0</v>
      </c>
      <c r="AV91" s="297">
        <f>Tabla14[[#This Row],[Valor Embarque Pesona5]]*Tabla14[[#This Row],[Presonas Segunda]]</f>
        <v>0</v>
      </c>
      <c r="AW91" s="287">
        <f>Tabla14[[#This Row],[Bolsas Por Personas]]</f>
        <v>12.181818181818182</v>
      </c>
      <c r="AX91" s="288">
        <f>Tabla14[[#This Row],[Valor bolsas Pesona]]</f>
        <v>6090.909090909091</v>
      </c>
      <c r="AY91" s="309">
        <f>Tabla14[[#This Row],[Personas13]]</f>
        <v>11</v>
      </c>
      <c r="AZ91" s="310">
        <f>Tabla14[[#This Row],[Valor bolsas Pesona2]]*Tabla14[[#This Row],[Personas Rechazo]]</f>
        <v>67000</v>
      </c>
      <c r="BA91" s="311">
        <f>+Tabla14[[#This Row],[Total Valor Segunda]]+Tabla14[[#This Row],[Total Valor Primera]]+Tabla14[[#This Row],[Total Valor Precorte]]</f>
        <v>285000</v>
      </c>
      <c r="BB91" s="292">
        <f>Tabla14[[#This Row],[Valor bolsas Pesona2]]+Tabla14[[#This Row],[Valor Embarque Pesona3]]</f>
        <v>32000</v>
      </c>
      <c r="BC91" s="332">
        <v>32000</v>
      </c>
      <c r="BD91" s="292">
        <f>Tabla14[[#This Row],[VALOR GANADO]]-Tabla14[[#This Row],[REAJUSTADO]]</f>
        <v>0</v>
      </c>
      <c r="BE91" s="250">
        <f>Tabla14[[#This Row],[CUANTO SE REAJUSTA]]*Tabla14[[#This Row],[Personas Rechazo]]</f>
        <v>0</v>
      </c>
      <c r="BF91" s="250">
        <f>Tabla14[[#This Row],[REAJUSTADO]]/25000</f>
        <v>1.28</v>
      </c>
      <c r="BG91" s="302">
        <f>Tabla14[[#This Row],[REAJUSTADO]]*Tabla14[[#This Row],[Personas Rechazo]]</f>
        <v>352000</v>
      </c>
      <c r="BH91" s="292" t="str">
        <f>Tabla14[[#This Row],[Finca]]</f>
        <v>San Pedro</v>
      </c>
      <c r="BI91" s="250">
        <v>3</v>
      </c>
      <c r="BJ91" s="332">
        <f>Tabla14[[#This Row],[Numero de Ocacionales]]*Tabla14[[#This Row],[REAJUSTADO]]</f>
        <v>96000</v>
      </c>
      <c r="BK91" s="332"/>
      <c r="BM91" s="330">
        <f>+Tabla14[[#This Row],[CUANTO SE REAJUSTA]]*3</f>
        <v>0</v>
      </c>
    </row>
    <row r="92" spans="1:65" hidden="1" x14ac:dyDescent="0.25">
      <c r="C92" s="274">
        <v>44677</v>
      </c>
      <c r="D92" s="507">
        <f>YEAR(Tabla14[[#This Row],[Fecha]])</f>
        <v>2022</v>
      </c>
      <c r="E92" s="313">
        <f>IF(Tabla14[[#This Row],[Fecha]]&gt;0,_xlfn.ISOWEEKNUM(Tabla14[[#This Row],[Fecha]]),0)</f>
        <v>17</v>
      </c>
      <c r="F92" s="283">
        <v>233</v>
      </c>
      <c r="G92" s="275" t="s">
        <v>152</v>
      </c>
      <c r="H92" s="325" t="str">
        <f>_xlfn.XLOOKUP(Tabla14[[#This Row],[Codigo Finca]],Tabla4[Codigo Finca],Tabla4[Nombre Finca],"")</f>
        <v>San Pedro</v>
      </c>
      <c r="I92" s="277">
        <f>_xlfn.XLOOKUP(Tabla14[[#This Row],[Codigo Finca]],Tabla4[Codigo Finca],Tabla4[Precio Caja],0)</f>
        <v>1500</v>
      </c>
      <c r="J92" s="277">
        <f>_xlfn.XLOOKUP(Tabla14[[#This Row],[Codigo Finca]],Tabla4[Codigo Finca],Tabla4[Precio Caja Segunda],0)</f>
        <v>1000</v>
      </c>
      <c r="K92" s="277">
        <f>_xlfn.XLOOKUP(Tabla14[[#This Row],[Codigo Finca]],Tabla4[Codigo Finca],Tabla4[Precio Rechazo],0)</f>
        <v>500</v>
      </c>
      <c r="L92" s="277">
        <f t="shared" ref="L92:L97" si="64">S92+N92</f>
        <v>803</v>
      </c>
      <c r="M92" s="278">
        <f t="shared" ref="M92:M97" si="65">IF(F92&gt;0,L92/F92,0)</f>
        <v>3.4463519313304722</v>
      </c>
      <c r="N92" s="283"/>
      <c r="O92" s="279"/>
      <c r="P92" s="280">
        <f t="shared" ref="P92:P97" si="66">IF(N92&gt;0,(N92/M92)/2,0)</f>
        <v>0</v>
      </c>
      <c r="Q92" s="281">
        <f t="shared" ref="Q92:Q97" si="67">IF(O92&gt;0,P92/O92,0)</f>
        <v>0</v>
      </c>
      <c r="R92" s="282">
        <f t="shared" ref="R92:R97" si="68">IF(I92&gt;0,Q92*I92,)</f>
        <v>0</v>
      </c>
      <c r="S92" s="283">
        <v>803</v>
      </c>
      <c r="T92" s="275">
        <v>14</v>
      </c>
      <c r="U92" s="280">
        <f t="shared" ref="U92:U97" si="69">F92-P92</f>
        <v>233</v>
      </c>
      <c r="V92" s="281">
        <f t="shared" ref="V92:V97" si="70">IF(T92&gt;0,U92/T92,0)</f>
        <v>16.642857142857142</v>
      </c>
      <c r="W92" s="282">
        <f t="shared" ref="W92:W97" si="71">IF(T92&gt;0,(U92*I92)/T92,0)</f>
        <v>24964.285714285714</v>
      </c>
      <c r="X92" s="283"/>
      <c r="Y92" s="275"/>
      <c r="Z92" s="280">
        <f>Tabla14[[#This Row],[Cajas Segunda]]</f>
        <v>0</v>
      </c>
      <c r="AA92" s="281">
        <f t="shared" ref="AA92:AA97" si="72">IF(Y92&gt;0,Z92/Y92,0)</f>
        <v>0</v>
      </c>
      <c r="AB92" s="284">
        <f t="shared" ref="AB92:AB97" si="73">IF(Y92&gt;0,(Z92*J92)/Y92,0)</f>
        <v>0</v>
      </c>
      <c r="AC92" s="285">
        <v>112</v>
      </c>
      <c r="AD92" s="286"/>
      <c r="AE92" s="286"/>
      <c r="AF92" s="286"/>
      <c r="AG92" s="286">
        <v>14</v>
      </c>
      <c r="AH92" s="280">
        <f t="shared" ref="AH92:AH98" si="74">IF(AND(AC92&gt;0,AE92=0,AF92=0,AD92=0),AC92,IF(AND(AC92=0,AE92&gt;0,AF92&gt;0,AD92=0),AE92*AF92/25,IF(AND(AC92=0,AE92=0,AF92=0,AD92&gt;0),AD92/25,0)))</f>
        <v>112</v>
      </c>
      <c r="AI92" s="281">
        <f t="shared" ref="AI92:AI98" si="75">IF(AG92&gt;0,AH92/AG92,0)</f>
        <v>8</v>
      </c>
      <c r="AJ92" s="282">
        <f t="shared" ref="AJ92:AJ97" si="76">AI92*K92</f>
        <v>4000</v>
      </c>
      <c r="AK92" s="287">
        <f>Tabla14[[#This Row],[Cajas por Personas]]</f>
        <v>0</v>
      </c>
      <c r="AL92" s="288">
        <f>Tabla14[[#This Row],[Valor Precorte Pesona]]</f>
        <v>0</v>
      </c>
      <c r="AM92" s="294">
        <f>Tabla14[[#This Row],[Personas Precorte]]</f>
        <v>0</v>
      </c>
      <c r="AN92" s="308">
        <f>Tabla14[[#This Row],[Valor Precorte Pesona Precorte]]*Tabla14[[#This Row],[Perzonas Precorte]]</f>
        <v>0</v>
      </c>
      <c r="AO92" s="287">
        <f>Tabla14[[#This Row],[Cajas por Personas2]]</f>
        <v>16.642857142857142</v>
      </c>
      <c r="AP92" s="288">
        <f>Tabla14[[#This Row],[Valor Embarque Pesona]]</f>
        <v>24964.285714285714</v>
      </c>
      <c r="AQ92" s="295">
        <f>Tabla14[[#This Row],[Personas Precorte2]]</f>
        <v>14</v>
      </c>
      <c r="AR92" s="296">
        <f>Tabla14[[#This Row],[Valor Embarque Pesona3]]*Tabla14[[#This Row],[Perzona Primera]]</f>
        <v>349500</v>
      </c>
      <c r="AS92" s="287">
        <f>Tabla14[[#This Row],[Columna2]]</f>
        <v>0</v>
      </c>
      <c r="AT92" s="288">
        <f>Tabla14[[#This Row],[Columna1]]</f>
        <v>0</v>
      </c>
      <c r="AU92" s="302">
        <f>Tabla14[[#This Row],[Personas Intervienen]]</f>
        <v>0</v>
      </c>
      <c r="AV92" s="297">
        <f>Tabla14[[#This Row],[Valor Embarque Pesona5]]*Tabla14[[#This Row],[Presonas Segunda]]</f>
        <v>0</v>
      </c>
      <c r="AW92" s="287">
        <f>Tabla14[[#This Row],[Bolsas Por Personas]]</f>
        <v>8</v>
      </c>
      <c r="AX92" s="288">
        <f>Tabla14[[#This Row],[Valor bolsas Pesona]]</f>
        <v>4000</v>
      </c>
      <c r="AY92" s="309">
        <f>Tabla14[[#This Row],[Personas13]]</f>
        <v>14</v>
      </c>
      <c r="AZ92" s="310">
        <f>Tabla14[[#This Row],[Valor bolsas Pesona2]]*Tabla14[[#This Row],[Personas Rechazo]]</f>
        <v>56000</v>
      </c>
      <c r="BA92" s="311">
        <f>+Tabla14[[#This Row],[Total Valor Segunda]]+Tabla14[[#This Row],[Total Valor Primera]]+Tabla14[[#This Row],[Total Valor Precorte]]</f>
        <v>349500</v>
      </c>
      <c r="BB92" s="292">
        <f>Tabla14[[#This Row],[Valor bolsas Pesona2]]+Tabla14[[#This Row],[Valor Embarque Pesona3]]</f>
        <v>28964.285714285714</v>
      </c>
      <c r="BC92" s="332">
        <v>30000</v>
      </c>
      <c r="BD92" s="292">
        <f>Tabla14[[#This Row],[VALOR GANADO]]-Tabla14[[#This Row],[REAJUSTADO]]</f>
        <v>-1035.7142857142862</v>
      </c>
      <c r="BF92" s="250">
        <f>Tabla14[[#This Row],[REAJUSTADO]]/25000</f>
        <v>1.2</v>
      </c>
      <c r="BG92" s="302">
        <f>Tabla14[[#This Row],[REAJUSTADO]]*Tabla14[[#This Row],[Personas Rechazo]]</f>
        <v>420000</v>
      </c>
      <c r="BH92" s="292" t="str">
        <f>Tabla14[[#This Row],[Finca]]</f>
        <v>San Pedro</v>
      </c>
      <c r="BI92" s="250">
        <v>7</v>
      </c>
      <c r="BJ92" s="332">
        <f>Tabla14[[#This Row],[Numero de Ocacionales]]*Tabla14[[#This Row],[REAJUSTADO]]</f>
        <v>210000</v>
      </c>
      <c r="BK92" s="332"/>
      <c r="BL92" s="330">
        <v>30000</v>
      </c>
      <c r="BM92" s="330">
        <f>+Tabla14[[#This Row],[CUANTO SE REAJUSTA]]*3</f>
        <v>-3107.1428571428587</v>
      </c>
    </row>
    <row r="93" spans="1:65" hidden="1" x14ac:dyDescent="0.25">
      <c r="C93" s="274">
        <v>44677</v>
      </c>
      <c r="D93" s="507">
        <f>YEAR(Tabla14[[#This Row],[Fecha]])</f>
        <v>2022</v>
      </c>
      <c r="E93" s="313">
        <f>IF(Tabla14[[#This Row],[Fecha]]&gt;0,_xlfn.ISOWEEKNUM(Tabla14[[#This Row],[Fecha]]),0)</f>
        <v>17</v>
      </c>
      <c r="F93" s="283">
        <f>140+76</f>
        <v>216</v>
      </c>
      <c r="G93" s="275" t="s">
        <v>155</v>
      </c>
      <c r="H93" s="325" t="str">
        <f>_xlfn.XLOOKUP(Tabla14[[#This Row],[Codigo Finca]],Tabla4[Codigo Finca],Tabla4[Nombre Finca],"")</f>
        <v>Damaquiel</v>
      </c>
      <c r="I93" s="277">
        <f>_xlfn.XLOOKUP(Tabla14[[#This Row],[Codigo Finca]],Tabla4[Codigo Finca],Tabla4[Precio Caja],0)</f>
        <v>1500</v>
      </c>
      <c r="J93" s="277">
        <f>_xlfn.XLOOKUP(Tabla14[[#This Row],[Codigo Finca]],Tabla4[Codigo Finca],Tabla4[Precio Caja Segunda],0)</f>
        <v>1000</v>
      </c>
      <c r="K93" s="277">
        <f>_xlfn.XLOOKUP(Tabla14[[#This Row],[Codigo Finca]],Tabla4[Codigo Finca],Tabla4[Precio Rechazo],0)</f>
        <v>500</v>
      </c>
      <c r="L93" s="277">
        <f t="shared" si="64"/>
        <v>723</v>
      </c>
      <c r="M93" s="278">
        <f t="shared" si="65"/>
        <v>3.3472222222222223</v>
      </c>
      <c r="N93" s="283"/>
      <c r="O93" s="279"/>
      <c r="P93" s="280">
        <f t="shared" si="66"/>
        <v>0</v>
      </c>
      <c r="Q93" s="281">
        <f t="shared" si="67"/>
        <v>0</v>
      </c>
      <c r="R93" s="282">
        <f t="shared" si="68"/>
        <v>0</v>
      </c>
      <c r="S93" s="283">
        <v>723</v>
      </c>
      <c r="T93" s="275">
        <v>10</v>
      </c>
      <c r="U93" s="280">
        <f t="shared" si="69"/>
        <v>216</v>
      </c>
      <c r="V93" s="281">
        <f t="shared" si="70"/>
        <v>21.6</v>
      </c>
      <c r="W93" s="282">
        <f t="shared" si="71"/>
        <v>32400</v>
      </c>
      <c r="X93" s="283"/>
      <c r="Y93" s="275"/>
      <c r="Z93" s="280">
        <f>Tabla14[[#This Row],[Cajas Segunda]]</f>
        <v>0</v>
      </c>
      <c r="AA93" s="281">
        <f t="shared" si="72"/>
        <v>0</v>
      </c>
      <c r="AB93" s="284">
        <f t="shared" si="73"/>
        <v>0</v>
      </c>
      <c r="AC93" s="285">
        <v>62</v>
      </c>
      <c r="AD93" s="286"/>
      <c r="AE93" s="286"/>
      <c r="AF93" s="286"/>
      <c r="AG93" s="286">
        <v>10</v>
      </c>
      <c r="AH93" s="280">
        <f t="shared" si="74"/>
        <v>62</v>
      </c>
      <c r="AI93" s="281">
        <f t="shared" si="75"/>
        <v>6.2</v>
      </c>
      <c r="AJ93" s="282">
        <f t="shared" si="76"/>
        <v>3100</v>
      </c>
      <c r="AK93" s="287">
        <f>Tabla14[[#This Row],[Cajas por Personas]]</f>
        <v>0</v>
      </c>
      <c r="AL93" s="288">
        <f>Tabla14[[#This Row],[Valor Precorte Pesona]]</f>
        <v>0</v>
      </c>
      <c r="AM93" s="294">
        <f>Tabla14[[#This Row],[Personas Precorte]]</f>
        <v>0</v>
      </c>
      <c r="AN93" s="308">
        <f>Tabla14[[#This Row],[Valor Precorte Pesona Precorte]]*Tabla14[[#This Row],[Perzonas Precorte]]</f>
        <v>0</v>
      </c>
      <c r="AO93" s="287">
        <f>Tabla14[[#This Row],[Cajas por Personas2]]</f>
        <v>21.6</v>
      </c>
      <c r="AP93" s="288">
        <f>Tabla14[[#This Row],[Valor Embarque Pesona]]</f>
        <v>32400</v>
      </c>
      <c r="AQ93" s="295">
        <f>Tabla14[[#This Row],[Personas Precorte2]]</f>
        <v>10</v>
      </c>
      <c r="AR93" s="296">
        <f>Tabla14[[#This Row],[Valor Embarque Pesona3]]*Tabla14[[#This Row],[Perzona Primera]]</f>
        <v>324000</v>
      </c>
      <c r="AS93" s="287">
        <f>Tabla14[[#This Row],[Columna2]]</f>
        <v>0</v>
      </c>
      <c r="AT93" s="288">
        <f>Tabla14[[#This Row],[Columna1]]</f>
        <v>0</v>
      </c>
      <c r="AU93" s="302">
        <f>Tabla14[[#This Row],[Personas Intervienen]]</f>
        <v>0</v>
      </c>
      <c r="AV93" s="297">
        <f>Tabla14[[#This Row],[Valor Embarque Pesona5]]*Tabla14[[#This Row],[Presonas Segunda]]</f>
        <v>0</v>
      </c>
      <c r="AW93" s="287">
        <f>Tabla14[[#This Row],[Bolsas Por Personas]]</f>
        <v>6.2</v>
      </c>
      <c r="AX93" s="288">
        <f>Tabla14[[#This Row],[Valor bolsas Pesona]]</f>
        <v>3100</v>
      </c>
      <c r="AY93" s="309">
        <f>Tabla14[[#This Row],[Personas13]]</f>
        <v>10</v>
      </c>
      <c r="AZ93" s="310">
        <f>Tabla14[[#This Row],[Valor bolsas Pesona2]]*Tabla14[[#This Row],[Personas Rechazo]]</f>
        <v>31000</v>
      </c>
      <c r="BA93" s="311">
        <f>+Tabla14[[#This Row],[Total Valor Segunda]]+Tabla14[[#This Row],[Total Valor Primera]]+Tabla14[[#This Row],[Total Valor Precorte]]</f>
        <v>324000</v>
      </c>
      <c r="BB93" s="292">
        <f>Tabla14[[#This Row],[Valor bolsas Pesona2]]+Tabla14[[#This Row],[Valor Embarque Pesona3]]</f>
        <v>35500</v>
      </c>
      <c r="BC93" s="332">
        <v>35500</v>
      </c>
      <c r="BD93" s="292">
        <f>Tabla14[[#This Row],[VALOR GANADO]]-Tabla14[[#This Row],[REAJUSTADO]]</f>
        <v>0</v>
      </c>
      <c r="BE93" s="250">
        <f>Tabla14[[#This Row],[CUANTO SE REAJUSTA]]*Tabla14[[#This Row],[Personas Rechazo]]</f>
        <v>0</v>
      </c>
      <c r="BF93" s="250">
        <f>Tabla14[[#This Row],[REAJUSTADO]]/25000</f>
        <v>1.42</v>
      </c>
      <c r="BG93" s="302">
        <f>Tabla14[[#This Row],[REAJUSTADO]]*Tabla14[[#This Row],[Personas Rechazo]]</f>
        <v>355000</v>
      </c>
      <c r="BH93" s="292" t="str">
        <f>Tabla14[[#This Row],[Finca]]</f>
        <v>Damaquiel</v>
      </c>
      <c r="BI93" s="250">
        <v>10</v>
      </c>
      <c r="BJ93" s="332">
        <f>Tabla14[[#This Row],[Numero de Ocacionales]]*Tabla14[[#This Row],[REAJUSTADO]]</f>
        <v>355000</v>
      </c>
      <c r="BK93" s="332"/>
      <c r="BL93" s="330">
        <v>30000</v>
      </c>
      <c r="BM93" s="330">
        <f>+Tabla14[[#This Row],[CUANTO SE REAJUSTA]]*3</f>
        <v>0</v>
      </c>
    </row>
    <row r="94" spans="1:65" hidden="1" x14ac:dyDescent="0.25">
      <c r="C94" s="274">
        <v>44678</v>
      </c>
      <c r="D94" s="507">
        <f>YEAR(Tabla14[[#This Row],[Fecha]])</f>
        <v>2022</v>
      </c>
      <c r="E94" s="313">
        <f>IF(Tabla14[[#This Row],[Fecha]]&gt;0,_xlfn.ISOWEEKNUM(Tabla14[[#This Row],[Fecha]]),0)</f>
        <v>17</v>
      </c>
      <c r="F94" s="283">
        <v>208</v>
      </c>
      <c r="G94" s="275" t="s">
        <v>157</v>
      </c>
      <c r="H94" s="325" t="str">
        <f>_xlfn.XLOOKUP(Tabla14[[#This Row],[Codigo Finca]],Tabla4[Codigo Finca],Tabla4[Nombre Finca],"")</f>
        <v>Pedrito</v>
      </c>
      <c r="I94" s="277">
        <f>_xlfn.XLOOKUP(Tabla14[[#This Row],[Codigo Finca]],Tabla4[Codigo Finca],Tabla4[Precio Caja],0)</f>
        <v>2100</v>
      </c>
      <c r="J94" s="277">
        <f>_xlfn.XLOOKUP(Tabla14[[#This Row],[Codigo Finca]],Tabla4[Codigo Finca],Tabla4[Precio Caja Segunda],0)</f>
        <v>1000</v>
      </c>
      <c r="K94" s="277">
        <f>_xlfn.XLOOKUP(Tabla14[[#This Row],[Codigo Finca]],Tabla4[Codigo Finca],Tabla4[Precio Rechazo],0)</f>
        <v>500</v>
      </c>
      <c r="L94" s="277">
        <f t="shared" si="64"/>
        <v>645</v>
      </c>
      <c r="M94" s="278">
        <f t="shared" si="65"/>
        <v>3.1009615384615383</v>
      </c>
      <c r="N94" s="283"/>
      <c r="O94" s="279"/>
      <c r="P94" s="280">
        <f t="shared" si="66"/>
        <v>0</v>
      </c>
      <c r="Q94" s="281">
        <f t="shared" si="67"/>
        <v>0</v>
      </c>
      <c r="R94" s="282">
        <f t="shared" si="68"/>
        <v>0</v>
      </c>
      <c r="S94" s="283">
        <v>645</v>
      </c>
      <c r="T94" s="275">
        <v>17</v>
      </c>
      <c r="U94" s="280">
        <f t="shared" si="69"/>
        <v>208</v>
      </c>
      <c r="V94" s="281">
        <f t="shared" si="70"/>
        <v>12.235294117647058</v>
      </c>
      <c r="W94" s="282">
        <f t="shared" si="71"/>
        <v>25694.117647058825</v>
      </c>
      <c r="X94" s="283"/>
      <c r="Y94" s="275"/>
      <c r="Z94" s="280">
        <f>Tabla14[[#This Row],[Cajas Segunda]]</f>
        <v>0</v>
      </c>
      <c r="AA94" s="281">
        <f t="shared" si="72"/>
        <v>0</v>
      </c>
      <c r="AB94" s="284">
        <f t="shared" si="73"/>
        <v>0</v>
      </c>
      <c r="AC94" s="285">
        <v>36</v>
      </c>
      <c r="AD94" s="286"/>
      <c r="AE94" s="286"/>
      <c r="AF94" s="286"/>
      <c r="AG94" s="286">
        <v>17</v>
      </c>
      <c r="AH94" s="280">
        <f t="shared" si="74"/>
        <v>36</v>
      </c>
      <c r="AI94" s="281">
        <f t="shared" si="75"/>
        <v>2.1176470588235294</v>
      </c>
      <c r="AJ94" s="282">
        <f t="shared" si="76"/>
        <v>1058.8235294117646</v>
      </c>
      <c r="AK94" s="287">
        <f>Tabla14[[#This Row],[Cajas por Personas]]</f>
        <v>0</v>
      </c>
      <c r="AL94" s="288">
        <f>Tabla14[[#This Row],[Valor Precorte Pesona]]</f>
        <v>0</v>
      </c>
      <c r="AM94" s="294">
        <f>Tabla14[[#This Row],[Personas Precorte]]</f>
        <v>0</v>
      </c>
      <c r="AN94" s="308">
        <f>Tabla14[[#This Row],[Valor Precorte Pesona Precorte]]*Tabla14[[#This Row],[Perzonas Precorte]]</f>
        <v>0</v>
      </c>
      <c r="AO94" s="287">
        <f>Tabla14[[#This Row],[Cajas por Personas2]]</f>
        <v>12.235294117647058</v>
      </c>
      <c r="AP94" s="288">
        <f>Tabla14[[#This Row],[Valor Embarque Pesona]]</f>
        <v>25694.117647058825</v>
      </c>
      <c r="AQ94" s="295">
        <f>Tabla14[[#This Row],[Personas Precorte2]]</f>
        <v>17</v>
      </c>
      <c r="AR94" s="296">
        <f>Tabla14[[#This Row],[Valor Embarque Pesona3]]*Tabla14[[#This Row],[Perzona Primera]]</f>
        <v>436800</v>
      </c>
      <c r="AS94" s="287">
        <f>Tabla14[[#This Row],[Columna2]]</f>
        <v>0</v>
      </c>
      <c r="AT94" s="288">
        <f>Tabla14[[#This Row],[Columna1]]</f>
        <v>0</v>
      </c>
      <c r="AU94" s="302">
        <f>Tabla14[[#This Row],[Personas Intervienen]]</f>
        <v>0</v>
      </c>
      <c r="AV94" s="297">
        <f>Tabla14[[#This Row],[Valor Embarque Pesona5]]*Tabla14[[#This Row],[Presonas Segunda]]</f>
        <v>0</v>
      </c>
      <c r="AW94" s="287">
        <f>Tabla14[[#This Row],[Bolsas Por Personas]]</f>
        <v>2.1176470588235294</v>
      </c>
      <c r="AX94" s="288">
        <f>Tabla14[[#This Row],[Valor bolsas Pesona]]</f>
        <v>1058.8235294117646</v>
      </c>
      <c r="AY94" s="309">
        <f>Tabla14[[#This Row],[Personas13]]</f>
        <v>17</v>
      </c>
      <c r="AZ94" s="310">
        <f>Tabla14[[#This Row],[Valor bolsas Pesona2]]*Tabla14[[#This Row],[Personas Rechazo]]</f>
        <v>18000</v>
      </c>
      <c r="BA94" s="311">
        <f>+Tabla14[[#This Row],[Total Valor Segunda]]+Tabla14[[#This Row],[Total Valor Primera]]+Tabla14[[#This Row],[Total Valor Precorte]]</f>
        <v>436800</v>
      </c>
      <c r="BB94" s="292">
        <f>Tabla14[[#This Row],[Valor bolsas Pesona2]]+Tabla14[[#This Row],[Valor Embarque Pesona3]]</f>
        <v>26752.941176470591</v>
      </c>
      <c r="BC94" s="332">
        <v>30000</v>
      </c>
      <c r="BD94" s="292">
        <f>Tabla14[[#This Row],[VALOR GANADO]]-Tabla14[[#This Row],[REAJUSTADO]]</f>
        <v>-3247.058823529409</v>
      </c>
      <c r="BE94" s="250">
        <f>Tabla14[[#This Row],[CUANTO SE REAJUSTA]]*Tabla14[[#This Row],[Personas Rechazo]]</f>
        <v>-55199.999999999956</v>
      </c>
      <c r="BF94" s="250">
        <f>Tabla14[[#This Row],[REAJUSTADO]]/25000</f>
        <v>1.2</v>
      </c>
      <c r="BG94" s="302">
        <f>Tabla14[[#This Row],[REAJUSTADO]]*Tabla14[[#This Row],[Personas Rechazo]]</f>
        <v>510000</v>
      </c>
      <c r="BH94" s="292" t="str">
        <f>Tabla14[[#This Row],[Finca]]</f>
        <v>Pedrito</v>
      </c>
      <c r="BI94" s="250">
        <v>16</v>
      </c>
      <c r="BJ94" s="332">
        <f>Tabla14[[#This Row],[Numero de Ocacionales]]*Tabla14[[#This Row],[REAJUSTADO]]</f>
        <v>480000</v>
      </c>
      <c r="BK94" s="332"/>
      <c r="BL94" s="330">
        <v>30000</v>
      </c>
      <c r="BM94" s="330">
        <f>+Tabla14[[#This Row],[CUANTO SE REAJUSTA]]*3</f>
        <v>-9741.1764705882269</v>
      </c>
    </row>
    <row r="95" spans="1:65" hidden="1" x14ac:dyDescent="0.25">
      <c r="A95" s="250">
        <v>0</v>
      </c>
      <c r="C95" s="274">
        <v>44678</v>
      </c>
      <c r="D95" s="507">
        <f>YEAR(Tabla14[[#This Row],[Fecha]])</f>
        <v>2022</v>
      </c>
      <c r="E95" s="313">
        <f>IF(Tabla14[[#This Row],[Fecha]]&gt;0,_xlfn.ISOWEEKNUM(Tabla14[[#This Row],[Fecha]]),0)</f>
        <v>17</v>
      </c>
      <c r="F95" s="283">
        <v>78</v>
      </c>
      <c r="G95" s="275" t="s">
        <v>155</v>
      </c>
      <c r="H95" s="325" t="str">
        <f>_xlfn.XLOOKUP(Tabla14[[#This Row],[Codigo Finca]],Tabla4[Codigo Finca],Tabla4[Nombre Finca],"")</f>
        <v>Damaquiel</v>
      </c>
      <c r="I95" s="277">
        <f>_xlfn.XLOOKUP(Tabla14[[#This Row],[Codigo Finca]],Tabla4[Codigo Finca],Tabla4[Precio Caja],0)</f>
        <v>1500</v>
      </c>
      <c r="J95" s="277">
        <f>_xlfn.XLOOKUP(Tabla14[[#This Row],[Codigo Finca]],Tabla4[Codigo Finca],Tabla4[Precio Caja Segunda],0)</f>
        <v>1000</v>
      </c>
      <c r="K95" s="277">
        <f>_xlfn.XLOOKUP(Tabla14[[#This Row],[Codigo Finca]],Tabla4[Codigo Finca],Tabla4[Precio Rechazo],0)</f>
        <v>500</v>
      </c>
      <c r="L95" s="277">
        <f t="shared" si="64"/>
        <v>214</v>
      </c>
      <c r="M95" s="278">
        <f t="shared" si="65"/>
        <v>2.7435897435897436</v>
      </c>
      <c r="N95" s="283"/>
      <c r="O95" s="279"/>
      <c r="P95" s="280">
        <f t="shared" si="66"/>
        <v>0</v>
      </c>
      <c r="Q95" s="281">
        <f t="shared" si="67"/>
        <v>0</v>
      </c>
      <c r="R95" s="282">
        <f t="shared" si="68"/>
        <v>0</v>
      </c>
      <c r="S95" s="283">
        <v>214</v>
      </c>
      <c r="T95" s="275">
        <v>5</v>
      </c>
      <c r="U95" s="280">
        <f t="shared" si="69"/>
        <v>78</v>
      </c>
      <c r="V95" s="281">
        <f t="shared" si="70"/>
        <v>15.6</v>
      </c>
      <c r="W95" s="282">
        <f t="shared" si="71"/>
        <v>23400</v>
      </c>
      <c r="X95" s="283"/>
      <c r="Y95" s="275"/>
      <c r="Z95" s="280">
        <f>Tabla14[[#This Row],[Cajas Segunda]]</f>
        <v>0</v>
      </c>
      <c r="AA95" s="281">
        <f t="shared" si="72"/>
        <v>0</v>
      </c>
      <c r="AB95" s="284">
        <f t="shared" si="73"/>
        <v>0</v>
      </c>
      <c r="AC95" s="285">
        <v>20</v>
      </c>
      <c r="AD95" s="286"/>
      <c r="AE95" s="286"/>
      <c r="AF95" s="286"/>
      <c r="AG95" s="286">
        <v>5</v>
      </c>
      <c r="AH95" s="280">
        <f t="shared" si="74"/>
        <v>20</v>
      </c>
      <c r="AI95" s="281">
        <f t="shared" si="75"/>
        <v>4</v>
      </c>
      <c r="AJ95" s="282">
        <f t="shared" si="76"/>
        <v>2000</v>
      </c>
      <c r="AK95" s="287">
        <f>Tabla14[[#This Row],[Cajas por Personas]]</f>
        <v>0</v>
      </c>
      <c r="AL95" s="288">
        <f>Tabla14[[#This Row],[Valor Precorte Pesona]]</f>
        <v>0</v>
      </c>
      <c r="AM95" s="294">
        <f>Tabla14[[#This Row],[Personas Precorte]]</f>
        <v>0</v>
      </c>
      <c r="AN95" s="308">
        <f>Tabla14[[#This Row],[Valor Precorte Pesona Precorte]]*Tabla14[[#This Row],[Perzonas Precorte]]</f>
        <v>0</v>
      </c>
      <c r="AO95" s="287">
        <f>Tabla14[[#This Row],[Cajas por Personas2]]</f>
        <v>15.6</v>
      </c>
      <c r="AP95" s="288">
        <f>Tabla14[[#This Row],[Valor Embarque Pesona]]</f>
        <v>23400</v>
      </c>
      <c r="AQ95" s="295">
        <f>Tabla14[[#This Row],[Personas Precorte2]]</f>
        <v>5</v>
      </c>
      <c r="AR95" s="296">
        <f>Tabla14[[#This Row],[Valor Embarque Pesona3]]*Tabla14[[#This Row],[Perzona Primera]]</f>
        <v>117000</v>
      </c>
      <c r="AS95" s="287">
        <f>Tabla14[[#This Row],[Columna2]]</f>
        <v>0</v>
      </c>
      <c r="AT95" s="288">
        <f>Tabla14[[#This Row],[Columna1]]</f>
        <v>0</v>
      </c>
      <c r="AU95" s="302">
        <f>Tabla14[[#This Row],[Personas Intervienen]]</f>
        <v>0</v>
      </c>
      <c r="AV95" s="297">
        <f>Tabla14[[#This Row],[Valor Embarque Pesona5]]*Tabla14[[#This Row],[Presonas Segunda]]</f>
        <v>0</v>
      </c>
      <c r="AW95" s="287">
        <f>Tabla14[[#This Row],[Bolsas Por Personas]]</f>
        <v>4</v>
      </c>
      <c r="AX95" s="288">
        <f>Tabla14[[#This Row],[Valor bolsas Pesona]]</f>
        <v>2000</v>
      </c>
      <c r="AY95" s="309">
        <f>Tabla14[[#This Row],[Personas13]]</f>
        <v>5</v>
      </c>
      <c r="AZ95" s="310">
        <f>Tabla14[[#This Row],[Valor bolsas Pesona2]]*Tabla14[[#This Row],[Personas Rechazo]]</f>
        <v>10000</v>
      </c>
      <c r="BA95" s="311">
        <f>+Tabla14[[#This Row],[Total Valor Segunda]]+Tabla14[[#This Row],[Total Valor Primera]]+Tabla14[[#This Row],[Total Valor Precorte]]</f>
        <v>117000</v>
      </c>
      <c r="BB95" s="292">
        <f>Tabla14[[#This Row],[Valor bolsas Pesona2]]+Tabla14[[#This Row],[Valor Embarque Pesona3]]</f>
        <v>25400</v>
      </c>
      <c r="BC95" s="332">
        <v>30000</v>
      </c>
      <c r="BD95" s="292">
        <f>Tabla14[[#This Row],[VALOR GANADO]]-Tabla14[[#This Row],[REAJUSTADO]]</f>
        <v>-4600</v>
      </c>
      <c r="BE95" s="250">
        <f>Tabla14[[#This Row],[CUANTO SE REAJUSTA]]*Tabla14[[#This Row],[Personas Rechazo]]</f>
        <v>-23000</v>
      </c>
      <c r="BF95" s="250">
        <f>Tabla14[[#This Row],[REAJUSTADO]]/25000</f>
        <v>1.2</v>
      </c>
      <c r="BG95" s="302">
        <f>Tabla14[[#This Row],[REAJUSTADO]]*Tabla14[[#This Row],[Personas Rechazo]]</f>
        <v>150000</v>
      </c>
      <c r="BH95" s="292" t="str">
        <f>Tabla14[[#This Row],[Finca]]</f>
        <v>Damaquiel</v>
      </c>
      <c r="BI95" s="250">
        <v>4</v>
      </c>
      <c r="BJ95" s="332">
        <f>Tabla14[[#This Row],[Numero de Ocacionales]]*Tabla14[[#This Row],[REAJUSTADO]]</f>
        <v>120000</v>
      </c>
      <c r="BK95" s="332"/>
      <c r="BL95" s="330">
        <v>30000</v>
      </c>
      <c r="BM95" s="330">
        <f>+Tabla14[[#This Row],[CUANTO SE REAJUSTA]]*3</f>
        <v>-13800</v>
      </c>
    </row>
    <row r="96" spans="1:65" hidden="1" x14ac:dyDescent="0.25">
      <c r="C96" s="274">
        <v>44679</v>
      </c>
      <c r="D96" s="507">
        <f>YEAR(Tabla14[[#This Row],[Fecha]])</f>
        <v>2022</v>
      </c>
      <c r="E96" s="313">
        <f>IF(Tabla14[[#This Row],[Fecha]]&gt;0,_xlfn.ISOWEEKNUM(Tabla14[[#This Row],[Fecha]]),0)</f>
        <v>17</v>
      </c>
      <c r="F96" s="283">
        <v>131</v>
      </c>
      <c r="G96" s="275" t="s">
        <v>153</v>
      </c>
      <c r="H96" s="325" t="str">
        <f>_xlfn.XLOOKUP(Tabla14[[#This Row],[Codigo Finca]],Tabla4[Codigo Finca],Tabla4[Nombre Finca],"")</f>
        <v>Uveros</v>
      </c>
      <c r="I96" s="277">
        <f>_xlfn.XLOOKUP(Tabla14[[#This Row],[Codigo Finca]],Tabla4[Codigo Finca],Tabla4[Precio Caja],0)</f>
        <v>1500</v>
      </c>
      <c r="J96" s="277">
        <f>_xlfn.XLOOKUP(Tabla14[[#This Row],[Codigo Finca]],Tabla4[Codigo Finca],Tabla4[Precio Caja Segunda],0)</f>
        <v>1000</v>
      </c>
      <c r="K96" s="277">
        <f>_xlfn.XLOOKUP(Tabla14[[#This Row],[Codigo Finca]],Tabla4[Codigo Finca],Tabla4[Precio Rechazo],0)</f>
        <v>500</v>
      </c>
      <c r="L96" s="277">
        <f t="shared" si="64"/>
        <v>377</v>
      </c>
      <c r="M96" s="278">
        <f t="shared" si="65"/>
        <v>2.8778625954198471</v>
      </c>
      <c r="N96" s="283"/>
      <c r="O96" s="279"/>
      <c r="P96" s="280">
        <f t="shared" si="66"/>
        <v>0</v>
      </c>
      <c r="Q96" s="281">
        <f t="shared" si="67"/>
        <v>0</v>
      </c>
      <c r="R96" s="282">
        <f t="shared" si="68"/>
        <v>0</v>
      </c>
      <c r="S96" s="283">
        <f>188+189</f>
        <v>377</v>
      </c>
      <c r="T96" s="275">
        <v>7</v>
      </c>
      <c r="U96" s="280">
        <f t="shared" si="69"/>
        <v>131</v>
      </c>
      <c r="V96" s="281">
        <f t="shared" si="70"/>
        <v>18.714285714285715</v>
      </c>
      <c r="W96" s="282">
        <f t="shared" si="71"/>
        <v>28071.428571428572</v>
      </c>
      <c r="X96" s="283"/>
      <c r="Y96" s="275"/>
      <c r="Z96" s="280">
        <f>Tabla14[[#This Row],[Cajas Segunda]]</f>
        <v>0</v>
      </c>
      <c r="AA96" s="281">
        <f t="shared" si="72"/>
        <v>0</v>
      </c>
      <c r="AB96" s="284">
        <f t="shared" si="73"/>
        <v>0</v>
      </c>
      <c r="AC96" s="285">
        <v>16.079999999999998</v>
      </c>
      <c r="AD96" s="286"/>
      <c r="AE96" s="286"/>
      <c r="AF96" s="286"/>
      <c r="AG96" s="286">
        <v>7</v>
      </c>
      <c r="AH96" s="280">
        <f t="shared" si="74"/>
        <v>16.079999999999998</v>
      </c>
      <c r="AI96" s="281">
        <f t="shared" si="75"/>
        <v>2.2971428571428567</v>
      </c>
      <c r="AJ96" s="282">
        <f t="shared" si="76"/>
        <v>1148.5714285714284</v>
      </c>
      <c r="AK96" s="287">
        <f>Tabla14[[#This Row],[Cajas por Personas]]</f>
        <v>0</v>
      </c>
      <c r="AL96" s="288">
        <f>Tabla14[[#This Row],[Valor Precorte Pesona]]</f>
        <v>0</v>
      </c>
      <c r="AM96" s="294">
        <f>Tabla14[[#This Row],[Personas Precorte]]</f>
        <v>0</v>
      </c>
      <c r="AN96" s="308">
        <f>Tabla14[[#This Row],[Valor Precorte Pesona Precorte]]*Tabla14[[#This Row],[Perzonas Precorte]]</f>
        <v>0</v>
      </c>
      <c r="AO96" s="287">
        <f>Tabla14[[#This Row],[Cajas por Personas2]]</f>
        <v>18.714285714285715</v>
      </c>
      <c r="AP96" s="288">
        <f>Tabla14[[#This Row],[Valor Embarque Pesona]]</f>
        <v>28071.428571428572</v>
      </c>
      <c r="AQ96" s="295">
        <f>Tabla14[[#This Row],[Personas Precorte2]]</f>
        <v>7</v>
      </c>
      <c r="AR96" s="296">
        <f>Tabla14[[#This Row],[Valor Embarque Pesona3]]*Tabla14[[#This Row],[Perzona Primera]]</f>
        <v>196500</v>
      </c>
      <c r="AS96" s="287">
        <f>Tabla14[[#This Row],[Columna2]]</f>
        <v>0</v>
      </c>
      <c r="AT96" s="288">
        <f>Tabla14[[#This Row],[Columna1]]</f>
        <v>0</v>
      </c>
      <c r="AU96" s="302">
        <f>Tabla14[[#This Row],[Personas Intervienen]]</f>
        <v>0</v>
      </c>
      <c r="AV96" s="297">
        <f>Tabla14[[#This Row],[Valor Embarque Pesona5]]*Tabla14[[#This Row],[Presonas Segunda]]</f>
        <v>0</v>
      </c>
      <c r="AW96" s="287">
        <f>Tabla14[[#This Row],[Bolsas Por Personas]]</f>
        <v>2.2971428571428567</v>
      </c>
      <c r="AX96" s="288">
        <f>Tabla14[[#This Row],[Valor bolsas Pesona]]</f>
        <v>1148.5714285714284</v>
      </c>
      <c r="AY96" s="309">
        <f>Tabla14[[#This Row],[Personas13]]</f>
        <v>7</v>
      </c>
      <c r="AZ96" s="310">
        <f>Tabla14[[#This Row],[Valor bolsas Pesona2]]*Tabla14[[#This Row],[Personas Rechazo]]</f>
        <v>8039.9999999999991</v>
      </c>
      <c r="BA96" s="311">
        <f>+Tabla14[[#This Row],[Total Valor Segunda]]+Tabla14[[#This Row],[Total Valor Primera]]+Tabla14[[#This Row],[Total Valor Precorte]]</f>
        <v>196500</v>
      </c>
      <c r="BB96" s="292">
        <f>Tabla14[[#This Row],[Valor bolsas Pesona2]]+Tabla14[[#This Row],[Valor Embarque Pesona3]]</f>
        <v>29220</v>
      </c>
      <c r="BC96" s="332">
        <v>30000</v>
      </c>
      <c r="BD96" s="292">
        <f>Tabla14[[#This Row],[VALOR GANADO]]-Tabla14[[#This Row],[REAJUSTADO]]</f>
        <v>-780</v>
      </c>
      <c r="BE96" s="250">
        <f>Tabla14[[#This Row],[CUANTO SE REAJUSTA]]*Tabla14[[#This Row],[Personas Rechazo]]</f>
        <v>-5460</v>
      </c>
      <c r="BF96" s="250">
        <f>Tabla14[[#This Row],[REAJUSTADO]]/25000</f>
        <v>1.2</v>
      </c>
      <c r="BG96" s="302">
        <f>Tabla14[[#This Row],[REAJUSTADO]]*Tabla14[[#This Row],[Personas Rechazo]]</f>
        <v>210000</v>
      </c>
      <c r="BH96" s="292" t="str">
        <f>Tabla14[[#This Row],[Finca]]</f>
        <v>Uveros</v>
      </c>
      <c r="BJ96" s="332">
        <f>Tabla14[[#This Row],[Numero de Ocacionales]]*Tabla14[[#This Row],[REAJUSTADO]]</f>
        <v>0</v>
      </c>
      <c r="BK96" s="332"/>
      <c r="BL96" s="332"/>
      <c r="BM96" s="332">
        <f>+Tabla14[[#This Row],[CUANTO SE REAJUSTA]]*3</f>
        <v>-2340</v>
      </c>
    </row>
    <row r="97" spans="3:65" hidden="1" x14ac:dyDescent="0.25">
      <c r="C97" s="274">
        <v>44679</v>
      </c>
      <c r="D97" s="507">
        <f>YEAR(Tabla14[[#This Row],[Fecha]])</f>
        <v>2022</v>
      </c>
      <c r="E97" s="313">
        <f>IF(Tabla14[[#This Row],[Fecha]]&gt;0,_xlfn.ISOWEEKNUM(Tabla14[[#This Row],[Fecha]]),0)</f>
        <v>17</v>
      </c>
      <c r="F97" s="283">
        <v>188</v>
      </c>
      <c r="G97" s="275" t="s">
        <v>152</v>
      </c>
      <c r="H97" s="325" t="str">
        <f>_xlfn.XLOOKUP(Tabla14[[#This Row],[Codigo Finca]],Tabla4[Codigo Finca],Tabla4[Nombre Finca],"")</f>
        <v>San Pedro</v>
      </c>
      <c r="I97" s="277">
        <f>_xlfn.XLOOKUP(Tabla14[[#This Row],[Codigo Finca]],Tabla4[Codigo Finca],Tabla4[Precio Caja],0)</f>
        <v>1500</v>
      </c>
      <c r="J97" s="277">
        <f>_xlfn.XLOOKUP(Tabla14[[#This Row],[Codigo Finca]],Tabla4[Codigo Finca],Tabla4[Precio Caja Segunda],0)</f>
        <v>1000</v>
      </c>
      <c r="K97" s="277">
        <f>_xlfn.XLOOKUP(Tabla14[[#This Row],[Codigo Finca]],Tabla4[Codigo Finca],Tabla4[Precio Rechazo],0)</f>
        <v>500</v>
      </c>
      <c r="L97" s="277">
        <f t="shared" si="64"/>
        <v>0</v>
      </c>
      <c r="M97" s="278">
        <f t="shared" si="65"/>
        <v>0</v>
      </c>
      <c r="N97" s="283"/>
      <c r="O97" s="279"/>
      <c r="P97" s="280">
        <f t="shared" si="66"/>
        <v>0</v>
      </c>
      <c r="Q97" s="281">
        <f t="shared" si="67"/>
        <v>0</v>
      </c>
      <c r="R97" s="282">
        <f t="shared" si="68"/>
        <v>0</v>
      </c>
      <c r="S97" s="338"/>
      <c r="T97" s="275">
        <v>9</v>
      </c>
      <c r="U97" s="280">
        <f t="shared" si="69"/>
        <v>188</v>
      </c>
      <c r="V97" s="281">
        <f t="shared" si="70"/>
        <v>20.888888888888889</v>
      </c>
      <c r="W97" s="282">
        <f t="shared" si="71"/>
        <v>31333.333333333332</v>
      </c>
      <c r="X97" s="283"/>
      <c r="Y97" s="275"/>
      <c r="Z97" s="280">
        <f>Tabla14[[#This Row],[Cajas Segunda]]</f>
        <v>0</v>
      </c>
      <c r="AA97" s="281">
        <f t="shared" si="72"/>
        <v>0</v>
      </c>
      <c r="AB97" s="284">
        <f t="shared" si="73"/>
        <v>0</v>
      </c>
      <c r="AC97" s="285">
        <v>122</v>
      </c>
      <c r="AD97" s="286"/>
      <c r="AE97" s="286"/>
      <c r="AF97" s="286"/>
      <c r="AG97" s="286">
        <v>9</v>
      </c>
      <c r="AH97" s="280">
        <f t="shared" si="74"/>
        <v>122</v>
      </c>
      <c r="AI97" s="281">
        <f t="shared" si="75"/>
        <v>13.555555555555555</v>
      </c>
      <c r="AJ97" s="282">
        <f t="shared" si="76"/>
        <v>6777.7777777777774</v>
      </c>
      <c r="AK97" s="287">
        <f>Tabla14[[#This Row],[Cajas por Personas]]</f>
        <v>0</v>
      </c>
      <c r="AL97" s="288">
        <f>Tabla14[[#This Row],[Valor Precorte Pesona]]</f>
        <v>0</v>
      </c>
      <c r="AM97" s="294">
        <f>Tabla14[[#This Row],[Personas Precorte]]</f>
        <v>0</v>
      </c>
      <c r="AN97" s="308">
        <f>Tabla14[[#This Row],[Valor Precorte Pesona Precorte]]*Tabla14[[#This Row],[Perzonas Precorte]]</f>
        <v>0</v>
      </c>
      <c r="AO97" s="287">
        <f>Tabla14[[#This Row],[Cajas por Personas2]]</f>
        <v>20.888888888888889</v>
      </c>
      <c r="AP97" s="288">
        <f>Tabla14[[#This Row],[Valor Embarque Pesona]]</f>
        <v>31333.333333333332</v>
      </c>
      <c r="AQ97" s="295">
        <f>Tabla14[[#This Row],[Personas Precorte2]]</f>
        <v>9</v>
      </c>
      <c r="AR97" s="296">
        <f>Tabla14[[#This Row],[Valor Embarque Pesona3]]*Tabla14[[#This Row],[Perzona Primera]]</f>
        <v>282000</v>
      </c>
      <c r="AS97" s="287">
        <f>Tabla14[[#This Row],[Columna2]]</f>
        <v>0</v>
      </c>
      <c r="AT97" s="288">
        <f>Tabla14[[#This Row],[Columna1]]</f>
        <v>0</v>
      </c>
      <c r="AU97" s="302">
        <f>Tabla14[[#This Row],[Personas Intervienen]]</f>
        <v>0</v>
      </c>
      <c r="AV97" s="297">
        <f>Tabla14[[#This Row],[Valor Embarque Pesona5]]*Tabla14[[#This Row],[Presonas Segunda]]</f>
        <v>0</v>
      </c>
      <c r="AW97" s="287">
        <f>Tabla14[[#This Row],[Bolsas Por Personas]]</f>
        <v>13.555555555555555</v>
      </c>
      <c r="AX97" s="288">
        <f>Tabla14[[#This Row],[Valor bolsas Pesona]]</f>
        <v>6777.7777777777774</v>
      </c>
      <c r="AY97" s="309">
        <f>Tabla14[[#This Row],[Personas13]]</f>
        <v>9</v>
      </c>
      <c r="AZ97" s="310">
        <f>Tabla14[[#This Row],[Valor bolsas Pesona2]]*Tabla14[[#This Row],[Personas Rechazo]]</f>
        <v>61000</v>
      </c>
      <c r="BA97" s="311">
        <f>+Tabla14[[#This Row],[Total Valor Segunda]]+Tabla14[[#This Row],[Total Valor Primera]]+Tabla14[[#This Row],[Total Valor Precorte]]</f>
        <v>282000</v>
      </c>
      <c r="BB97" s="292">
        <f>Tabla14[[#This Row],[Valor bolsas Pesona2]]+Tabla14[[#This Row],[Valor Embarque Pesona3]]</f>
        <v>38111.111111111109</v>
      </c>
      <c r="BC97" s="332">
        <v>31333</v>
      </c>
      <c r="BD97" s="292">
        <f>Tabla14[[#This Row],[VALOR GANADO]]-Tabla14[[#This Row],[REAJUSTADO]]</f>
        <v>6778.1111111111095</v>
      </c>
      <c r="BE97" s="250">
        <f>Tabla14[[#This Row],[CUANTO SE REAJUSTA]]*Tabla14[[#This Row],[Personas Rechazo]]</f>
        <v>61002.999999999985</v>
      </c>
      <c r="BF97" s="250">
        <f>Tabla14[[#This Row],[REAJUSTADO]]/25000</f>
        <v>1.25332</v>
      </c>
      <c r="BG97" s="302">
        <f>Tabla14[[#This Row],[REAJUSTADO]]*Tabla14[[#This Row],[Personas Rechazo]]</f>
        <v>281997</v>
      </c>
      <c r="BH97" s="292" t="str">
        <f>Tabla14[[#This Row],[Finca]]</f>
        <v>San Pedro</v>
      </c>
      <c r="BJ97" s="332">
        <f>Tabla14[[#This Row],[Numero de Ocacionales]]*Tabla14[[#This Row],[REAJUSTADO]]</f>
        <v>0</v>
      </c>
      <c r="BK97" s="332"/>
      <c r="BL97" s="332"/>
      <c r="BM97" s="332">
        <f>+Tabla14[[#This Row],[CUANTO SE REAJUSTA]]*3</f>
        <v>20334.333333333328</v>
      </c>
    </row>
    <row r="98" spans="3:65" hidden="1" x14ac:dyDescent="0.25">
      <c r="C98" s="274">
        <v>44684</v>
      </c>
      <c r="D98" s="507">
        <f>YEAR(Tabla14[[#This Row],[Fecha]])</f>
        <v>2022</v>
      </c>
      <c r="E98" s="313">
        <f>IF(Tabla14[[#This Row],[Fecha]]&gt;0,_xlfn.ISOWEEKNUM(Tabla14[[#This Row],[Fecha]]),0)</f>
        <v>18</v>
      </c>
      <c r="F98" s="283">
        <v>221</v>
      </c>
      <c r="G98" s="275" t="s">
        <v>157</v>
      </c>
      <c r="H98" s="325" t="str">
        <f>_xlfn.XLOOKUP(Tabla14[[#This Row],[Codigo Finca]],Tabla4[Codigo Finca],Tabla4[Nombre Finca],"")</f>
        <v>Pedrito</v>
      </c>
      <c r="I98" s="277">
        <f>_xlfn.XLOOKUP(Tabla14[[#This Row],[Codigo Finca]],Tabla4[Codigo Finca],Tabla4[Precio Caja],0)</f>
        <v>2100</v>
      </c>
      <c r="J98" s="277">
        <f>_xlfn.XLOOKUP(Tabla14[[#This Row],[Codigo Finca]],Tabla4[Codigo Finca],Tabla4[Precio Caja Segunda],0)</f>
        <v>1000</v>
      </c>
      <c r="K98" s="277">
        <f>_xlfn.XLOOKUP(Tabla14[[#This Row],[Codigo Finca]],Tabla4[Codigo Finca],Tabla4[Precio Rechazo],0)</f>
        <v>500</v>
      </c>
      <c r="L98" s="277">
        <f t="shared" ref="L98:L103" si="77">S98+N98</f>
        <v>686</v>
      </c>
      <c r="M98" s="278">
        <f t="shared" ref="M98:M103" si="78">IF(F98&gt;0,L98/F98,0)</f>
        <v>3.1040723981900453</v>
      </c>
      <c r="N98" s="283"/>
      <c r="O98" s="279"/>
      <c r="P98" s="280">
        <f t="shared" ref="P98:P103" si="79">IF(N98&gt;0,(N98/M98)/2,0)</f>
        <v>0</v>
      </c>
      <c r="Q98" s="281">
        <f t="shared" ref="Q98:Q103" si="80">IF(O98&gt;0,P98/O98,0)</f>
        <v>0</v>
      </c>
      <c r="R98" s="282">
        <f t="shared" ref="R98:R103" si="81">IF(I98&gt;0,Q98*I98,)</f>
        <v>0</v>
      </c>
      <c r="S98" s="283">
        <v>686</v>
      </c>
      <c r="T98" s="275">
        <v>15</v>
      </c>
      <c r="U98" s="280">
        <f t="shared" ref="U98:U103" si="82">F98-P98</f>
        <v>221</v>
      </c>
      <c r="V98" s="281">
        <f t="shared" ref="V98:V103" si="83">IF(T98&gt;0,U98/T98,0)</f>
        <v>14.733333333333333</v>
      </c>
      <c r="W98" s="282">
        <f t="shared" ref="W98:W103" si="84">IF(T98&gt;0,(U98*I98)/T98,0)</f>
        <v>30940</v>
      </c>
      <c r="X98" s="283"/>
      <c r="Y98" s="275"/>
      <c r="Z98" s="280">
        <f>Tabla14[[#This Row],[Cajas Segunda]]</f>
        <v>0</v>
      </c>
      <c r="AA98" s="281">
        <f t="shared" ref="AA98:AA103" si="85">IF(Y98&gt;0,Z98/Y98,0)</f>
        <v>0</v>
      </c>
      <c r="AB98" s="284">
        <f t="shared" ref="AB98:AB103" si="86">IF(Y98&gt;0,(Z98*J98)/Y98,0)</f>
        <v>0</v>
      </c>
      <c r="AC98" s="285"/>
      <c r="AD98" s="286"/>
      <c r="AE98" s="286">
        <v>18</v>
      </c>
      <c r="AF98" s="286">
        <v>85</v>
      </c>
      <c r="AG98" s="286">
        <v>15</v>
      </c>
      <c r="AH98" s="280">
        <f t="shared" si="74"/>
        <v>61.2</v>
      </c>
      <c r="AI98" s="281">
        <f t="shared" si="75"/>
        <v>4.08</v>
      </c>
      <c r="AJ98" s="282">
        <f t="shared" ref="AJ98:AJ103" si="87">AI98*K98</f>
        <v>2040</v>
      </c>
      <c r="AK98" s="287">
        <f>Tabla14[[#This Row],[Cajas por Personas]]</f>
        <v>0</v>
      </c>
      <c r="AL98" s="288">
        <f>Tabla14[[#This Row],[Valor Precorte Pesona]]</f>
        <v>0</v>
      </c>
      <c r="AM98" s="294">
        <f>Tabla14[[#This Row],[Personas Precorte]]</f>
        <v>0</v>
      </c>
      <c r="AN98" s="308">
        <f>Tabla14[[#This Row],[Valor Precorte Pesona Precorte]]*Tabla14[[#This Row],[Perzonas Precorte]]</f>
        <v>0</v>
      </c>
      <c r="AO98" s="287">
        <f>Tabla14[[#This Row],[Cajas por Personas2]]</f>
        <v>14.733333333333333</v>
      </c>
      <c r="AP98" s="288">
        <f>Tabla14[[#This Row],[Valor Embarque Pesona]]</f>
        <v>30940</v>
      </c>
      <c r="AQ98" s="295">
        <f>Tabla14[[#This Row],[Personas Precorte2]]</f>
        <v>15</v>
      </c>
      <c r="AR98" s="296">
        <f>Tabla14[[#This Row],[Valor Embarque Pesona3]]*Tabla14[[#This Row],[Perzona Primera]]</f>
        <v>464100</v>
      </c>
      <c r="AS98" s="287">
        <f>Tabla14[[#This Row],[Columna2]]</f>
        <v>0</v>
      </c>
      <c r="AT98" s="288">
        <f>Tabla14[[#This Row],[Columna1]]</f>
        <v>0</v>
      </c>
      <c r="AU98" s="302">
        <f>Tabla14[[#This Row],[Personas Intervienen]]</f>
        <v>0</v>
      </c>
      <c r="AV98" s="297">
        <f>Tabla14[[#This Row],[Valor Embarque Pesona5]]*Tabla14[[#This Row],[Presonas Segunda]]</f>
        <v>0</v>
      </c>
      <c r="AW98" s="287">
        <f>Tabla14[[#This Row],[Bolsas Por Personas]]</f>
        <v>4.08</v>
      </c>
      <c r="AX98" s="288">
        <f>Tabla14[[#This Row],[Valor bolsas Pesona]]</f>
        <v>2040</v>
      </c>
      <c r="AY98" s="309">
        <f>Tabla14[[#This Row],[Personas13]]</f>
        <v>15</v>
      </c>
      <c r="AZ98" s="310">
        <f>Tabla14[[#This Row],[Valor bolsas Pesona2]]*Tabla14[[#This Row],[Personas Rechazo]]</f>
        <v>30600</v>
      </c>
      <c r="BA98" s="311">
        <f>+Tabla14[[#This Row],[Total Valor Segunda]]+Tabla14[[#This Row],[Total Valor Primera]]+Tabla14[[#This Row],[Total Valor Precorte]]</f>
        <v>464100</v>
      </c>
      <c r="BB98" s="292">
        <f>Tabla14[[#This Row],[Valor bolsas Pesona2]]+Tabla14[[#This Row],[Valor Embarque Pesona3]]</f>
        <v>32980</v>
      </c>
      <c r="BC98" s="332">
        <v>33000</v>
      </c>
      <c r="BD98" s="292">
        <f>Tabla14[[#This Row],[VALOR GANADO]]-Tabla14[[#This Row],[REAJUSTADO]]</f>
        <v>-20</v>
      </c>
      <c r="BE98" s="250">
        <f>Tabla14[[#This Row],[CUANTO SE REAJUSTA]]*Tabla14[[#This Row],[Personas Rechazo]]</f>
        <v>-300</v>
      </c>
      <c r="BF98" s="250">
        <f>Tabla14[[#This Row],[REAJUSTADO]]/25000</f>
        <v>1.32</v>
      </c>
      <c r="BG98" s="302">
        <f>Tabla14[[#This Row],[REAJUSTADO]]*Tabla14[[#This Row],[Personas Rechazo]]</f>
        <v>495000</v>
      </c>
      <c r="BH98" s="292" t="str">
        <f>Tabla14[[#This Row],[Finca]]</f>
        <v>Pedrito</v>
      </c>
      <c r="BJ98" s="332">
        <f>Tabla14[[#This Row],[Numero de Ocacionales]]*Tabla14[[#This Row],[REAJUSTADO]]</f>
        <v>0</v>
      </c>
      <c r="BK98" s="332"/>
      <c r="BL98" s="332"/>
      <c r="BM98" s="332">
        <f>+Tabla14[[#This Row],[CUANTO SE REAJUSTA]]*3</f>
        <v>-60</v>
      </c>
    </row>
    <row r="99" spans="3:65" hidden="1" x14ac:dyDescent="0.25">
      <c r="C99" s="274">
        <v>44684</v>
      </c>
      <c r="D99" s="507">
        <f>YEAR(Tabla14[[#This Row],[Fecha]])</f>
        <v>2022</v>
      </c>
      <c r="E99" s="313">
        <f>IF(Tabla14[[#This Row],[Fecha]]&gt;0,_xlfn.ISOWEEKNUM(Tabla14[[#This Row],[Fecha]]),0)</f>
        <v>18</v>
      </c>
      <c r="F99" s="283">
        <v>225</v>
      </c>
      <c r="G99" s="275" t="s">
        <v>155</v>
      </c>
      <c r="H99" s="325" t="str">
        <f>_xlfn.XLOOKUP(Tabla14[[#This Row],[Codigo Finca]],Tabla4[Codigo Finca],Tabla4[Nombre Finca],"")</f>
        <v>Damaquiel</v>
      </c>
      <c r="I99" s="277">
        <f>_xlfn.XLOOKUP(Tabla14[[#This Row],[Codigo Finca]],Tabla4[Codigo Finca],Tabla4[Precio Caja],0)</f>
        <v>1500</v>
      </c>
      <c r="J99" s="277">
        <f>_xlfn.XLOOKUP(Tabla14[[#This Row],[Codigo Finca]],Tabla4[Codigo Finca],Tabla4[Precio Caja Segunda],0)</f>
        <v>1000</v>
      </c>
      <c r="K99" s="277">
        <f>_xlfn.XLOOKUP(Tabla14[[#This Row],[Codigo Finca]],Tabla4[Codigo Finca],Tabla4[Precio Rechazo],0)</f>
        <v>500</v>
      </c>
      <c r="L99" s="277">
        <f t="shared" si="77"/>
        <v>904</v>
      </c>
      <c r="M99" s="278">
        <f>IF(F99&gt;0,L99/F99,0)</f>
        <v>4.0177777777777779</v>
      </c>
      <c r="N99" s="283">
        <v>150</v>
      </c>
      <c r="O99" s="279">
        <v>2</v>
      </c>
      <c r="P99" s="280">
        <f t="shared" si="79"/>
        <v>18.667035398230087</v>
      </c>
      <c r="Q99" s="281">
        <f t="shared" si="80"/>
        <v>9.3335176991150437</v>
      </c>
      <c r="R99" s="282">
        <f t="shared" si="81"/>
        <v>14000.276548672566</v>
      </c>
      <c r="S99" s="283">
        <v>754</v>
      </c>
      <c r="T99" s="275">
        <v>10</v>
      </c>
      <c r="U99" s="280">
        <f t="shared" si="82"/>
        <v>206.3329646017699</v>
      </c>
      <c r="V99" s="281">
        <f t="shared" si="83"/>
        <v>20.633296460176989</v>
      </c>
      <c r="W99" s="282">
        <f t="shared" si="84"/>
        <v>30949.944690265482</v>
      </c>
      <c r="X99" s="283"/>
      <c r="Y99" s="275"/>
      <c r="Z99" s="280">
        <f>Tabla14[[#This Row],[Cajas Segunda]]</f>
        <v>0</v>
      </c>
      <c r="AA99" s="281">
        <f t="shared" si="85"/>
        <v>0</v>
      </c>
      <c r="AB99" s="284">
        <f t="shared" si="86"/>
        <v>0</v>
      </c>
      <c r="AC99" s="285">
        <v>46</v>
      </c>
      <c r="AD99" s="286"/>
      <c r="AE99" s="286"/>
      <c r="AF99" s="286"/>
      <c r="AG99" s="286">
        <v>10</v>
      </c>
      <c r="AH99" s="280">
        <f>IF(AND(AC99&gt;0,AE99=0,AF99=0,AD99=0),AC99,IF(AND(AC99=0,AE99&gt;0,AF99&gt;0,AD99=0),AE99*AF99/25,IF(AND(AC99=0,AE99=0,AF99=0,AD99&gt;0),AD99/25,0)))</f>
        <v>46</v>
      </c>
      <c r="AI99" s="281">
        <f t="shared" ref="AI99:AI104" si="88">IF(AG99&gt;0,AH99/AG99,0)</f>
        <v>4.5999999999999996</v>
      </c>
      <c r="AJ99" s="282">
        <f t="shared" si="87"/>
        <v>2300</v>
      </c>
      <c r="AK99" s="287">
        <f>Tabla14[[#This Row],[Cajas por Personas]]</f>
        <v>9.3335176991150437</v>
      </c>
      <c r="AL99" s="288">
        <f>Tabla14[[#This Row],[Valor Precorte Pesona]]</f>
        <v>14000.276548672566</v>
      </c>
      <c r="AM99" s="294">
        <f>Tabla14[[#This Row],[Personas Precorte]]</f>
        <v>2</v>
      </c>
      <c r="AN99" s="308">
        <f>Tabla14[[#This Row],[Valor Precorte Pesona Precorte]]*Tabla14[[#This Row],[Perzonas Precorte]]</f>
        <v>28000.553097345131</v>
      </c>
      <c r="AO99" s="287">
        <f>Tabla14[[#This Row],[Cajas por Personas2]]</f>
        <v>20.633296460176989</v>
      </c>
      <c r="AP99" s="288">
        <f>Tabla14[[#This Row],[Valor Embarque Pesona]]</f>
        <v>30949.944690265482</v>
      </c>
      <c r="AQ99" s="295">
        <f>Tabla14[[#This Row],[Personas Precorte2]]</f>
        <v>10</v>
      </c>
      <c r="AR99" s="296">
        <f>Tabla14[[#This Row],[Valor Embarque Pesona3]]*Tabla14[[#This Row],[Perzona Primera]]</f>
        <v>309499.44690265483</v>
      </c>
      <c r="AS99" s="287">
        <f>Tabla14[[#This Row],[Columna2]]</f>
        <v>0</v>
      </c>
      <c r="AT99" s="288">
        <f>Tabla14[[#This Row],[Columna1]]</f>
        <v>0</v>
      </c>
      <c r="AU99" s="302">
        <f>Tabla14[[#This Row],[Personas Intervienen]]</f>
        <v>0</v>
      </c>
      <c r="AV99" s="297">
        <f>Tabla14[[#This Row],[Valor Embarque Pesona5]]*Tabla14[[#This Row],[Presonas Segunda]]</f>
        <v>0</v>
      </c>
      <c r="AW99" s="287">
        <f>Tabla14[[#This Row],[Bolsas Por Personas]]</f>
        <v>4.5999999999999996</v>
      </c>
      <c r="AX99" s="288">
        <f>Tabla14[[#This Row],[Valor bolsas Pesona]]</f>
        <v>2300</v>
      </c>
      <c r="AY99" s="309">
        <f>Tabla14[[#This Row],[Personas13]]</f>
        <v>10</v>
      </c>
      <c r="AZ99" s="310">
        <f>Tabla14[[#This Row],[Valor bolsas Pesona2]]*Tabla14[[#This Row],[Personas Rechazo]]</f>
        <v>23000</v>
      </c>
      <c r="BA99" s="311">
        <f>+Tabla14[[#This Row],[Total Valor Segunda]]+Tabla14[[#This Row],[Total Valor Primera]]+Tabla14[[#This Row],[Total Valor Precorte]]</f>
        <v>337499.99999999994</v>
      </c>
      <c r="BB99" s="292">
        <f>Tabla14[[#This Row],[Valor bolsas Pesona2]]+Tabla14[[#This Row],[Valor Embarque Pesona3]]</f>
        <v>33249.944690265482</v>
      </c>
      <c r="BC99" s="332">
        <v>30000</v>
      </c>
      <c r="BD99" s="292">
        <f>Tabla14[[#This Row],[VALOR GANADO]]-Tabla14[[#This Row],[REAJUSTADO]]</f>
        <v>3249.9446902654818</v>
      </c>
      <c r="BE99" s="250">
        <f>Tabla14[[#This Row],[CUANTO SE REAJUSTA]]*Tabla14[[#This Row],[Personas Rechazo]]</f>
        <v>32499.446902654818</v>
      </c>
      <c r="BF99" s="250">
        <f>Tabla14[[#This Row],[REAJUSTADO]]/25000</f>
        <v>1.2</v>
      </c>
      <c r="BG99" s="302">
        <f>Tabla14[[#This Row],[REAJUSTADO]]*Tabla14[[#This Row],[Personas Rechazo]]</f>
        <v>300000</v>
      </c>
      <c r="BH99" s="292" t="str">
        <f>Tabla14[[#This Row],[Finca]]</f>
        <v>Damaquiel</v>
      </c>
      <c r="BJ99" s="332">
        <f>Tabla14[[#This Row],[Numero de Ocacionales]]*Tabla14[[#This Row],[REAJUSTADO]]</f>
        <v>0</v>
      </c>
      <c r="BK99" s="332"/>
      <c r="BL99" s="332"/>
      <c r="BM99" s="332">
        <f>+Tabla14[[#This Row],[CUANTO SE REAJUSTA]]*3</f>
        <v>9749.8340707964453</v>
      </c>
    </row>
    <row r="100" spans="3:65" hidden="1" x14ac:dyDescent="0.25">
      <c r="C100" s="274">
        <v>44685</v>
      </c>
      <c r="D100" s="507">
        <f>YEAR(Tabla14[[#This Row],[Fecha]])</f>
        <v>2022</v>
      </c>
      <c r="E100" s="313">
        <f>IF(Tabla14[[#This Row],[Fecha]]&gt;0,_xlfn.ISOWEEKNUM(Tabla14[[#This Row],[Fecha]]),0)</f>
        <v>18</v>
      </c>
      <c r="F100" s="283">
        <v>267</v>
      </c>
      <c r="G100" s="275" t="s">
        <v>152</v>
      </c>
      <c r="H100" s="325" t="str">
        <f>_xlfn.XLOOKUP(Tabla14[[#This Row],[Codigo Finca]],Tabla4[Codigo Finca],Tabla4[Nombre Finca],"")</f>
        <v>San Pedro</v>
      </c>
      <c r="I100" s="277">
        <f>_xlfn.XLOOKUP(Tabla14[[#This Row],[Codigo Finca]],Tabla4[Codigo Finca],Tabla4[Precio Caja],0)</f>
        <v>1500</v>
      </c>
      <c r="J100" s="277">
        <f>_xlfn.XLOOKUP(Tabla14[[#This Row],[Codigo Finca]],Tabla4[Codigo Finca],Tabla4[Precio Caja Segunda],0)</f>
        <v>1000</v>
      </c>
      <c r="K100" s="277">
        <f>_xlfn.XLOOKUP(Tabla14[[#This Row],[Codigo Finca]],Tabla4[Codigo Finca],Tabla4[Precio Rechazo],0)</f>
        <v>500</v>
      </c>
      <c r="L100" s="277">
        <f t="shared" si="77"/>
        <v>885</v>
      </c>
      <c r="M100" s="278">
        <f t="shared" si="78"/>
        <v>3.3146067415730336</v>
      </c>
      <c r="N100" s="283"/>
      <c r="O100" s="279"/>
      <c r="P100" s="280">
        <f t="shared" si="79"/>
        <v>0</v>
      </c>
      <c r="Q100" s="281">
        <f t="shared" si="80"/>
        <v>0</v>
      </c>
      <c r="R100" s="282">
        <f t="shared" si="81"/>
        <v>0</v>
      </c>
      <c r="S100" s="283">
        <v>885</v>
      </c>
      <c r="T100" s="275">
        <v>17</v>
      </c>
      <c r="U100" s="280">
        <f t="shared" si="82"/>
        <v>267</v>
      </c>
      <c r="V100" s="281">
        <f t="shared" si="83"/>
        <v>15.705882352941176</v>
      </c>
      <c r="W100" s="282">
        <f t="shared" si="84"/>
        <v>23558.823529411766</v>
      </c>
      <c r="X100" s="283"/>
      <c r="Y100" s="275"/>
      <c r="Z100" s="280">
        <f>Tabla14[[#This Row],[Cajas Segunda]]</f>
        <v>0</v>
      </c>
      <c r="AA100" s="281">
        <f t="shared" si="85"/>
        <v>0</v>
      </c>
      <c r="AB100" s="284">
        <f t="shared" si="86"/>
        <v>0</v>
      </c>
      <c r="AC100" s="285"/>
      <c r="AD100" s="286"/>
      <c r="AE100" s="286">
        <v>36</v>
      </c>
      <c r="AF100" s="286">
        <v>85</v>
      </c>
      <c r="AG100" s="286">
        <v>17</v>
      </c>
      <c r="AH100" s="280">
        <f>IF(AND(AC100&gt;0,AE100=0,AF100=0,AD100=0),AC100,IF(AND(AC100=0,AE100&gt;0,AF100&gt;0,AD100=0),AE100*AF100/25,IF(AND(AC100=0,AE100=0,AF100=0,AD100&gt;0),AD100/25,0)))</f>
        <v>122.4</v>
      </c>
      <c r="AI100" s="281">
        <f t="shared" si="88"/>
        <v>7.2</v>
      </c>
      <c r="AJ100" s="282">
        <f t="shared" si="87"/>
        <v>3600</v>
      </c>
      <c r="AK100" s="287">
        <f>Tabla14[[#This Row],[Cajas por Personas]]</f>
        <v>0</v>
      </c>
      <c r="AL100" s="288">
        <f>Tabla14[[#This Row],[Valor Precorte Pesona]]</f>
        <v>0</v>
      </c>
      <c r="AM100" s="294">
        <f>Tabla14[[#This Row],[Personas Precorte]]</f>
        <v>0</v>
      </c>
      <c r="AN100" s="308">
        <f>Tabla14[[#This Row],[Valor Precorte Pesona Precorte]]*Tabla14[[#This Row],[Perzonas Precorte]]</f>
        <v>0</v>
      </c>
      <c r="AO100" s="287">
        <f>Tabla14[[#This Row],[Cajas por Personas2]]</f>
        <v>15.705882352941176</v>
      </c>
      <c r="AP100" s="288">
        <f>Tabla14[[#This Row],[Valor Embarque Pesona]]</f>
        <v>23558.823529411766</v>
      </c>
      <c r="AQ100" s="295">
        <f>Tabla14[[#This Row],[Personas Precorte2]]</f>
        <v>17</v>
      </c>
      <c r="AR100" s="296">
        <f>Tabla14[[#This Row],[Valor Embarque Pesona3]]*Tabla14[[#This Row],[Perzona Primera]]</f>
        <v>400500</v>
      </c>
      <c r="AS100" s="287">
        <f>Tabla14[[#This Row],[Columna2]]</f>
        <v>0</v>
      </c>
      <c r="AT100" s="288">
        <f>Tabla14[[#This Row],[Columna1]]</f>
        <v>0</v>
      </c>
      <c r="AU100" s="302">
        <f>Tabla14[[#This Row],[Personas Intervienen]]</f>
        <v>0</v>
      </c>
      <c r="AV100" s="297">
        <f>Tabla14[[#This Row],[Valor Embarque Pesona5]]*Tabla14[[#This Row],[Presonas Segunda]]</f>
        <v>0</v>
      </c>
      <c r="AW100" s="287">
        <f>Tabla14[[#This Row],[Bolsas Por Personas]]</f>
        <v>7.2</v>
      </c>
      <c r="AX100" s="288">
        <f>Tabla14[[#This Row],[Valor bolsas Pesona]]</f>
        <v>3600</v>
      </c>
      <c r="AY100" s="309">
        <f>Tabla14[[#This Row],[Personas13]]</f>
        <v>17</v>
      </c>
      <c r="AZ100" s="310">
        <f>Tabla14[[#This Row],[Valor bolsas Pesona2]]*Tabla14[[#This Row],[Personas Rechazo]]</f>
        <v>61200</v>
      </c>
      <c r="BA100" s="311">
        <f>+Tabla14[[#This Row],[Total Valor Segunda]]+Tabla14[[#This Row],[Total Valor Primera]]+Tabla14[[#This Row],[Total Valor Precorte]]</f>
        <v>400500</v>
      </c>
      <c r="BB100" s="292">
        <f>Tabla14[[#This Row],[Valor bolsas Pesona2]]+Tabla14[[#This Row],[Valor Embarque Pesona3]]</f>
        <v>27158.823529411766</v>
      </c>
      <c r="BC100" s="332">
        <v>30000</v>
      </c>
      <c r="BD100" s="292">
        <f>Tabla14[[#This Row],[VALOR GANADO]]-Tabla14[[#This Row],[REAJUSTADO]]</f>
        <v>-2841.1764705882342</v>
      </c>
      <c r="BE100" s="250">
        <f>Tabla14[[#This Row],[CUANTO SE REAJUSTA]]*Tabla14[[#This Row],[Personas Rechazo]]</f>
        <v>-48299.999999999985</v>
      </c>
      <c r="BF100" s="250">
        <f>Tabla14[[#This Row],[REAJUSTADO]]/25000</f>
        <v>1.2</v>
      </c>
      <c r="BG100" s="302">
        <f>Tabla14[[#This Row],[REAJUSTADO]]*Tabla14[[#This Row],[Personas Rechazo]]</f>
        <v>510000</v>
      </c>
      <c r="BH100" s="292" t="str">
        <f>Tabla14[[#This Row],[Finca]]</f>
        <v>San Pedro</v>
      </c>
      <c r="BJ100" s="332">
        <f>Tabla14[[#This Row],[Numero de Ocacionales]]*Tabla14[[#This Row],[REAJUSTADO]]</f>
        <v>0</v>
      </c>
      <c r="BK100" s="332"/>
      <c r="BL100" s="332"/>
      <c r="BM100" s="332">
        <f>+Tabla14[[#This Row],[CUANTO SE REAJUSTA]]*3</f>
        <v>-8523.5294117647027</v>
      </c>
    </row>
    <row r="101" spans="3:65" hidden="1" x14ac:dyDescent="0.25">
      <c r="C101" s="274">
        <v>44686</v>
      </c>
      <c r="D101" s="507">
        <f>YEAR(Tabla14[[#This Row],[Fecha]])</f>
        <v>2022</v>
      </c>
      <c r="E101" s="313">
        <f>IF(Tabla14[[#This Row],[Fecha]]&gt;0,_xlfn.ISOWEEKNUM(Tabla14[[#This Row],[Fecha]]),0)</f>
        <v>18</v>
      </c>
      <c r="F101" s="283">
        <v>0</v>
      </c>
      <c r="G101" s="275" t="s">
        <v>152</v>
      </c>
      <c r="H101" s="325" t="str">
        <f>_xlfn.XLOOKUP(Tabla14[[#This Row],[Codigo Finca]],Tabla4[Codigo Finca],Tabla4[Nombre Finca],"")</f>
        <v>San Pedro</v>
      </c>
      <c r="I101" s="277">
        <f>_xlfn.XLOOKUP(Tabla14[[#This Row],[Codigo Finca]],Tabla4[Codigo Finca],Tabla4[Precio Caja],0)</f>
        <v>1500</v>
      </c>
      <c r="J101" s="277">
        <f>_xlfn.XLOOKUP(Tabla14[[#This Row],[Codigo Finca]],Tabla4[Codigo Finca],Tabla4[Precio Caja Segunda],0)</f>
        <v>1000</v>
      </c>
      <c r="K101" s="277">
        <f>_xlfn.XLOOKUP(Tabla14[[#This Row],[Codigo Finca]],Tabla4[Codigo Finca],Tabla4[Precio Rechazo],0)</f>
        <v>500</v>
      </c>
      <c r="L101" s="277">
        <f t="shared" si="77"/>
        <v>0</v>
      </c>
      <c r="M101" s="278">
        <f t="shared" si="78"/>
        <v>0</v>
      </c>
      <c r="N101" s="283"/>
      <c r="O101" s="279"/>
      <c r="P101" s="280">
        <f t="shared" si="79"/>
        <v>0</v>
      </c>
      <c r="Q101" s="281">
        <f t="shared" si="80"/>
        <v>0</v>
      </c>
      <c r="R101" s="282">
        <f t="shared" si="81"/>
        <v>0</v>
      </c>
      <c r="S101" s="283"/>
      <c r="T101" s="275">
        <v>8</v>
      </c>
      <c r="U101" s="280">
        <f t="shared" si="82"/>
        <v>0</v>
      </c>
      <c r="V101" s="281">
        <f t="shared" si="83"/>
        <v>0</v>
      </c>
      <c r="W101" s="282">
        <f t="shared" si="84"/>
        <v>0</v>
      </c>
      <c r="X101" s="283"/>
      <c r="Y101" s="275"/>
      <c r="Z101" s="280">
        <f>Tabla14[[#This Row],[Cajas Segunda]]</f>
        <v>0</v>
      </c>
      <c r="AA101" s="281">
        <f t="shared" si="85"/>
        <v>0</v>
      </c>
      <c r="AB101" s="284">
        <f t="shared" si="86"/>
        <v>0</v>
      </c>
      <c r="AC101" s="285">
        <v>83</v>
      </c>
      <c r="AD101" s="286"/>
      <c r="AE101" s="286"/>
      <c r="AF101" s="286"/>
      <c r="AG101" s="286">
        <v>8</v>
      </c>
      <c r="AH101" s="280">
        <f>IF(AND(AC101&gt;0,AE101=0,AF101=0,AD101=0),AC101,IF(AND(AC101=0,AE101&gt;0,AF101&gt;0,AD101=0),AE101*AF101/25,IF(AND(AC101=0,AE101=0,AF101=0,AD101&gt;0),AD101/25,0)))</f>
        <v>83</v>
      </c>
      <c r="AI101" s="281">
        <f t="shared" si="88"/>
        <v>10.375</v>
      </c>
      <c r="AJ101" s="282">
        <f t="shared" si="87"/>
        <v>5187.5</v>
      </c>
      <c r="AK101" s="287">
        <f>Tabla14[[#This Row],[Cajas por Personas]]</f>
        <v>0</v>
      </c>
      <c r="AL101" s="288">
        <f>Tabla14[[#This Row],[Valor Precorte Pesona]]</f>
        <v>0</v>
      </c>
      <c r="AM101" s="294">
        <f>Tabla14[[#This Row],[Personas Precorte]]</f>
        <v>0</v>
      </c>
      <c r="AN101" s="308">
        <f>Tabla14[[#This Row],[Valor Precorte Pesona Precorte]]*Tabla14[[#This Row],[Perzonas Precorte]]</f>
        <v>0</v>
      </c>
      <c r="AO101" s="287">
        <f>Tabla14[[#This Row],[Cajas por Personas2]]</f>
        <v>0</v>
      </c>
      <c r="AP101" s="288">
        <f>Tabla14[[#This Row],[Valor Embarque Pesona]]</f>
        <v>0</v>
      </c>
      <c r="AQ101" s="295">
        <f>Tabla14[[#This Row],[Personas Precorte2]]</f>
        <v>8</v>
      </c>
      <c r="AR101" s="296">
        <f>Tabla14[[#This Row],[Valor Embarque Pesona3]]*Tabla14[[#This Row],[Perzona Primera]]</f>
        <v>0</v>
      </c>
      <c r="AS101" s="287">
        <f>Tabla14[[#This Row],[Columna2]]</f>
        <v>0</v>
      </c>
      <c r="AT101" s="288">
        <f>Tabla14[[#This Row],[Columna1]]</f>
        <v>0</v>
      </c>
      <c r="AU101" s="302">
        <f>Tabla14[[#This Row],[Personas Intervienen]]</f>
        <v>0</v>
      </c>
      <c r="AV101" s="297">
        <f>Tabla14[[#This Row],[Valor Embarque Pesona5]]*Tabla14[[#This Row],[Presonas Segunda]]</f>
        <v>0</v>
      </c>
      <c r="AW101" s="287">
        <f>Tabla14[[#This Row],[Bolsas Por Personas]]</f>
        <v>10.375</v>
      </c>
      <c r="AX101" s="288">
        <f>Tabla14[[#This Row],[Valor bolsas Pesona]]</f>
        <v>5187.5</v>
      </c>
      <c r="AY101" s="309">
        <f>Tabla14[[#This Row],[Personas13]]</f>
        <v>8</v>
      </c>
      <c r="AZ101" s="310">
        <f>Tabla14[[#This Row],[Valor bolsas Pesona2]]*Tabla14[[#This Row],[Personas Rechazo]]</f>
        <v>41500</v>
      </c>
      <c r="BA101" s="311">
        <f>+Tabla14[[#This Row],[Total Valor Segunda]]+Tabla14[[#This Row],[Total Valor Primera]]+Tabla14[[#This Row],[Total Valor Precorte]]</f>
        <v>0</v>
      </c>
      <c r="BB101" s="292">
        <f>Tabla14[[#This Row],[Valor bolsas Pesona2]]+Tabla14[[#This Row],[Valor Embarque Pesona3]]</f>
        <v>5187.5</v>
      </c>
      <c r="BC101" s="332">
        <v>30000</v>
      </c>
      <c r="BD101" s="292">
        <f>Tabla14[[#This Row],[VALOR GANADO]]-Tabla14[[#This Row],[REAJUSTADO]]</f>
        <v>-24812.5</v>
      </c>
      <c r="BE101" s="250">
        <f>Tabla14[[#This Row],[CUANTO SE REAJUSTA]]*Tabla14[[#This Row],[Personas Rechazo]]</f>
        <v>-198500</v>
      </c>
      <c r="BF101" s="250">
        <f>Tabla14[[#This Row],[REAJUSTADO]]/25000</f>
        <v>1.2</v>
      </c>
      <c r="BG101" s="302">
        <f>Tabla14[[#This Row],[REAJUSTADO]]*Tabla14[[#This Row],[Personas Rechazo]]</f>
        <v>240000</v>
      </c>
      <c r="BH101" s="292" t="str">
        <f>Tabla14[[#This Row],[Finca]]</f>
        <v>San Pedro</v>
      </c>
      <c r="BJ101" s="332">
        <f>Tabla14[[#This Row],[Numero de Ocacionales]]*Tabla14[[#This Row],[REAJUSTADO]]</f>
        <v>0</v>
      </c>
      <c r="BK101" s="332"/>
      <c r="BL101" s="332"/>
      <c r="BM101" s="332">
        <f>+Tabla14[[#This Row],[CUANTO SE REAJUSTA]]*3</f>
        <v>-74437.5</v>
      </c>
    </row>
    <row r="102" spans="3:65" hidden="1" x14ac:dyDescent="0.25">
      <c r="C102" s="274">
        <v>44686</v>
      </c>
      <c r="D102" s="507">
        <f>YEAR(Tabla14[[#This Row],[Fecha]])</f>
        <v>2022</v>
      </c>
      <c r="E102" s="313">
        <f>IF(Tabla14[[#This Row],[Fecha]]&gt;0,_xlfn.ISOWEEKNUM(Tabla14[[#This Row],[Fecha]]),0)</f>
        <v>18</v>
      </c>
      <c r="F102" s="283">
        <v>20</v>
      </c>
      <c r="G102" s="275" t="s">
        <v>153</v>
      </c>
      <c r="H102" s="325" t="str">
        <f>_xlfn.XLOOKUP(Tabla14[[#This Row],[Codigo Finca]],Tabla4[Codigo Finca],Tabla4[Nombre Finca],"")</f>
        <v>Uveros</v>
      </c>
      <c r="I102" s="277">
        <f>_xlfn.XLOOKUP(Tabla14[[#This Row],[Codigo Finca]],Tabla4[Codigo Finca],Tabla4[Precio Caja],0)</f>
        <v>1500</v>
      </c>
      <c r="J102" s="277">
        <f>_xlfn.XLOOKUP(Tabla14[[#This Row],[Codigo Finca]],Tabla4[Codigo Finca],Tabla4[Precio Caja Segunda],0)</f>
        <v>1000</v>
      </c>
      <c r="K102" s="277">
        <f>_xlfn.XLOOKUP(Tabla14[[#This Row],[Codigo Finca]],Tabla4[Codigo Finca],Tabla4[Precio Rechazo],0)</f>
        <v>500</v>
      </c>
      <c r="L102" s="277">
        <f t="shared" si="77"/>
        <v>0</v>
      </c>
      <c r="M102" s="278">
        <f t="shared" si="78"/>
        <v>0</v>
      </c>
      <c r="N102" s="283"/>
      <c r="O102" s="279"/>
      <c r="P102" s="280">
        <f t="shared" si="79"/>
        <v>0</v>
      </c>
      <c r="Q102" s="281">
        <f t="shared" si="80"/>
        <v>0</v>
      </c>
      <c r="R102" s="282">
        <f t="shared" si="81"/>
        <v>0</v>
      </c>
      <c r="S102" s="338"/>
      <c r="T102" s="275">
        <v>8</v>
      </c>
      <c r="U102" s="280">
        <f t="shared" si="82"/>
        <v>20</v>
      </c>
      <c r="V102" s="281">
        <f t="shared" si="83"/>
        <v>2.5</v>
      </c>
      <c r="W102" s="282">
        <f t="shared" si="84"/>
        <v>3750</v>
      </c>
      <c r="X102" s="283"/>
      <c r="Y102" s="275"/>
      <c r="Z102" s="280">
        <f>Tabla14[[#This Row],[Cajas Segunda]]</f>
        <v>0</v>
      </c>
      <c r="AA102" s="281">
        <f t="shared" si="85"/>
        <v>0</v>
      </c>
      <c r="AB102" s="284">
        <f t="shared" si="86"/>
        <v>0</v>
      </c>
      <c r="AC102" s="285">
        <v>46</v>
      </c>
      <c r="AD102" s="286"/>
      <c r="AE102" s="286"/>
      <c r="AF102" s="286"/>
      <c r="AG102" s="286">
        <v>8</v>
      </c>
      <c r="AH102" s="280">
        <f>IF(AND(AC102&gt;0,AE102=0,AF102=0,AD102=0),AC102,IF(AND(AC102=0,AE102&gt;0,AF102&gt;0,AD102=0),AE102*AF102/25,IF(AND(AC102=0,AE102=0,AF102=0,AD102&gt;0),AD102/25,0)))</f>
        <v>46</v>
      </c>
      <c r="AI102" s="281">
        <f t="shared" si="88"/>
        <v>5.75</v>
      </c>
      <c r="AJ102" s="282">
        <f t="shared" si="87"/>
        <v>2875</v>
      </c>
      <c r="AK102" s="287">
        <f>Tabla14[[#This Row],[Cajas por Personas]]</f>
        <v>0</v>
      </c>
      <c r="AL102" s="288">
        <f>Tabla14[[#This Row],[Valor Precorte Pesona]]</f>
        <v>0</v>
      </c>
      <c r="AM102" s="294">
        <f>Tabla14[[#This Row],[Personas Precorte]]</f>
        <v>0</v>
      </c>
      <c r="AN102" s="308">
        <f>Tabla14[[#This Row],[Valor Precorte Pesona Precorte]]*Tabla14[[#This Row],[Perzonas Precorte]]</f>
        <v>0</v>
      </c>
      <c r="AO102" s="287">
        <f>Tabla14[[#This Row],[Cajas por Personas2]]</f>
        <v>2.5</v>
      </c>
      <c r="AP102" s="288">
        <f>Tabla14[[#This Row],[Valor Embarque Pesona]]</f>
        <v>3750</v>
      </c>
      <c r="AQ102" s="295">
        <f>Tabla14[[#This Row],[Personas Precorte2]]</f>
        <v>8</v>
      </c>
      <c r="AR102" s="296">
        <f>Tabla14[[#This Row],[Valor Embarque Pesona3]]*Tabla14[[#This Row],[Perzona Primera]]</f>
        <v>30000</v>
      </c>
      <c r="AS102" s="287">
        <f>Tabla14[[#This Row],[Columna2]]</f>
        <v>0</v>
      </c>
      <c r="AT102" s="288">
        <f>Tabla14[[#This Row],[Columna1]]</f>
        <v>0</v>
      </c>
      <c r="AU102" s="302">
        <f>Tabla14[[#This Row],[Personas Intervienen]]</f>
        <v>0</v>
      </c>
      <c r="AV102" s="297">
        <f>Tabla14[[#This Row],[Valor Embarque Pesona5]]*Tabla14[[#This Row],[Presonas Segunda]]</f>
        <v>0</v>
      </c>
      <c r="AW102" s="287">
        <f>Tabla14[[#This Row],[Bolsas Por Personas]]</f>
        <v>5.75</v>
      </c>
      <c r="AX102" s="288">
        <f>Tabla14[[#This Row],[Valor bolsas Pesona]]</f>
        <v>2875</v>
      </c>
      <c r="AY102" s="309">
        <f>Tabla14[[#This Row],[Personas13]]</f>
        <v>8</v>
      </c>
      <c r="AZ102" s="310">
        <f>Tabla14[[#This Row],[Valor bolsas Pesona2]]*Tabla14[[#This Row],[Personas Rechazo]]</f>
        <v>23000</v>
      </c>
      <c r="BA102" s="311">
        <f>+Tabla14[[#This Row],[Total Valor Segunda]]+Tabla14[[#This Row],[Total Valor Primera]]+Tabla14[[#This Row],[Total Valor Precorte]]</f>
        <v>30000</v>
      </c>
      <c r="BB102" s="292">
        <f>Tabla14[[#This Row],[Valor bolsas Pesona2]]+Tabla14[[#This Row],[Valor Embarque Pesona3]]</f>
        <v>6625</v>
      </c>
      <c r="BD102" s="292">
        <f>Tabla14[[#This Row],[VALOR GANADO]]-Tabla14[[#This Row],[REAJUSTADO]]</f>
        <v>6625</v>
      </c>
      <c r="BE102" s="250">
        <f>Tabla14[[#This Row],[CUANTO SE REAJUSTA]]*Tabla14[[#This Row],[Personas Rechazo]]</f>
        <v>53000</v>
      </c>
      <c r="BF102" s="250">
        <f>Tabla14[[#This Row],[REAJUSTADO]]/25000</f>
        <v>0</v>
      </c>
      <c r="BG102" s="302">
        <f>Tabla14[[#This Row],[REAJUSTADO]]*Tabla14[[#This Row],[Personas Rechazo]]</f>
        <v>0</v>
      </c>
      <c r="BH102" s="292" t="str">
        <f>Tabla14[[#This Row],[Finca]]</f>
        <v>Uveros</v>
      </c>
      <c r="BJ102" s="332">
        <f>Tabla14[[#This Row],[Numero de Ocacionales]]*Tabla14[[#This Row],[REAJUSTADO]]</f>
        <v>0</v>
      </c>
      <c r="BK102" s="332"/>
      <c r="BL102" s="332"/>
      <c r="BM102" s="332">
        <f>+Tabla14[[#This Row],[CUANTO SE REAJUSTA]]*3</f>
        <v>19875</v>
      </c>
    </row>
    <row r="103" spans="3:65" hidden="1" x14ac:dyDescent="0.25">
      <c r="C103" s="274">
        <v>44691</v>
      </c>
      <c r="D103" s="507">
        <f>YEAR(Tabla14[[#This Row],[Fecha]])</f>
        <v>2022</v>
      </c>
      <c r="E103" s="313">
        <f>IF(Tabla14[[#This Row],[Fecha]]&gt;0,_xlfn.ISOWEEKNUM(Tabla14[[#This Row],[Fecha]]),0)</f>
        <v>19</v>
      </c>
      <c r="F103" s="283">
        <v>173</v>
      </c>
      <c r="G103" s="275" t="s">
        <v>157</v>
      </c>
      <c r="H103" s="325" t="str">
        <f>_xlfn.XLOOKUP(Tabla14[[#This Row],[Codigo Finca]],Tabla4[Codigo Finca],Tabla4[Nombre Finca],"")</f>
        <v>Pedrito</v>
      </c>
      <c r="I103" s="277">
        <f>_xlfn.XLOOKUP(Tabla14[[#This Row],[Codigo Finca]],Tabla4[Codigo Finca],Tabla4[Precio Caja],0)</f>
        <v>2100</v>
      </c>
      <c r="J103" s="277">
        <f>_xlfn.XLOOKUP(Tabla14[[#This Row],[Codigo Finca]],Tabla4[Codigo Finca],Tabla4[Precio Caja Segunda],0)</f>
        <v>1000</v>
      </c>
      <c r="K103" s="277">
        <f>_xlfn.XLOOKUP(Tabla14[[#This Row],[Codigo Finca]],Tabla4[Codigo Finca],Tabla4[Precio Rechazo],0)</f>
        <v>500</v>
      </c>
      <c r="L103" s="277">
        <f t="shared" si="77"/>
        <v>557</v>
      </c>
      <c r="M103" s="278">
        <f t="shared" si="78"/>
        <v>3.2196531791907512</v>
      </c>
      <c r="N103" s="283"/>
      <c r="O103" s="279"/>
      <c r="P103" s="280">
        <f t="shared" si="79"/>
        <v>0</v>
      </c>
      <c r="Q103" s="281">
        <f t="shared" si="80"/>
        <v>0</v>
      </c>
      <c r="R103" s="282">
        <f t="shared" si="81"/>
        <v>0</v>
      </c>
      <c r="S103" s="283">
        <v>557</v>
      </c>
      <c r="T103" s="275">
        <v>14</v>
      </c>
      <c r="U103" s="280">
        <f t="shared" si="82"/>
        <v>173</v>
      </c>
      <c r="V103" s="281">
        <f t="shared" si="83"/>
        <v>12.357142857142858</v>
      </c>
      <c r="W103" s="282">
        <f t="shared" si="84"/>
        <v>25950</v>
      </c>
      <c r="X103" s="283"/>
      <c r="Y103" s="275"/>
      <c r="Z103" s="280">
        <f>Tabla14[[#This Row],[Cajas Segunda]]</f>
        <v>0</v>
      </c>
      <c r="AA103" s="281">
        <f t="shared" si="85"/>
        <v>0</v>
      </c>
      <c r="AB103" s="284">
        <f t="shared" si="86"/>
        <v>0</v>
      </c>
      <c r="AC103" s="285">
        <v>45.2</v>
      </c>
      <c r="AD103" s="286"/>
      <c r="AE103" s="286"/>
      <c r="AF103" s="286"/>
      <c r="AG103" s="286">
        <v>14</v>
      </c>
      <c r="AH103" s="280">
        <f>IF(AND(AC103&gt;0,AE103=0,AF103=0,AD103=0),AC103,IF(AND(AC103=0,AE103&gt;0,AF103&gt;0,AD103=0),AE103*AF103/25,IF(AND(AC103=0,AE103=0,AF103=0,AD103&gt;0),AD103/25,0)))</f>
        <v>45.2</v>
      </c>
      <c r="AI103" s="281">
        <f t="shared" si="88"/>
        <v>3.2285714285714286</v>
      </c>
      <c r="AJ103" s="282">
        <f t="shared" si="87"/>
        <v>1614.2857142857142</v>
      </c>
      <c r="AK103" s="287">
        <f>Tabla14[[#This Row],[Cajas por Personas]]</f>
        <v>0</v>
      </c>
      <c r="AL103" s="288">
        <f>Tabla14[[#This Row],[Valor Precorte Pesona]]</f>
        <v>0</v>
      </c>
      <c r="AM103" s="294">
        <f>Tabla14[[#This Row],[Personas Precorte]]</f>
        <v>0</v>
      </c>
      <c r="AN103" s="308">
        <f>Tabla14[[#This Row],[Valor Precorte Pesona Precorte]]*Tabla14[[#This Row],[Perzonas Precorte]]</f>
        <v>0</v>
      </c>
      <c r="AO103" s="287">
        <f>Tabla14[[#This Row],[Cajas por Personas2]]</f>
        <v>12.357142857142858</v>
      </c>
      <c r="AP103" s="288">
        <f>Tabla14[[#This Row],[Valor Embarque Pesona]]</f>
        <v>25950</v>
      </c>
      <c r="AQ103" s="295">
        <f>Tabla14[[#This Row],[Personas Precorte2]]</f>
        <v>14</v>
      </c>
      <c r="AR103" s="296">
        <f>Tabla14[[#This Row],[Valor Embarque Pesona3]]*Tabla14[[#This Row],[Perzona Primera]]</f>
        <v>363300</v>
      </c>
      <c r="AS103" s="287">
        <f>Tabla14[[#This Row],[Columna2]]</f>
        <v>0</v>
      </c>
      <c r="AT103" s="288">
        <f>Tabla14[[#This Row],[Columna1]]</f>
        <v>0</v>
      </c>
      <c r="AU103" s="302">
        <f>Tabla14[[#This Row],[Personas Intervienen]]</f>
        <v>0</v>
      </c>
      <c r="AV103" s="297">
        <f>Tabla14[[#This Row],[Valor Embarque Pesona5]]*Tabla14[[#This Row],[Presonas Segunda]]</f>
        <v>0</v>
      </c>
      <c r="AW103" s="287">
        <f>Tabla14[[#This Row],[Bolsas Por Personas]]</f>
        <v>3.2285714285714286</v>
      </c>
      <c r="AX103" s="288">
        <f>Tabla14[[#This Row],[Valor bolsas Pesona]]</f>
        <v>1614.2857142857142</v>
      </c>
      <c r="AY103" s="309">
        <f>Tabla14[[#This Row],[Personas13]]</f>
        <v>14</v>
      </c>
      <c r="AZ103" s="310">
        <f>Tabla14[[#This Row],[Valor bolsas Pesona2]]*Tabla14[[#This Row],[Personas Rechazo]]</f>
        <v>22600</v>
      </c>
      <c r="BA103" s="311">
        <f>+Tabla14[[#This Row],[Total Valor Segunda]]+Tabla14[[#This Row],[Total Valor Primera]]+Tabla14[[#This Row],[Total Valor Precorte]]</f>
        <v>363300</v>
      </c>
      <c r="BB103" s="292">
        <f>Tabla14[[#This Row],[Valor bolsas Pesona2]]+Tabla14[[#This Row],[Valor Embarque Pesona3]]</f>
        <v>27564.285714285714</v>
      </c>
      <c r="BC103" s="332">
        <v>30000</v>
      </c>
      <c r="BD103" s="292">
        <f>Tabla14[[#This Row],[VALOR GANADO]]-Tabla14[[#This Row],[REAJUSTADO]]</f>
        <v>-2435.7142857142862</v>
      </c>
      <c r="BE103" s="250">
        <f>Tabla14[[#This Row],[CUANTO SE REAJUSTA]]*Tabla14[[#This Row],[Personas Rechazo]]</f>
        <v>-34100.000000000007</v>
      </c>
      <c r="BF103" s="250">
        <f>Tabla14[[#This Row],[REAJUSTADO]]/25000</f>
        <v>1.2</v>
      </c>
      <c r="BG103" s="302">
        <f>Tabla14[[#This Row],[REAJUSTADO]]*Tabla14[[#This Row],[Personas Rechazo]]</f>
        <v>420000</v>
      </c>
      <c r="BH103" s="292" t="str">
        <f>Tabla14[[#This Row],[Finca]]</f>
        <v>Pedrito</v>
      </c>
      <c r="BI103" s="250">
        <v>1</v>
      </c>
      <c r="BJ103" s="332">
        <f>Tabla14[[#This Row],[Numero de Ocacionales]]*Tabla14[[#This Row],[REAJUSTADO]]</f>
        <v>30000</v>
      </c>
      <c r="BK103" s="332"/>
      <c r="BL103" s="332"/>
      <c r="BM103" s="332">
        <f>+Tabla14[[#This Row],[CUANTO SE REAJUSTA]]*3</f>
        <v>-7307.1428571428587</v>
      </c>
    </row>
    <row r="104" spans="3:65" hidden="1" x14ac:dyDescent="0.25">
      <c r="C104" s="274">
        <v>44691</v>
      </c>
      <c r="D104" s="507">
        <f>YEAR(Tabla14[[#This Row],[Fecha]])</f>
        <v>2022</v>
      </c>
      <c r="E104" s="313">
        <f>IF(Tabla14[[#This Row],[Fecha]]&gt;0,_xlfn.ISOWEEKNUM(Tabla14[[#This Row],[Fecha]]),0)</f>
        <v>19</v>
      </c>
      <c r="F104" s="283">
        <v>180</v>
      </c>
      <c r="G104" s="275" t="s">
        <v>155</v>
      </c>
      <c r="H104" s="325" t="str">
        <f>_xlfn.XLOOKUP(Tabla14[[#This Row],[Codigo Finca]],Tabla4[Codigo Finca],Tabla4[Nombre Finca],"")</f>
        <v>Damaquiel</v>
      </c>
      <c r="I104" s="277">
        <f>_xlfn.XLOOKUP(Tabla14[[#This Row],[Codigo Finca]],Tabla4[Codigo Finca],Tabla4[Precio Caja],0)</f>
        <v>1500</v>
      </c>
      <c r="J104" s="277">
        <f>_xlfn.XLOOKUP(Tabla14[[#This Row],[Codigo Finca]],Tabla4[Codigo Finca],Tabla4[Precio Caja Segunda],0)</f>
        <v>1000</v>
      </c>
      <c r="K104" s="277">
        <f>_xlfn.XLOOKUP(Tabla14[[#This Row],[Codigo Finca]],Tabla4[Codigo Finca],Tabla4[Precio Rechazo],0)</f>
        <v>500</v>
      </c>
      <c r="L104" s="277">
        <f>S104+N104</f>
        <v>660</v>
      </c>
      <c r="M104" s="278">
        <f t="shared" ref="M104:M111" si="89">IF(F104&gt;0,L104/F104,0)</f>
        <v>3.6666666666666665</v>
      </c>
      <c r="N104" s="283">
        <v>100</v>
      </c>
      <c r="O104" s="279">
        <v>2</v>
      </c>
      <c r="P104" s="280">
        <f t="shared" ref="P104:P111" si="90">IF(N104&gt;0,(N104/M104)/2,0)</f>
        <v>13.636363636363637</v>
      </c>
      <c r="Q104" s="281">
        <f t="shared" ref="Q104:Q111" si="91">IF(O104&gt;0,P104/O104,0)</f>
        <v>6.8181818181818183</v>
      </c>
      <c r="R104" s="282">
        <f t="shared" ref="R104:R111" si="92">IF(I104&gt;0,Q104*I104,)</f>
        <v>10227.272727272728</v>
      </c>
      <c r="S104" s="283">
        <v>560</v>
      </c>
      <c r="T104" s="275">
        <v>8</v>
      </c>
      <c r="U104" s="280">
        <f t="shared" ref="U104:U111" si="93">F104-P104</f>
        <v>166.36363636363637</v>
      </c>
      <c r="V104" s="281">
        <f t="shared" ref="V104:V111" si="94">IF(T104&gt;0,U104/T104,0)</f>
        <v>20.795454545454547</v>
      </c>
      <c r="W104" s="282">
        <f t="shared" ref="W104:W111" si="95">IF(T104&gt;0,(U104*I104)/T104,0)</f>
        <v>31193.18181818182</v>
      </c>
      <c r="X104" s="283"/>
      <c r="Y104" s="275"/>
      <c r="Z104" s="280">
        <f>Tabla14[[#This Row],[Cajas Segunda]]</f>
        <v>0</v>
      </c>
      <c r="AA104" s="281">
        <f t="shared" ref="AA104:AA111" si="96">IF(Y104&gt;0,Z104/Y104,0)</f>
        <v>0</v>
      </c>
      <c r="AB104" s="284">
        <f t="shared" ref="AB104:AB111" si="97">IF(Y104&gt;0,(Z104*J104)/Y104,0)</f>
        <v>0</v>
      </c>
      <c r="AC104" s="285">
        <v>33</v>
      </c>
      <c r="AD104" s="286"/>
      <c r="AE104" s="286"/>
      <c r="AF104" s="286"/>
      <c r="AG104" s="286">
        <v>8</v>
      </c>
      <c r="AH104" s="280">
        <f t="shared" ref="AH104:AH111" si="98">IF(AND(AC104&gt;0,AE104=0,AF104=0,AD104=0),AC104,IF(AND(AC104=0,AE104&gt;0,AF104&gt;0,AD104=0),AE104*AF104/25,IF(AND(AC104=0,AE104=0,AF104=0,AD104&gt;0),AD104/25,0)))</f>
        <v>33</v>
      </c>
      <c r="AI104" s="281">
        <f t="shared" si="88"/>
        <v>4.125</v>
      </c>
      <c r="AJ104" s="282">
        <f t="shared" ref="AJ104:AJ111" si="99">AI104*K104</f>
        <v>2062.5</v>
      </c>
      <c r="AK104" s="287">
        <f>Tabla14[[#This Row],[Cajas por Personas]]</f>
        <v>6.8181818181818183</v>
      </c>
      <c r="AL104" s="288">
        <f>Tabla14[[#This Row],[Valor Precorte Pesona]]</f>
        <v>10227.272727272728</v>
      </c>
      <c r="AM104" s="294">
        <f>Tabla14[[#This Row],[Personas Precorte]]</f>
        <v>2</v>
      </c>
      <c r="AN104" s="308">
        <f>Tabla14[[#This Row],[Valor Precorte Pesona Precorte]]*Tabla14[[#This Row],[Perzonas Precorte]]</f>
        <v>20454.545454545456</v>
      </c>
      <c r="AO104" s="287">
        <f>Tabla14[[#This Row],[Cajas por Personas2]]</f>
        <v>20.795454545454547</v>
      </c>
      <c r="AP104" s="288">
        <f>Tabla14[[#This Row],[Valor Embarque Pesona]]</f>
        <v>31193.18181818182</v>
      </c>
      <c r="AQ104" s="295">
        <f>Tabla14[[#This Row],[Personas Precorte2]]</f>
        <v>8</v>
      </c>
      <c r="AR104" s="296">
        <f>Tabla14[[#This Row],[Valor Embarque Pesona3]]*Tabla14[[#This Row],[Perzona Primera]]</f>
        <v>249545.45454545456</v>
      </c>
      <c r="AS104" s="287">
        <f>Tabla14[[#This Row],[Columna2]]</f>
        <v>0</v>
      </c>
      <c r="AT104" s="288">
        <f>Tabla14[[#This Row],[Columna1]]</f>
        <v>0</v>
      </c>
      <c r="AU104" s="302">
        <f>Tabla14[[#This Row],[Personas Intervienen]]</f>
        <v>0</v>
      </c>
      <c r="AV104" s="297">
        <f>Tabla14[[#This Row],[Valor Embarque Pesona5]]*Tabla14[[#This Row],[Presonas Segunda]]</f>
        <v>0</v>
      </c>
      <c r="AW104" s="287">
        <f>Tabla14[[#This Row],[Bolsas Por Personas]]</f>
        <v>4.125</v>
      </c>
      <c r="AX104" s="288">
        <f>Tabla14[[#This Row],[Valor bolsas Pesona]]</f>
        <v>2062.5</v>
      </c>
      <c r="AY104" s="309">
        <f>Tabla14[[#This Row],[Personas13]]</f>
        <v>8</v>
      </c>
      <c r="AZ104" s="310">
        <f>Tabla14[[#This Row],[Valor bolsas Pesona2]]*Tabla14[[#This Row],[Personas Rechazo]]</f>
        <v>16500</v>
      </c>
      <c r="BA104" s="311">
        <f>+Tabla14[[#This Row],[Total Valor Segunda]]+Tabla14[[#This Row],[Total Valor Primera]]+Tabla14[[#This Row],[Total Valor Precorte]]</f>
        <v>270000</v>
      </c>
      <c r="BB104" s="292">
        <f>Tabla14[[#This Row],[Valor bolsas Pesona2]]+Tabla14[[#This Row],[Valor Embarque Pesona3]]</f>
        <v>33255.681818181823</v>
      </c>
      <c r="BC104" s="332">
        <v>33500</v>
      </c>
      <c r="BD104" s="292">
        <f>Tabla14[[#This Row],[VALOR GANADO]]-Tabla14[[#This Row],[REAJUSTADO]]</f>
        <v>-244.31818181817653</v>
      </c>
      <c r="BE104" s="250">
        <f>Tabla14[[#This Row],[CUANTO SE REAJUSTA]]*Tabla14[[#This Row],[Personas Rechazo]]</f>
        <v>-1954.5454545454122</v>
      </c>
      <c r="BF104" s="250">
        <f>Tabla14[[#This Row],[REAJUSTADO]]/25000</f>
        <v>1.34</v>
      </c>
      <c r="BG104" s="302">
        <f>Tabla14[[#This Row],[REAJUSTADO]]*Tabla14[[#This Row],[Personas Rechazo]]</f>
        <v>268000</v>
      </c>
      <c r="BH104" s="292" t="str">
        <f>Tabla14[[#This Row],[Finca]]</f>
        <v>Damaquiel</v>
      </c>
      <c r="BI104" s="250">
        <v>4</v>
      </c>
      <c r="BJ104" s="332">
        <f>Tabla14[[#This Row],[Numero de Ocacionales]]*Tabla14[[#This Row],[REAJUSTADO]]</f>
        <v>134000</v>
      </c>
      <c r="BK104" s="332"/>
      <c r="BL104" s="332">
        <v>30000</v>
      </c>
      <c r="BM104" s="332">
        <f>+Tabla14[[#This Row],[CUANTO SE REAJUSTA]]*3</f>
        <v>-732.95454545452958</v>
      </c>
    </row>
    <row r="105" spans="3:65" hidden="1" x14ac:dyDescent="0.25">
      <c r="C105" s="274">
        <v>44692</v>
      </c>
      <c r="D105" s="507">
        <f>YEAR(Tabla14[[#This Row],[Fecha]])</f>
        <v>2022</v>
      </c>
      <c r="E105" s="313">
        <f>IF(Tabla14[[#This Row],[Fecha]]&gt;0,_xlfn.ISOWEEKNUM(Tabla14[[#This Row],[Fecha]]),0)</f>
        <v>19</v>
      </c>
      <c r="F105" s="283">
        <v>324</v>
      </c>
      <c r="G105" s="275" t="s">
        <v>152</v>
      </c>
      <c r="H105" s="325" t="str">
        <f>_xlfn.XLOOKUP(Tabla14[[#This Row],[Codigo Finca]],Tabla4[Codigo Finca],Tabla4[Nombre Finca],"")</f>
        <v>San Pedro</v>
      </c>
      <c r="I105" s="277">
        <f>_xlfn.XLOOKUP(Tabla14[[#This Row],[Codigo Finca]],Tabla4[Codigo Finca],Tabla4[Precio Caja],0)</f>
        <v>1500</v>
      </c>
      <c r="J105" s="277">
        <f>_xlfn.XLOOKUP(Tabla14[[#This Row],[Codigo Finca]],Tabla4[Codigo Finca],Tabla4[Precio Caja Segunda],0)</f>
        <v>1000</v>
      </c>
      <c r="K105" s="277">
        <f>_xlfn.XLOOKUP(Tabla14[[#This Row],[Codigo Finca]],Tabla4[Codigo Finca],Tabla4[Precio Rechazo],0)</f>
        <v>500</v>
      </c>
      <c r="L105" s="277">
        <f t="shared" ref="L105:L111" si="100">S105+N105</f>
        <v>1185</v>
      </c>
      <c r="M105" s="278">
        <f t="shared" si="89"/>
        <v>3.6574074074074074</v>
      </c>
      <c r="N105" s="283">
        <v>150</v>
      </c>
      <c r="O105" s="279">
        <v>4</v>
      </c>
      <c r="P105" s="280">
        <f t="shared" si="90"/>
        <v>20.50632911392405</v>
      </c>
      <c r="Q105" s="281">
        <f t="shared" si="91"/>
        <v>5.1265822784810124</v>
      </c>
      <c r="R105" s="282">
        <f t="shared" si="92"/>
        <v>7689.8734177215183</v>
      </c>
      <c r="S105" s="283">
        <v>1035</v>
      </c>
      <c r="T105" s="275">
        <v>16</v>
      </c>
      <c r="U105" s="280">
        <f t="shared" si="93"/>
        <v>303.49367088607596</v>
      </c>
      <c r="V105" s="281">
        <f t="shared" si="94"/>
        <v>18.968354430379748</v>
      </c>
      <c r="W105" s="282">
        <f t="shared" si="95"/>
        <v>28452.531645569623</v>
      </c>
      <c r="X105" s="283"/>
      <c r="Y105" s="275"/>
      <c r="Z105" s="280">
        <f>Tabla14[[#This Row],[Cajas Segunda]]</f>
        <v>0</v>
      </c>
      <c r="AA105" s="281">
        <f t="shared" si="96"/>
        <v>0</v>
      </c>
      <c r="AB105" s="284">
        <f t="shared" si="97"/>
        <v>0</v>
      </c>
      <c r="AC105" s="285">
        <v>106</v>
      </c>
      <c r="AD105" s="286"/>
      <c r="AE105" s="286"/>
      <c r="AF105" s="286"/>
      <c r="AG105" s="286">
        <v>16</v>
      </c>
      <c r="AH105" s="280">
        <f t="shared" si="98"/>
        <v>106</v>
      </c>
      <c r="AI105" s="281">
        <f t="shared" ref="AI105:AI111" si="101">IF(AG105&gt;0,AH105/AG105,0)</f>
        <v>6.625</v>
      </c>
      <c r="AJ105" s="282">
        <f t="shared" si="99"/>
        <v>3312.5</v>
      </c>
      <c r="AK105" s="287">
        <f>Tabla14[[#This Row],[Cajas por Personas]]</f>
        <v>5.1265822784810124</v>
      </c>
      <c r="AL105" s="288">
        <f>Tabla14[[#This Row],[Valor Precorte Pesona]]</f>
        <v>7689.8734177215183</v>
      </c>
      <c r="AM105" s="294">
        <f>Tabla14[[#This Row],[Personas Precorte]]</f>
        <v>4</v>
      </c>
      <c r="AN105" s="308">
        <f>Tabla14[[#This Row],[Valor Precorte Pesona Precorte]]*Tabla14[[#This Row],[Perzonas Precorte]]</f>
        <v>30759.493670886073</v>
      </c>
      <c r="AO105" s="287">
        <f>Tabla14[[#This Row],[Cajas por Personas2]]</f>
        <v>18.968354430379748</v>
      </c>
      <c r="AP105" s="288">
        <f>Tabla14[[#This Row],[Valor Embarque Pesona]]</f>
        <v>28452.531645569623</v>
      </c>
      <c r="AQ105" s="295">
        <f>Tabla14[[#This Row],[Personas Precorte2]]</f>
        <v>16</v>
      </c>
      <c r="AR105" s="296">
        <f>Tabla14[[#This Row],[Valor Embarque Pesona3]]*Tabla14[[#This Row],[Perzona Primera]]</f>
        <v>455240.50632911397</v>
      </c>
      <c r="AS105" s="287">
        <f>Tabla14[[#This Row],[Columna2]]</f>
        <v>0</v>
      </c>
      <c r="AT105" s="288">
        <f>Tabla14[[#This Row],[Columna1]]</f>
        <v>0</v>
      </c>
      <c r="AU105" s="302">
        <f>Tabla14[[#This Row],[Personas Intervienen]]</f>
        <v>0</v>
      </c>
      <c r="AV105" s="297">
        <f>Tabla14[[#This Row],[Valor Embarque Pesona5]]*Tabla14[[#This Row],[Presonas Segunda]]</f>
        <v>0</v>
      </c>
      <c r="AW105" s="287">
        <f>Tabla14[[#This Row],[Bolsas Por Personas]]</f>
        <v>6.625</v>
      </c>
      <c r="AX105" s="288">
        <f>Tabla14[[#This Row],[Valor bolsas Pesona]]</f>
        <v>3312.5</v>
      </c>
      <c r="AY105" s="309">
        <f>Tabla14[[#This Row],[Personas13]]</f>
        <v>16</v>
      </c>
      <c r="AZ105" s="310">
        <f>Tabla14[[#This Row],[Valor bolsas Pesona2]]*Tabla14[[#This Row],[Personas Rechazo]]</f>
        <v>53000</v>
      </c>
      <c r="BA105" s="311">
        <f>+Tabla14[[#This Row],[Total Valor Segunda]]+Tabla14[[#This Row],[Total Valor Primera]]+Tabla14[[#This Row],[Total Valor Precorte]]</f>
        <v>486000.00000000006</v>
      </c>
      <c r="BB105" s="292">
        <f>Tabla14[[#This Row],[Valor bolsas Pesona2]]+Tabla14[[#This Row],[Valor Embarque Pesona3]]</f>
        <v>31765.031645569623</v>
      </c>
      <c r="BC105" s="332">
        <v>30000</v>
      </c>
      <c r="BD105" s="292">
        <f>Tabla14[[#This Row],[VALOR GANADO]]-Tabla14[[#This Row],[REAJUSTADO]]</f>
        <v>1765.0316455696229</v>
      </c>
      <c r="BE105" s="250">
        <f>Tabla14[[#This Row],[CUANTO SE REAJUSTA]]*Tabla14[[#This Row],[Personas Rechazo]]</f>
        <v>28240.506329113967</v>
      </c>
      <c r="BF105" s="250">
        <f>Tabla14[[#This Row],[REAJUSTADO]]/25000</f>
        <v>1.2</v>
      </c>
      <c r="BG105" s="302">
        <f>Tabla14[[#This Row],[REAJUSTADO]]*Tabla14[[#This Row],[Personas Rechazo]]</f>
        <v>480000</v>
      </c>
      <c r="BH105" s="292" t="str">
        <f>Tabla14[[#This Row],[Finca]]</f>
        <v>San Pedro</v>
      </c>
      <c r="BI105" s="250">
        <v>1</v>
      </c>
      <c r="BJ105" s="332">
        <f>Tabla14[[#This Row],[Numero de Ocacionales]]*Tabla14[[#This Row],[REAJUSTADO]]</f>
        <v>30000</v>
      </c>
      <c r="BK105" s="332"/>
      <c r="BL105" s="332"/>
      <c r="BM105" s="332">
        <f>+Tabla14[[#This Row],[CUANTO SE REAJUSTA]]*3</f>
        <v>5295.0949367088688</v>
      </c>
    </row>
    <row r="106" spans="3:65" hidden="1" x14ac:dyDescent="0.25">
      <c r="C106" s="274">
        <v>44693</v>
      </c>
      <c r="D106" s="507">
        <f>YEAR(Tabla14[[#This Row],[Fecha]])</f>
        <v>2022</v>
      </c>
      <c r="E106" s="313">
        <f>IF(Tabla14[[#This Row],[Fecha]]&gt;0,_xlfn.ISOWEEKNUM(Tabla14[[#This Row],[Fecha]]),0)</f>
        <v>19</v>
      </c>
      <c r="F106" s="283">
        <v>304</v>
      </c>
      <c r="G106" s="275" t="s">
        <v>152</v>
      </c>
      <c r="H106" s="325" t="str">
        <f>_xlfn.XLOOKUP(Tabla14[[#This Row],[Codigo Finca]],Tabla4[Codigo Finca],Tabla4[Nombre Finca],"")</f>
        <v>San Pedro</v>
      </c>
      <c r="I106" s="277">
        <f>_xlfn.XLOOKUP(Tabla14[[#This Row],[Codigo Finca]],Tabla4[Codigo Finca],Tabla4[Precio Caja],0)</f>
        <v>1500</v>
      </c>
      <c r="J106" s="277">
        <f>_xlfn.XLOOKUP(Tabla14[[#This Row],[Codigo Finca]],Tabla4[Codigo Finca],Tabla4[Precio Caja Segunda],0)</f>
        <v>1000</v>
      </c>
      <c r="K106" s="277">
        <f>_xlfn.XLOOKUP(Tabla14[[#This Row],[Codigo Finca]],Tabla4[Codigo Finca],Tabla4[Precio Rechazo],0)</f>
        <v>500</v>
      </c>
      <c r="L106" s="277">
        <f t="shared" si="100"/>
        <v>969</v>
      </c>
      <c r="M106" s="278">
        <f t="shared" si="89"/>
        <v>3.1875</v>
      </c>
      <c r="N106" s="283"/>
      <c r="O106" s="279"/>
      <c r="P106" s="280">
        <f t="shared" si="90"/>
        <v>0</v>
      </c>
      <c r="Q106" s="281">
        <f t="shared" si="91"/>
        <v>0</v>
      </c>
      <c r="R106" s="282">
        <f t="shared" si="92"/>
        <v>0</v>
      </c>
      <c r="S106" s="283">
        <v>969</v>
      </c>
      <c r="T106" s="275">
        <v>15</v>
      </c>
      <c r="U106" s="280">
        <f t="shared" si="93"/>
        <v>304</v>
      </c>
      <c r="V106" s="281">
        <f t="shared" si="94"/>
        <v>20.266666666666666</v>
      </c>
      <c r="W106" s="282">
        <f t="shared" si="95"/>
        <v>30400</v>
      </c>
      <c r="X106" s="283"/>
      <c r="Y106" s="275"/>
      <c r="Z106" s="280">
        <f>Tabla14[[#This Row],[Cajas Segunda]]</f>
        <v>0</v>
      </c>
      <c r="AA106" s="281">
        <f t="shared" si="96"/>
        <v>0</v>
      </c>
      <c r="AB106" s="284">
        <f t="shared" si="97"/>
        <v>0</v>
      </c>
      <c r="AC106" s="285">
        <v>132</v>
      </c>
      <c r="AD106" s="286"/>
      <c r="AE106" s="286"/>
      <c r="AF106" s="286"/>
      <c r="AG106" s="286">
        <v>15</v>
      </c>
      <c r="AH106" s="280">
        <f t="shared" si="98"/>
        <v>132</v>
      </c>
      <c r="AI106" s="281">
        <f t="shared" si="101"/>
        <v>8.8000000000000007</v>
      </c>
      <c r="AJ106" s="282">
        <f t="shared" si="99"/>
        <v>4400</v>
      </c>
      <c r="AK106" s="287">
        <f>Tabla14[[#This Row],[Cajas por Personas]]</f>
        <v>0</v>
      </c>
      <c r="AL106" s="288">
        <f>Tabla14[[#This Row],[Valor Precorte Pesona]]</f>
        <v>0</v>
      </c>
      <c r="AM106" s="294">
        <f>Tabla14[[#This Row],[Personas Precorte]]</f>
        <v>0</v>
      </c>
      <c r="AN106" s="308">
        <f>Tabla14[[#This Row],[Valor Precorte Pesona Precorte]]*Tabla14[[#This Row],[Perzonas Precorte]]</f>
        <v>0</v>
      </c>
      <c r="AO106" s="287">
        <f>Tabla14[[#This Row],[Cajas por Personas2]]</f>
        <v>20.266666666666666</v>
      </c>
      <c r="AP106" s="288">
        <f>Tabla14[[#This Row],[Valor Embarque Pesona]]</f>
        <v>30400</v>
      </c>
      <c r="AQ106" s="295">
        <f>Tabla14[[#This Row],[Personas Precorte2]]</f>
        <v>15</v>
      </c>
      <c r="AR106" s="296">
        <f>Tabla14[[#This Row],[Valor Embarque Pesona3]]*Tabla14[[#This Row],[Perzona Primera]]</f>
        <v>456000</v>
      </c>
      <c r="AS106" s="287">
        <f>Tabla14[[#This Row],[Columna2]]</f>
        <v>0</v>
      </c>
      <c r="AT106" s="288">
        <f>Tabla14[[#This Row],[Columna1]]</f>
        <v>0</v>
      </c>
      <c r="AU106" s="302">
        <f>Tabla14[[#This Row],[Personas Intervienen]]</f>
        <v>0</v>
      </c>
      <c r="AV106" s="297">
        <f>Tabla14[[#This Row],[Valor Embarque Pesona5]]*Tabla14[[#This Row],[Presonas Segunda]]</f>
        <v>0</v>
      </c>
      <c r="AW106" s="287">
        <f>Tabla14[[#This Row],[Bolsas Por Personas]]</f>
        <v>8.8000000000000007</v>
      </c>
      <c r="AX106" s="288">
        <f>Tabla14[[#This Row],[Valor bolsas Pesona]]</f>
        <v>4400</v>
      </c>
      <c r="AY106" s="309">
        <f>Tabla14[[#This Row],[Personas13]]</f>
        <v>15</v>
      </c>
      <c r="AZ106" s="310">
        <f>Tabla14[[#This Row],[Valor bolsas Pesona2]]*Tabla14[[#This Row],[Personas Rechazo]]</f>
        <v>66000</v>
      </c>
      <c r="BA106" s="311">
        <f>+Tabla14[[#This Row],[Total Valor Segunda]]+Tabla14[[#This Row],[Total Valor Primera]]+Tabla14[[#This Row],[Total Valor Precorte]]</f>
        <v>456000</v>
      </c>
      <c r="BB106" s="292">
        <f>Tabla14[[#This Row],[Valor bolsas Pesona2]]+Tabla14[[#This Row],[Valor Embarque Pesona3]]</f>
        <v>34800</v>
      </c>
      <c r="BC106" s="332">
        <v>34800</v>
      </c>
      <c r="BD106" s="292">
        <f>Tabla14[[#This Row],[VALOR GANADO]]-Tabla14[[#This Row],[REAJUSTADO]]</f>
        <v>0</v>
      </c>
      <c r="BE106" s="250">
        <f>Tabla14[[#This Row],[CUANTO SE REAJUSTA]]*Tabla14[[#This Row],[Personas Rechazo]]</f>
        <v>0</v>
      </c>
      <c r="BF106" s="250">
        <f>Tabla14[[#This Row],[REAJUSTADO]]/25000</f>
        <v>1.3919999999999999</v>
      </c>
      <c r="BG106" s="302">
        <f>Tabla14[[#This Row],[REAJUSTADO]]*Tabla14[[#This Row],[Personas Rechazo]]</f>
        <v>522000</v>
      </c>
      <c r="BH106" s="292" t="str">
        <f>Tabla14[[#This Row],[Finca]]</f>
        <v>San Pedro</v>
      </c>
      <c r="BI106" s="250">
        <v>1</v>
      </c>
      <c r="BJ106" s="332">
        <f>Tabla14[[#This Row],[Numero de Ocacionales]]*Tabla14[[#This Row],[REAJUSTADO]]</f>
        <v>34800</v>
      </c>
      <c r="BK106" s="332"/>
      <c r="BL106" s="332"/>
      <c r="BM106" s="332">
        <f>+Tabla14[[#This Row],[CUANTO SE REAJUSTA]]*3</f>
        <v>0</v>
      </c>
    </row>
    <row r="107" spans="3:65" hidden="1" x14ac:dyDescent="0.25">
      <c r="C107" s="274">
        <v>44693</v>
      </c>
      <c r="D107" s="507">
        <f>YEAR(Tabla14[[#This Row],[Fecha]])</f>
        <v>2022</v>
      </c>
      <c r="E107" s="313">
        <f>IF(Tabla14[[#This Row],[Fecha]]&gt;0,_xlfn.ISOWEEKNUM(Tabla14[[#This Row],[Fecha]]),0)</f>
        <v>19</v>
      </c>
      <c r="F107" s="283">
        <v>249</v>
      </c>
      <c r="G107" s="275" t="s">
        <v>153</v>
      </c>
      <c r="H107" s="325" t="str">
        <f>_xlfn.XLOOKUP(Tabla14[[#This Row],[Codigo Finca]],Tabla4[Codigo Finca],Tabla4[Nombre Finca],"")</f>
        <v>Uveros</v>
      </c>
      <c r="I107" s="277">
        <f>_xlfn.XLOOKUP(Tabla14[[#This Row],[Codigo Finca]],Tabla4[Codigo Finca],Tabla4[Precio Caja],0)</f>
        <v>1500</v>
      </c>
      <c r="J107" s="277">
        <f>_xlfn.XLOOKUP(Tabla14[[#This Row],[Codigo Finca]],Tabla4[Codigo Finca],Tabla4[Precio Caja Segunda],0)</f>
        <v>1000</v>
      </c>
      <c r="K107" s="277">
        <f>_xlfn.XLOOKUP(Tabla14[[#This Row],[Codigo Finca]],Tabla4[Codigo Finca],Tabla4[Precio Rechazo],0)</f>
        <v>500</v>
      </c>
      <c r="L107" s="277">
        <f t="shared" si="100"/>
        <v>753</v>
      </c>
      <c r="M107" s="278">
        <f t="shared" si="89"/>
        <v>3.0240963855421685</v>
      </c>
      <c r="N107" s="283"/>
      <c r="O107" s="279"/>
      <c r="P107" s="280">
        <f t="shared" si="90"/>
        <v>0</v>
      </c>
      <c r="Q107" s="281">
        <f t="shared" si="91"/>
        <v>0</v>
      </c>
      <c r="R107" s="282">
        <f t="shared" si="92"/>
        <v>0</v>
      </c>
      <c r="S107" s="283">
        <v>753</v>
      </c>
      <c r="T107" s="275">
        <v>12</v>
      </c>
      <c r="U107" s="280">
        <f t="shared" si="93"/>
        <v>249</v>
      </c>
      <c r="V107" s="281">
        <f t="shared" si="94"/>
        <v>20.75</v>
      </c>
      <c r="W107" s="282">
        <f t="shared" si="95"/>
        <v>31125</v>
      </c>
      <c r="X107" s="283"/>
      <c r="Y107" s="275"/>
      <c r="Z107" s="280">
        <f>Tabla14[[#This Row],[Cajas Segunda]]</f>
        <v>0</v>
      </c>
      <c r="AA107" s="281">
        <f t="shared" si="96"/>
        <v>0</v>
      </c>
      <c r="AB107" s="284">
        <f t="shared" si="97"/>
        <v>0</v>
      </c>
      <c r="AC107" s="285">
        <v>52.9</v>
      </c>
      <c r="AD107" s="286"/>
      <c r="AE107" s="286"/>
      <c r="AF107" s="286"/>
      <c r="AG107" s="286">
        <v>12</v>
      </c>
      <c r="AH107" s="280">
        <f t="shared" si="98"/>
        <v>52.9</v>
      </c>
      <c r="AI107" s="281">
        <f t="shared" si="101"/>
        <v>4.4083333333333332</v>
      </c>
      <c r="AJ107" s="282">
        <f t="shared" si="99"/>
        <v>2204.1666666666665</v>
      </c>
      <c r="AK107" s="287">
        <f>Tabla14[[#This Row],[Cajas por Personas]]</f>
        <v>0</v>
      </c>
      <c r="AL107" s="288">
        <f>Tabla14[[#This Row],[Valor Precorte Pesona]]</f>
        <v>0</v>
      </c>
      <c r="AM107" s="294">
        <f>Tabla14[[#This Row],[Personas Precorte]]</f>
        <v>0</v>
      </c>
      <c r="AN107" s="308">
        <f>Tabla14[[#This Row],[Valor Precorte Pesona Precorte]]*Tabla14[[#This Row],[Perzonas Precorte]]</f>
        <v>0</v>
      </c>
      <c r="AO107" s="287">
        <f>Tabla14[[#This Row],[Cajas por Personas2]]</f>
        <v>20.75</v>
      </c>
      <c r="AP107" s="288">
        <f>Tabla14[[#This Row],[Valor Embarque Pesona]]</f>
        <v>31125</v>
      </c>
      <c r="AQ107" s="295">
        <f>Tabla14[[#This Row],[Personas Precorte2]]</f>
        <v>12</v>
      </c>
      <c r="AR107" s="296">
        <f>Tabla14[[#This Row],[Valor Embarque Pesona3]]*Tabla14[[#This Row],[Perzona Primera]]</f>
        <v>373500</v>
      </c>
      <c r="AS107" s="287">
        <f>Tabla14[[#This Row],[Columna2]]</f>
        <v>0</v>
      </c>
      <c r="AT107" s="288">
        <f>Tabla14[[#This Row],[Columna1]]</f>
        <v>0</v>
      </c>
      <c r="AU107" s="302">
        <f>Tabla14[[#This Row],[Personas Intervienen]]</f>
        <v>0</v>
      </c>
      <c r="AV107" s="297">
        <f>Tabla14[[#This Row],[Valor Embarque Pesona5]]*Tabla14[[#This Row],[Presonas Segunda]]</f>
        <v>0</v>
      </c>
      <c r="AW107" s="287">
        <f>Tabla14[[#This Row],[Bolsas Por Personas]]</f>
        <v>4.4083333333333332</v>
      </c>
      <c r="AX107" s="288">
        <f>Tabla14[[#This Row],[Valor bolsas Pesona]]</f>
        <v>2204.1666666666665</v>
      </c>
      <c r="AY107" s="309">
        <f>Tabla14[[#This Row],[Personas13]]</f>
        <v>12</v>
      </c>
      <c r="AZ107" s="310">
        <f>Tabla14[[#This Row],[Valor bolsas Pesona2]]*Tabla14[[#This Row],[Personas Rechazo]]</f>
        <v>26450</v>
      </c>
      <c r="BA107" s="311">
        <f>+Tabla14[[#This Row],[Total Valor Segunda]]+Tabla14[[#This Row],[Total Valor Primera]]+Tabla14[[#This Row],[Total Valor Precorte]]</f>
        <v>373500</v>
      </c>
      <c r="BB107" s="292">
        <f>Tabla14[[#This Row],[Valor bolsas Pesona2]]+Tabla14[[#This Row],[Valor Embarque Pesona3]]</f>
        <v>33329.166666666664</v>
      </c>
      <c r="BC107" s="332">
        <v>33500</v>
      </c>
      <c r="BD107" s="292">
        <f>Tabla14[[#This Row],[VALOR GANADO]]-Tabla14[[#This Row],[REAJUSTADO]]</f>
        <v>-170.83333333333576</v>
      </c>
      <c r="BE107" s="250">
        <f>Tabla14[[#This Row],[CUANTO SE REAJUSTA]]*Tabla14[[#This Row],[Personas Rechazo]]</f>
        <v>-2050.0000000000291</v>
      </c>
      <c r="BF107" s="250">
        <f>Tabla14[[#This Row],[REAJUSTADO]]/25000</f>
        <v>1.34</v>
      </c>
      <c r="BG107" s="302">
        <f>Tabla14[[#This Row],[REAJUSTADO]]*Tabla14[[#This Row],[Personas Rechazo]]</f>
        <v>402000</v>
      </c>
      <c r="BH107" s="292" t="str">
        <f>Tabla14[[#This Row],[Finca]]</f>
        <v>Uveros</v>
      </c>
      <c r="BI107" s="250">
        <v>3</v>
      </c>
      <c r="BJ107" s="332">
        <f>Tabla14[[#This Row],[Numero de Ocacionales]]*Tabla14[[#This Row],[REAJUSTADO]]</f>
        <v>100500</v>
      </c>
      <c r="BK107" s="332"/>
      <c r="BL107" s="332">
        <v>30000</v>
      </c>
      <c r="BM107" s="332">
        <f>+Tabla14[[#This Row],[CUANTO SE REAJUSTA]]*3</f>
        <v>-512.50000000000728</v>
      </c>
    </row>
    <row r="108" spans="3:65" hidden="1" x14ac:dyDescent="0.25">
      <c r="C108" s="274">
        <v>44698</v>
      </c>
      <c r="D108" s="507">
        <f>YEAR(Tabla14[[#This Row],[Fecha]])</f>
        <v>2022</v>
      </c>
      <c r="E108" s="313">
        <f>IF(Tabla14[[#This Row],[Fecha]]&gt;0,_xlfn.ISOWEEKNUM(Tabla14[[#This Row],[Fecha]]),0)</f>
        <v>20</v>
      </c>
      <c r="F108" s="283">
        <v>204</v>
      </c>
      <c r="G108" s="275" t="s">
        <v>155</v>
      </c>
      <c r="H108" s="325" t="str">
        <f>_xlfn.XLOOKUP(Tabla14[[#This Row],[Codigo Finca]],Tabla4[Codigo Finca],Tabla4[Nombre Finca],"")</f>
        <v>Damaquiel</v>
      </c>
      <c r="I108" s="277">
        <f>_xlfn.XLOOKUP(Tabla14[[#This Row],[Codigo Finca]],Tabla4[Codigo Finca],Tabla4[Precio Caja],0)</f>
        <v>1500</v>
      </c>
      <c r="J108" s="277">
        <f>_xlfn.XLOOKUP(Tabla14[[#This Row],[Codigo Finca]],Tabla4[Codigo Finca],Tabla4[Precio Caja Segunda],0)</f>
        <v>1000</v>
      </c>
      <c r="K108" s="277">
        <f>_xlfn.XLOOKUP(Tabla14[[#This Row],[Codigo Finca]],Tabla4[Codigo Finca],Tabla4[Precio Rechazo],0)</f>
        <v>500</v>
      </c>
      <c r="L108" s="277">
        <f t="shared" si="100"/>
        <v>605</v>
      </c>
      <c r="M108" s="278">
        <f t="shared" si="89"/>
        <v>2.965686274509804</v>
      </c>
      <c r="N108" s="283"/>
      <c r="O108" s="279"/>
      <c r="P108" s="280">
        <f t="shared" si="90"/>
        <v>0</v>
      </c>
      <c r="Q108" s="281">
        <f t="shared" si="91"/>
        <v>0</v>
      </c>
      <c r="R108" s="282">
        <f t="shared" si="92"/>
        <v>0</v>
      </c>
      <c r="S108" s="283">
        <v>605</v>
      </c>
      <c r="T108" s="275">
        <v>12</v>
      </c>
      <c r="U108" s="280">
        <f t="shared" si="93"/>
        <v>204</v>
      </c>
      <c r="V108" s="281">
        <f t="shared" si="94"/>
        <v>17</v>
      </c>
      <c r="W108" s="282">
        <f t="shared" si="95"/>
        <v>25500</v>
      </c>
      <c r="X108" s="283"/>
      <c r="Y108" s="275"/>
      <c r="Z108" s="280">
        <f>Tabla14[[#This Row],[Cajas Segunda]]</f>
        <v>0</v>
      </c>
      <c r="AA108" s="281">
        <f t="shared" si="96"/>
        <v>0</v>
      </c>
      <c r="AB108" s="284">
        <f t="shared" si="97"/>
        <v>0</v>
      </c>
      <c r="AC108" s="285">
        <v>34</v>
      </c>
      <c r="AD108" s="286"/>
      <c r="AE108" s="286"/>
      <c r="AF108" s="286"/>
      <c r="AG108" s="286">
        <v>12</v>
      </c>
      <c r="AH108" s="280">
        <f t="shared" si="98"/>
        <v>34</v>
      </c>
      <c r="AI108" s="281">
        <f t="shared" si="101"/>
        <v>2.8333333333333335</v>
      </c>
      <c r="AJ108" s="282">
        <f t="shared" si="99"/>
        <v>1416.6666666666667</v>
      </c>
      <c r="AK108" s="287">
        <f>Tabla14[[#This Row],[Cajas por Personas]]</f>
        <v>0</v>
      </c>
      <c r="AL108" s="288">
        <f>Tabla14[[#This Row],[Valor Precorte Pesona]]</f>
        <v>0</v>
      </c>
      <c r="AM108" s="294">
        <f>Tabla14[[#This Row],[Personas Precorte]]</f>
        <v>0</v>
      </c>
      <c r="AN108" s="308">
        <f>Tabla14[[#This Row],[Valor Precorte Pesona Precorte]]*Tabla14[[#This Row],[Perzonas Precorte]]</f>
        <v>0</v>
      </c>
      <c r="AO108" s="287">
        <f>Tabla14[[#This Row],[Cajas por Personas2]]</f>
        <v>17</v>
      </c>
      <c r="AP108" s="288">
        <f>Tabla14[[#This Row],[Valor Embarque Pesona]]</f>
        <v>25500</v>
      </c>
      <c r="AQ108" s="295">
        <f>Tabla14[[#This Row],[Personas Precorte2]]</f>
        <v>12</v>
      </c>
      <c r="AR108" s="296">
        <f>Tabla14[[#This Row],[Valor Embarque Pesona3]]*Tabla14[[#This Row],[Perzona Primera]]</f>
        <v>306000</v>
      </c>
      <c r="AS108" s="287">
        <f>Tabla14[[#This Row],[Columna2]]</f>
        <v>0</v>
      </c>
      <c r="AT108" s="288">
        <f>Tabla14[[#This Row],[Columna1]]</f>
        <v>0</v>
      </c>
      <c r="AU108" s="302">
        <f>Tabla14[[#This Row],[Personas Intervienen]]</f>
        <v>0</v>
      </c>
      <c r="AV108" s="297">
        <f>Tabla14[[#This Row],[Valor Embarque Pesona5]]*Tabla14[[#This Row],[Presonas Segunda]]</f>
        <v>0</v>
      </c>
      <c r="AW108" s="287">
        <f>Tabla14[[#This Row],[Bolsas Por Personas]]</f>
        <v>2.8333333333333335</v>
      </c>
      <c r="AX108" s="288">
        <f>Tabla14[[#This Row],[Valor bolsas Pesona]]</f>
        <v>1416.6666666666667</v>
      </c>
      <c r="AY108" s="309">
        <f>Tabla14[[#This Row],[Personas13]]</f>
        <v>12</v>
      </c>
      <c r="AZ108" s="310">
        <f>Tabla14[[#This Row],[Valor bolsas Pesona2]]*Tabla14[[#This Row],[Personas Rechazo]]</f>
        <v>17000</v>
      </c>
      <c r="BA108" s="311">
        <f>+Tabla14[[#This Row],[Total Valor Segunda]]+Tabla14[[#This Row],[Total Valor Primera]]+Tabla14[[#This Row],[Total Valor Precorte]]</f>
        <v>306000</v>
      </c>
      <c r="BB108" s="292">
        <f>Tabla14[[#This Row],[Valor bolsas Pesona2]]+Tabla14[[#This Row],[Valor Embarque Pesona3]]</f>
        <v>26916.666666666668</v>
      </c>
      <c r="BC108" s="332">
        <v>30000</v>
      </c>
      <c r="BD108" s="292">
        <f>Tabla14[[#This Row],[VALOR GANADO]]-Tabla14[[#This Row],[REAJUSTADO]]</f>
        <v>-3083.3333333333321</v>
      </c>
      <c r="BE108" s="250">
        <f>Tabla14[[#This Row],[CUANTO SE REAJUSTA]]*Tabla14[[#This Row],[Personas Rechazo]]</f>
        <v>-36999.999999999985</v>
      </c>
      <c r="BF108" s="250">
        <f>Tabla14[[#This Row],[REAJUSTADO]]/25000</f>
        <v>1.2</v>
      </c>
      <c r="BG108" s="302">
        <f>Tabla14[[#This Row],[REAJUSTADO]]*Tabla14[[#This Row],[Personas Rechazo]]</f>
        <v>360000</v>
      </c>
      <c r="BH108" s="292" t="str">
        <f>Tabla14[[#This Row],[Finca]]</f>
        <v>Damaquiel</v>
      </c>
      <c r="BI108" s="250">
        <v>10</v>
      </c>
      <c r="BJ108" s="332">
        <f>Tabla14[[#This Row],[Numero de Ocacionales]]*Tabla14[[#This Row],[REAJUSTADO]]</f>
        <v>300000</v>
      </c>
      <c r="BK108" s="332"/>
      <c r="BL108" s="332">
        <v>30000</v>
      </c>
      <c r="BM108" s="332">
        <f>+Tabla14[[#This Row],[CUANTO SE REAJUSTA]]*3</f>
        <v>-9249.9999999999964</v>
      </c>
    </row>
    <row r="109" spans="3:65" hidden="1" x14ac:dyDescent="0.25">
      <c r="C109" s="274">
        <v>44698</v>
      </c>
      <c r="D109" s="507">
        <f>YEAR(Tabla14[[#This Row],[Fecha]])</f>
        <v>2022</v>
      </c>
      <c r="E109" s="313">
        <f>IF(Tabla14[[#This Row],[Fecha]]&gt;0,_xlfn.ISOWEEKNUM(Tabla14[[#This Row],[Fecha]]),0)</f>
        <v>20</v>
      </c>
      <c r="F109" s="283">
        <v>259</v>
      </c>
      <c r="G109" s="275" t="s">
        <v>157</v>
      </c>
      <c r="H109" s="325" t="str">
        <f>_xlfn.XLOOKUP(Tabla14[[#This Row],[Codigo Finca]],Tabla4[Codigo Finca],Tabla4[Nombre Finca],"")</f>
        <v>Pedrito</v>
      </c>
      <c r="I109" s="277">
        <f>_xlfn.XLOOKUP(Tabla14[[#This Row],[Codigo Finca]],Tabla4[Codigo Finca],Tabla4[Precio Caja],0)</f>
        <v>2100</v>
      </c>
      <c r="J109" s="277">
        <f>_xlfn.XLOOKUP(Tabla14[[#This Row],[Codigo Finca]],Tabla4[Codigo Finca],Tabla4[Precio Caja Segunda],0)</f>
        <v>1000</v>
      </c>
      <c r="K109" s="277">
        <f>_xlfn.XLOOKUP(Tabla14[[#This Row],[Codigo Finca]],Tabla4[Codigo Finca],Tabla4[Precio Rechazo],0)</f>
        <v>500</v>
      </c>
      <c r="L109" s="277">
        <f t="shared" si="100"/>
        <v>686</v>
      </c>
      <c r="M109" s="278">
        <f t="shared" si="89"/>
        <v>2.6486486486486487</v>
      </c>
      <c r="N109" s="283"/>
      <c r="O109" s="279"/>
      <c r="P109" s="280">
        <f t="shared" si="90"/>
        <v>0</v>
      </c>
      <c r="Q109" s="281">
        <f t="shared" si="91"/>
        <v>0</v>
      </c>
      <c r="R109" s="282">
        <f t="shared" si="92"/>
        <v>0</v>
      </c>
      <c r="S109" s="283">
        <v>686</v>
      </c>
      <c r="T109" s="275">
        <v>14</v>
      </c>
      <c r="U109" s="280">
        <f t="shared" si="93"/>
        <v>259</v>
      </c>
      <c r="V109" s="281">
        <f t="shared" si="94"/>
        <v>18.5</v>
      </c>
      <c r="W109" s="282">
        <f t="shared" si="95"/>
        <v>38850</v>
      </c>
      <c r="X109" s="283"/>
      <c r="Y109" s="275"/>
      <c r="Z109" s="280">
        <f>Tabla14[[#This Row],[Cajas Segunda]]</f>
        <v>0</v>
      </c>
      <c r="AA109" s="281">
        <f t="shared" si="96"/>
        <v>0</v>
      </c>
      <c r="AB109" s="284">
        <f t="shared" si="97"/>
        <v>0</v>
      </c>
      <c r="AC109" s="285">
        <v>39</v>
      </c>
      <c r="AD109" s="286"/>
      <c r="AE109" s="286"/>
      <c r="AF109" s="286"/>
      <c r="AG109" s="286">
        <v>14</v>
      </c>
      <c r="AH109" s="280">
        <f t="shared" si="98"/>
        <v>39</v>
      </c>
      <c r="AI109" s="281">
        <f t="shared" si="101"/>
        <v>2.7857142857142856</v>
      </c>
      <c r="AJ109" s="282">
        <f t="shared" si="99"/>
        <v>1392.8571428571429</v>
      </c>
      <c r="AK109" s="287">
        <f>Tabla14[[#This Row],[Cajas por Personas]]</f>
        <v>0</v>
      </c>
      <c r="AL109" s="288">
        <f>Tabla14[[#This Row],[Valor Precorte Pesona]]</f>
        <v>0</v>
      </c>
      <c r="AM109" s="294">
        <f>Tabla14[[#This Row],[Personas Precorte]]</f>
        <v>0</v>
      </c>
      <c r="AN109" s="308">
        <f>Tabla14[[#This Row],[Valor Precorte Pesona Precorte]]*Tabla14[[#This Row],[Perzonas Precorte]]</f>
        <v>0</v>
      </c>
      <c r="AO109" s="287">
        <f>Tabla14[[#This Row],[Cajas por Personas2]]</f>
        <v>18.5</v>
      </c>
      <c r="AP109" s="288">
        <f>Tabla14[[#This Row],[Valor Embarque Pesona]]</f>
        <v>38850</v>
      </c>
      <c r="AQ109" s="295">
        <f>Tabla14[[#This Row],[Personas Precorte2]]</f>
        <v>14</v>
      </c>
      <c r="AR109" s="296">
        <f>Tabla14[[#This Row],[Valor Embarque Pesona3]]*Tabla14[[#This Row],[Perzona Primera]]</f>
        <v>543900</v>
      </c>
      <c r="AS109" s="287">
        <f>Tabla14[[#This Row],[Columna2]]</f>
        <v>0</v>
      </c>
      <c r="AT109" s="288">
        <f>Tabla14[[#This Row],[Columna1]]</f>
        <v>0</v>
      </c>
      <c r="AU109" s="302">
        <f>Tabla14[[#This Row],[Personas Intervienen]]</f>
        <v>0</v>
      </c>
      <c r="AV109" s="297">
        <f>Tabla14[[#This Row],[Valor Embarque Pesona5]]*Tabla14[[#This Row],[Presonas Segunda]]</f>
        <v>0</v>
      </c>
      <c r="AW109" s="287">
        <f>Tabla14[[#This Row],[Bolsas Por Personas]]</f>
        <v>2.7857142857142856</v>
      </c>
      <c r="AX109" s="288">
        <f>Tabla14[[#This Row],[Valor bolsas Pesona]]</f>
        <v>1392.8571428571429</v>
      </c>
      <c r="AY109" s="309">
        <f>Tabla14[[#This Row],[Personas13]]</f>
        <v>14</v>
      </c>
      <c r="AZ109" s="310">
        <f>Tabla14[[#This Row],[Valor bolsas Pesona2]]*Tabla14[[#This Row],[Personas Rechazo]]</f>
        <v>19500</v>
      </c>
      <c r="BA109" s="311">
        <f>+Tabla14[[#This Row],[Total Valor Segunda]]+Tabla14[[#This Row],[Total Valor Primera]]+Tabla14[[#This Row],[Total Valor Precorte]]</f>
        <v>543900</v>
      </c>
      <c r="BB109" s="292">
        <f>Tabla14[[#This Row],[Valor bolsas Pesona2]]+Tabla14[[#This Row],[Valor Embarque Pesona3]]</f>
        <v>40242.857142857145</v>
      </c>
      <c r="BC109" s="332">
        <v>40500</v>
      </c>
      <c r="BD109" s="292">
        <f>Tabla14[[#This Row],[VALOR GANADO]]-Tabla14[[#This Row],[REAJUSTADO]]</f>
        <v>-257.14285714285506</v>
      </c>
      <c r="BE109" s="250">
        <f>Tabla14[[#This Row],[CUANTO SE REAJUSTA]]*Tabla14[[#This Row],[Personas Rechazo]]</f>
        <v>-3599.9999999999709</v>
      </c>
      <c r="BF109" s="250">
        <f>Tabla14[[#This Row],[REAJUSTADO]]/25000</f>
        <v>1.62</v>
      </c>
      <c r="BG109" s="302">
        <f>Tabla14[[#This Row],[REAJUSTADO]]*Tabla14[[#This Row],[Personas Rechazo]]</f>
        <v>567000</v>
      </c>
      <c r="BH109" s="292" t="str">
        <f>Tabla14[[#This Row],[Finca]]</f>
        <v>Pedrito</v>
      </c>
      <c r="BI109" s="250">
        <v>5</v>
      </c>
      <c r="BJ109" s="332">
        <f>Tabla14[[#This Row],[Numero de Ocacionales]]*Tabla14[[#This Row],[REAJUSTADO]]</f>
        <v>202500</v>
      </c>
      <c r="BK109" s="332"/>
      <c r="BL109" s="332">
        <v>40500</v>
      </c>
      <c r="BM109" s="332">
        <f>+Tabla14[[#This Row],[CUANTO SE REAJUSTA]]*3</f>
        <v>-771.42857142856519</v>
      </c>
    </row>
    <row r="110" spans="3:65" hidden="1" x14ac:dyDescent="0.25">
      <c r="C110" s="274">
        <v>44699</v>
      </c>
      <c r="D110" s="507">
        <f>YEAR(Tabla14[[#This Row],[Fecha]])</f>
        <v>2022</v>
      </c>
      <c r="E110" s="313">
        <f>IF(Tabla14[[#This Row],[Fecha]]&gt;0,_xlfn.ISOWEEKNUM(Tabla14[[#This Row],[Fecha]]),0)</f>
        <v>20</v>
      </c>
      <c r="F110" s="283">
        <v>175</v>
      </c>
      <c r="G110" s="275" t="s">
        <v>152</v>
      </c>
      <c r="H110" s="325" t="str">
        <f>_xlfn.XLOOKUP(Tabla14[[#This Row],[Codigo Finca]],Tabla4[Codigo Finca],Tabla4[Nombre Finca],"")</f>
        <v>San Pedro</v>
      </c>
      <c r="I110" s="277">
        <f>_xlfn.XLOOKUP(Tabla14[[#This Row],[Codigo Finca]],Tabla4[Codigo Finca],Tabla4[Precio Caja],0)</f>
        <v>1500</v>
      </c>
      <c r="J110" s="277">
        <f>_xlfn.XLOOKUP(Tabla14[[#This Row],[Codigo Finca]],Tabla4[Codigo Finca],Tabla4[Precio Caja Segunda],0)</f>
        <v>1000</v>
      </c>
      <c r="K110" s="277">
        <f>_xlfn.XLOOKUP(Tabla14[[#This Row],[Codigo Finca]],Tabla4[Codigo Finca],Tabla4[Precio Rechazo],0)</f>
        <v>500</v>
      </c>
      <c r="L110" s="277">
        <f t="shared" si="100"/>
        <v>494</v>
      </c>
      <c r="M110" s="278">
        <f t="shared" si="89"/>
        <v>2.822857142857143</v>
      </c>
      <c r="N110" s="283"/>
      <c r="O110" s="279"/>
      <c r="P110" s="280">
        <f t="shared" si="90"/>
        <v>0</v>
      </c>
      <c r="Q110" s="281">
        <f t="shared" si="91"/>
        <v>0</v>
      </c>
      <c r="R110" s="282">
        <f t="shared" si="92"/>
        <v>0</v>
      </c>
      <c r="S110" s="283">
        <v>494</v>
      </c>
      <c r="T110" s="275">
        <v>11</v>
      </c>
      <c r="U110" s="280">
        <f t="shared" si="93"/>
        <v>175</v>
      </c>
      <c r="V110" s="281">
        <f t="shared" si="94"/>
        <v>15.909090909090908</v>
      </c>
      <c r="W110" s="282">
        <f t="shared" si="95"/>
        <v>23863.636363636364</v>
      </c>
      <c r="X110" s="283"/>
      <c r="Y110" s="275"/>
      <c r="Z110" s="280">
        <f>Tabla14[[#This Row],[Cajas Segunda]]</f>
        <v>0</v>
      </c>
      <c r="AA110" s="281">
        <f t="shared" si="96"/>
        <v>0</v>
      </c>
      <c r="AB110" s="284">
        <f t="shared" si="97"/>
        <v>0</v>
      </c>
      <c r="AC110" s="285">
        <v>49</v>
      </c>
      <c r="AD110" s="286"/>
      <c r="AE110" s="286"/>
      <c r="AF110" s="286"/>
      <c r="AG110" s="286">
        <v>11</v>
      </c>
      <c r="AH110" s="280">
        <f t="shared" si="98"/>
        <v>49</v>
      </c>
      <c r="AI110" s="281">
        <f t="shared" si="101"/>
        <v>4.4545454545454541</v>
      </c>
      <c r="AJ110" s="282">
        <f t="shared" si="99"/>
        <v>2227.272727272727</v>
      </c>
      <c r="AK110" s="287">
        <f>Tabla14[[#This Row],[Cajas por Personas]]</f>
        <v>0</v>
      </c>
      <c r="AL110" s="288">
        <f>Tabla14[[#This Row],[Valor Precorte Pesona]]</f>
        <v>0</v>
      </c>
      <c r="AM110" s="294">
        <f>Tabla14[[#This Row],[Personas Precorte]]</f>
        <v>0</v>
      </c>
      <c r="AN110" s="308">
        <f>Tabla14[[#This Row],[Valor Precorte Pesona Precorte]]*Tabla14[[#This Row],[Perzonas Precorte]]</f>
        <v>0</v>
      </c>
      <c r="AO110" s="287">
        <f>Tabla14[[#This Row],[Cajas por Personas2]]</f>
        <v>15.909090909090908</v>
      </c>
      <c r="AP110" s="288">
        <f>Tabla14[[#This Row],[Valor Embarque Pesona]]</f>
        <v>23863.636363636364</v>
      </c>
      <c r="AQ110" s="295">
        <f>Tabla14[[#This Row],[Personas Precorte2]]</f>
        <v>11</v>
      </c>
      <c r="AR110" s="296">
        <f>Tabla14[[#This Row],[Valor Embarque Pesona3]]*Tabla14[[#This Row],[Perzona Primera]]</f>
        <v>262500</v>
      </c>
      <c r="AS110" s="287">
        <f>Tabla14[[#This Row],[Columna2]]</f>
        <v>0</v>
      </c>
      <c r="AT110" s="288">
        <f>Tabla14[[#This Row],[Columna1]]</f>
        <v>0</v>
      </c>
      <c r="AU110" s="302">
        <f>Tabla14[[#This Row],[Personas Intervienen]]</f>
        <v>0</v>
      </c>
      <c r="AV110" s="297">
        <f>Tabla14[[#This Row],[Valor Embarque Pesona5]]*Tabla14[[#This Row],[Presonas Segunda]]</f>
        <v>0</v>
      </c>
      <c r="AW110" s="287">
        <f>Tabla14[[#This Row],[Bolsas Por Personas]]</f>
        <v>4.4545454545454541</v>
      </c>
      <c r="AX110" s="288">
        <f>Tabla14[[#This Row],[Valor bolsas Pesona]]</f>
        <v>2227.272727272727</v>
      </c>
      <c r="AY110" s="309">
        <f>Tabla14[[#This Row],[Personas13]]</f>
        <v>11</v>
      </c>
      <c r="AZ110" s="310">
        <f>Tabla14[[#This Row],[Valor bolsas Pesona2]]*Tabla14[[#This Row],[Personas Rechazo]]</f>
        <v>24499.999999999996</v>
      </c>
      <c r="BA110" s="311">
        <f>+Tabla14[[#This Row],[Total Valor Segunda]]+Tabla14[[#This Row],[Total Valor Primera]]+Tabla14[[#This Row],[Total Valor Precorte]]</f>
        <v>262500</v>
      </c>
      <c r="BB110" s="292">
        <f>Tabla14[[#This Row],[Valor bolsas Pesona2]]+Tabla14[[#This Row],[Valor Embarque Pesona3]]</f>
        <v>26090.909090909092</v>
      </c>
      <c r="BC110" s="332">
        <v>27000</v>
      </c>
      <c r="BD110" s="292">
        <f>Tabla14[[#This Row],[VALOR GANADO]]-Tabla14[[#This Row],[REAJUSTADO]]</f>
        <v>-909.0909090909081</v>
      </c>
      <c r="BE110" s="250">
        <f>Tabla14[[#This Row],[CUANTO SE REAJUSTA]]*Tabla14[[#This Row],[Personas Rechazo]]</f>
        <v>-9999.9999999999891</v>
      </c>
      <c r="BF110" s="250">
        <f>Tabla14[[#This Row],[REAJUSTADO]]/25000</f>
        <v>1.08</v>
      </c>
      <c r="BG110" s="302">
        <f>Tabla14[[#This Row],[REAJUSTADO]]*Tabla14[[#This Row],[Personas Rechazo]]</f>
        <v>297000</v>
      </c>
      <c r="BH110" s="292" t="str">
        <f>Tabla14[[#This Row],[Finca]]</f>
        <v>San Pedro</v>
      </c>
      <c r="BI110" s="250">
        <v>9</v>
      </c>
      <c r="BJ110" s="332">
        <f>Tabla14[[#This Row],[Numero de Ocacionales]]*Tabla14[[#This Row],[REAJUSTADO]]</f>
        <v>243000</v>
      </c>
      <c r="BK110" s="332"/>
      <c r="BL110" s="332">
        <v>30000</v>
      </c>
      <c r="BM110" s="332">
        <f>+Tabla14[[#This Row],[CUANTO SE REAJUSTA]]*3</f>
        <v>-2727.2727272727243</v>
      </c>
    </row>
    <row r="111" spans="3:65" hidden="1" x14ac:dyDescent="0.25">
      <c r="C111" s="274">
        <v>44699</v>
      </c>
      <c r="D111" s="507">
        <f>YEAR(Tabla14[[#This Row],[Fecha]])</f>
        <v>2022</v>
      </c>
      <c r="E111" s="313">
        <f>IF(Tabla14[[#This Row],[Fecha]]&gt;0,_xlfn.ISOWEEKNUM(Tabla14[[#This Row],[Fecha]]),0)</f>
        <v>20</v>
      </c>
      <c r="F111" s="283">
        <v>143</v>
      </c>
      <c r="G111" s="275" t="s">
        <v>153</v>
      </c>
      <c r="H111" s="325" t="str">
        <f>_xlfn.XLOOKUP(Tabla14[[#This Row],[Codigo Finca]],Tabla4[Codigo Finca],Tabla4[Nombre Finca],"")</f>
        <v>Uveros</v>
      </c>
      <c r="I111" s="277">
        <f>_xlfn.XLOOKUP(Tabla14[[#This Row],[Codigo Finca]],Tabla4[Codigo Finca],Tabla4[Precio Caja],0)</f>
        <v>1500</v>
      </c>
      <c r="J111" s="277">
        <f>_xlfn.XLOOKUP(Tabla14[[#This Row],[Codigo Finca]],Tabla4[Codigo Finca],Tabla4[Precio Caja Segunda],0)</f>
        <v>1000</v>
      </c>
      <c r="K111" s="277">
        <f>_xlfn.XLOOKUP(Tabla14[[#This Row],[Codigo Finca]],Tabla4[Codigo Finca],Tabla4[Precio Rechazo],0)</f>
        <v>500</v>
      </c>
      <c r="L111" s="277">
        <f t="shared" si="100"/>
        <v>468</v>
      </c>
      <c r="M111" s="278">
        <f t="shared" si="89"/>
        <v>3.2727272727272729</v>
      </c>
      <c r="N111" s="283"/>
      <c r="O111" s="279"/>
      <c r="P111" s="280">
        <f t="shared" si="90"/>
        <v>0</v>
      </c>
      <c r="Q111" s="281">
        <f t="shared" si="91"/>
        <v>0</v>
      </c>
      <c r="R111" s="282">
        <f t="shared" si="92"/>
        <v>0</v>
      </c>
      <c r="S111" s="283">
        <f>185+283</f>
        <v>468</v>
      </c>
      <c r="T111" s="275">
        <v>9</v>
      </c>
      <c r="U111" s="280">
        <f t="shared" si="93"/>
        <v>143</v>
      </c>
      <c r="V111" s="281">
        <f t="shared" si="94"/>
        <v>15.888888888888889</v>
      </c>
      <c r="W111" s="282">
        <f t="shared" si="95"/>
        <v>23833.333333333332</v>
      </c>
      <c r="X111" s="283"/>
      <c r="Y111" s="275"/>
      <c r="Z111" s="280">
        <f>Tabla14[[#This Row],[Cajas Segunda]]</f>
        <v>0</v>
      </c>
      <c r="AA111" s="281">
        <f t="shared" si="96"/>
        <v>0</v>
      </c>
      <c r="AB111" s="284">
        <f t="shared" si="97"/>
        <v>0</v>
      </c>
      <c r="AC111" s="285">
        <f>1.16*9</f>
        <v>10.44</v>
      </c>
      <c r="AD111" s="286"/>
      <c r="AE111" s="286"/>
      <c r="AF111" s="286"/>
      <c r="AG111" s="286">
        <v>9</v>
      </c>
      <c r="AH111" s="280">
        <f t="shared" si="98"/>
        <v>10.44</v>
      </c>
      <c r="AI111" s="281">
        <f t="shared" si="101"/>
        <v>1.1599999999999999</v>
      </c>
      <c r="AJ111" s="282">
        <f t="shared" si="99"/>
        <v>580</v>
      </c>
      <c r="AK111" s="287">
        <f>Tabla14[[#This Row],[Cajas por Personas]]</f>
        <v>0</v>
      </c>
      <c r="AL111" s="288">
        <f>Tabla14[[#This Row],[Valor Precorte Pesona]]</f>
        <v>0</v>
      </c>
      <c r="AM111" s="294">
        <f>Tabla14[[#This Row],[Personas Precorte]]</f>
        <v>0</v>
      </c>
      <c r="AN111" s="308">
        <f>Tabla14[[#This Row],[Valor Precorte Pesona Precorte]]*Tabla14[[#This Row],[Perzonas Precorte]]</f>
        <v>0</v>
      </c>
      <c r="AO111" s="287">
        <f>Tabla14[[#This Row],[Cajas por Personas2]]</f>
        <v>15.888888888888889</v>
      </c>
      <c r="AP111" s="288">
        <f>Tabla14[[#This Row],[Valor Embarque Pesona]]</f>
        <v>23833.333333333332</v>
      </c>
      <c r="AQ111" s="295">
        <f>Tabla14[[#This Row],[Personas Precorte2]]</f>
        <v>9</v>
      </c>
      <c r="AR111" s="296">
        <f>Tabla14[[#This Row],[Valor Embarque Pesona3]]*Tabla14[[#This Row],[Perzona Primera]]</f>
        <v>214500</v>
      </c>
      <c r="AS111" s="287">
        <f>Tabla14[[#This Row],[Columna2]]</f>
        <v>0</v>
      </c>
      <c r="AT111" s="288">
        <f>Tabla14[[#This Row],[Columna1]]</f>
        <v>0</v>
      </c>
      <c r="AU111" s="302">
        <f>Tabla14[[#This Row],[Personas Intervienen]]</f>
        <v>0</v>
      </c>
      <c r="AV111" s="297">
        <f>Tabla14[[#This Row],[Valor Embarque Pesona5]]*Tabla14[[#This Row],[Presonas Segunda]]</f>
        <v>0</v>
      </c>
      <c r="AW111" s="287">
        <f>Tabla14[[#This Row],[Bolsas Por Personas]]</f>
        <v>1.1599999999999999</v>
      </c>
      <c r="AX111" s="288">
        <f>Tabla14[[#This Row],[Valor bolsas Pesona]]</f>
        <v>580</v>
      </c>
      <c r="AY111" s="309">
        <f>Tabla14[[#This Row],[Personas13]]</f>
        <v>9</v>
      </c>
      <c r="AZ111" s="310">
        <f>Tabla14[[#This Row],[Valor bolsas Pesona2]]*Tabla14[[#This Row],[Personas Rechazo]]</f>
        <v>5220</v>
      </c>
      <c r="BA111" s="311">
        <f>+Tabla14[[#This Row],[Total Valor Segunda]]+Tabla14[[#This Row],[Total Valor Primera]]+Tabla14[[#This Row],[Total Valor Precorte]]</f>
        <v>214500</v>
      </c>
      <c r="BB111" s="292">
        <f>Tabla14[[#This Row],[Valor bolsas Pesona2]]+Tabla14[[#This Row],[Valor Embarque Pesona3]]</f>
        <v>24413.333333333332</v>
      </c>
      <c r="BC111" s="332">
        <v>27000</v>
      </c>
      <c r="BD111" s="292">
        <f>Tabla14[[#This Row],[VALOR GANADO]]-Tabla14[[#This Row],[REAJUSTADO]]</f>
        <v>-2586.6666666666679</v>
      </c>
      <c r="BE111" s="250">
        <f>Tabla14[[#This Row],[CUANTO SE REAJUSTA]]*Tabla14[[#This Row],[Personas Rechazo]]</f>
        <v>-23280.000000000011</v>
      </c>
      <c r="BF111" s="250">
        <f>Tabla14[[#This Row],[REAJUSTADO]]/25000</f>
        <v>1.08</v>
      </c>
      <c r="BG111" s="302">
        <f>Tabla14[[#This Row],[REAJUSTADO]]*Tabla14[[#This Row],[Personas Rechazo]]</f>
        <v>243000</v>
      </c>
      <c r="BH111" s="292" t="str">
        <f>Tabla14[[#This Row],[Finca]]</f>
        <v>Uveros</v>
      </c>
      <c r="BI111" s="250">
        <v>9</v>
      </c>
      <c r="BJ111" s="332">
        <f>Tabla14[[#This Row],[Numero de Ocacionales]]*Tabla14[[#This Row],[REAJUSTADO]]</f>
        <v>243000</v>
      </c>
      <c r="BK111" s="332"/>
      <c r="BL111" s="332">
        <v>30000</v>
      </c>
      <c r="BM111" s="332">
        <f>+Tabla14[[#This Row],[CUANTO SE REAJUSTA]]*3</f>
        <v>-7760.0000000000036</v>
      </c>
    </row>
    <row r="112" spans="3:65" hidden="1" x14ac:dyDescent="0.25">
      <c r="C112" s="274">
        <v>44700</v>
      </c>
      <c r="D112" s="507">
        <f>YEAR(Tabla14[[#This Row],[Fecha]])</f>
        <v>2022</v>
      </c>
      <c r="E112" s="313">
        <f>IF(Tabla14[[#This Row],[Fecha]]&gt;0,_xlfn.ISOWEEKNUM(Tabla14[[#This Row],[Fecha]]),0)</f>
        <v>20</v>
      </c>
      <c r="F112" s="283">
        <v>350</v>
      </c>
      <c r="G112" s="275" t="s">
        <v>152</v>
      </c>
      <c r="H112" s="325" t="str">
        <f>_xlfn.XLOOKUP(Tabla14[[#This Row],[Codigo Finca]],Tabla4[Codigo Finca],Tabla4[Nombre Finca],"")</f>
        <v>San Pedro</v>
      </c>
      <c r="I112" s="277">
        <f>_xlfn.XLOOKUP(Tabla14[[#This Row],[Codigo Finca]],Tabla4[Codigo Finca],Tabla4[Precio Caja],0)</f>
        <v>1500</v>
      </c>
      <c r="J112" s="277">
        <f>_xlfn.XLOOKUP(Tabla14[[#This Row],[Codigo Finca]],Tabla4[Codigo Finca],Tabla4[Precio Caja Segunda],0)</f>
        <v>1000</v>
      </c>
      <c r="K112" s="277">
        <f>_xlfn.XLOOKUP(Tabla14[[#This Row],[Codigo Finca]],Tabla4[Codigo Finca],Tabla4[Precio Rechazo],0)</f>
        <v>500</v>
      </c>
      <c r="L112" s="277">
        <f t="shared" ref="L112:L118" si="102">S112+N112</f>
        <v>1121</v>
      </c>
      <c r="M112" s="278">
        <f t="shared" ref="M112:M118" si="103">IF(F112&gt;0,L112/F112,0)</f>
        <v>3.2028571428571428</v>
      </c>
      <c r="N112" s="283"/>
      <c r="O112" s="279"/>
      <c r="P112" s="280">
        <f t="shared" ref="P112:P118" si="104">IF(N112&gt;0,(N112/M112)/2,0)</f>
        <v>0</v>
      </c>
      <c r="Q112" s="281">
        <f t="shared" ref="Q112:Q118" si="105">IF(O112&gt;0,P112/O112,0)</f>
        <v>0</v>
      </c>
      <c r="R112" s="282">
        <f t="shared" ref="R112:R118" si="106">IF(I112&gt;0,Q112*I112,)</f>
        <v>0</v>
      </c>
      <c r="S112" s="283">
        <v>1121</v>
      </c>
      <c r="T112" s="275">
        <v>17</v>
      </c>
      <c r="U112" s="280">
        <f t="shared" ref="U112:U118" si="107">F112-P112</f>
        <v>350</v>
      </c>
      <c r="V112" s="281">
        <f t="shared" ref="V112:V118" si="108">IF(T112&gt;0,U112/T112,0)</f>
        <v>20.588235294117649</v>
      </c>
      <c r="W112" s="282">
        <f t="shared" ref="W112:W118" si="109">IF(T112&gt;0,(U112*I112)/T112,0)</f>
        <v>30882.352941176472</v>
      </c>
      <c r="X112" s="283"/>
      <c r="Y112" s="275"/>
      <c r="Z112" s="280">
        <f>Tabla14[[#This Row],[Cajas Segunda]]</f>
        <v>0</v>
      </c>
      <c r="AA112" s="281">
        <f t="shared" ref="AA112:AA118" si="110">IF(Y112&gt;0,Z112/Y112,0)</f>
        <v>0</v>
      </c>
      <c r="AB112" s="284">
        <f t="shared" ref="AB112:AB118" si="111">IF(Y112&gt;0,(Z112*J112)/Y112,0)</f>
        <v>0</v>
      </c>
      <c r="AC112" s="285">
        <v>127</v>
      </c>
      <c r="AD112" s="286"/>
      <c r="AE112" s="286"/>
      <c r="AF112" s="286"/>
      <c r="AG112" s="286">
        <v>17</v>
      </c>
      <c r="AH112" s="280">
        <f t="shared" ref="AH112:AH118" si="112">IF(AND(AC112&gt;0,AE112=0,AF112=0,AD112=0),AC112,IF(AND(AC112=0,AE112&gt;0,AF112&gt;0,AD112=0),AE112*AF112/25,IF(AND(AC112=0,AE112=0,AF112=0,AD112&gt;0),AD112/25,0)))</f>
        <v>127</v>
      </c>
      <c r="AI112" s="281">
        <f t="shared" ref="AI112:AI118" si="113">IF(AG112&gt;0,AH112/AG112,0)</f>
        <v>7.4705882352941178</v>
      </c>
      <c r="AJ112" s="282">
        <f t="shared" ref="AJ112:AJ118" si="114">AI112*K112</f>
        <v>3735.294117647059</v>
      </c>
      <c r="AK112" s="287">
        <f>Tabla14[[#This Row],[Cajas por Personas]]</f>
        <v>0</v>
      </c>
      <c r="AL112" s="288">
        <f>Tabla14[[#This Row],[Valor Precorte Pesona]]</f>
        <v>0</v>
      </c>
      <c r="AM112" s="294">
        <f>Tabla14[[#This Row],[Personas Precorte]]</f>
        <v>0</v>
      </c>
      <c r="AN112" s="308">
        <f>Tabla14[[#This Row],[Valor Precorte Pesona Precorte]]*Tabla14[[#This Row],[Perzonas Precorte]]</f>
        <v>0</v>
      </c>
      <c r="AO112" s="287">
        <f>Tabla14[[#This Row],[Cajas por Personas2]]</f>
        <v>20.588235294117649</v>
      </c>
      <c r="AP112" s="288">
        <f>Tabla14[[#This Row],[Valor Embarque Pesona]]</f>
        <v>30882.352941176472</v>
      </c>
      <c r="AQ112" s="295">
        <f>Tabla14[[#This Row],[Personas Precorte2]]</f>
        <v>17</v>
      </c>
      <c r="AR112" s="296">
        <f>Tabla14[[#This Row],[Valor Embarque Pesona3]]*Tabla14[[#This Row],[Perzona Primera]]</f>
        <v>525000</v>
      </c>
      <c r="AS112" s="287">
        <f>Tabla14[[#This Row],[Columna2]]</f>
        <v>0</v>
      </c>
      <c r="AT112" s="288">
        <f>Tabla14[[#This Row],[Columna1]]</f>
        <v>0</v>
      </c>
      <c r="AU112" s="302">
        <f>Tabla14[[#This Row],[Personas Intervienen]]</f>
        <v>0</v>
      </c>
      <c r="AV112" s="297">
        <f>Tabla14[[#This Row],[Valor Embarque Pesona5]]*Tabla14[[#This Row],[Presonas Segunda]]</f>
        <v>0</v>
      </c>
      <c r="AW112" s="287">
        <f>Tabla14[[#This Row],[Bolsas Por Personas]]</f>
        <v>7.4705882352941178</v>
      </c>
      <c r="AX112" s="288">
        <f>Tabla14[[#This Row],[Valor bolsas Pesona]]</f>
        <v>3735.294117647059</v>
      </c>
      <c r="AY112" s="309">
        <f>Tabla14[[#This Row],[Personas13]]</f>
        <v>17</v>
      </c>
      <c r="AZ112" s="310">
        <f>Tabla14[[#This Row],[Valor bolsas Pesona2]]*Tabla14[[#This Row],[Personas Rechazo]]</f>
        <v>63500</v>
      </c>
      <c r="BA112" s="311">
        <f>+Tabla14[[#This Row],[Total Valor Segunda]]+Tabla14[[#This Row],[Total Valor Primera]]+Tabla14[[#This Row],[Total Valor Precorte]]</f>
        <v>525000</v>
      </c>
      <c r="BB112" s="292">
        <f>Tabla14[[#This Row],[Valor bolsas Pesona2]]+Tabla14[[#This Row],[Valor Embarque Pesona3]]</f>
        <v>34617.647058823532</v>
      </c>
      <c r="BC112" s="332">
        <v>35000</v>
      </c>
      <c r="BD112" s="292">
        <f>Tabla14[[#This Row],[VALOR GANADO]]-Tabla14[[#This Row],[REAJUSTADO]]</f>
        <v>-382.35294117646845</v>
      </c>
      <c r="BE112" s="250">
        <f>Tabla14[[#This Row],[CUANTO SE REAJUSTA]]*Tabla14[[#This Row],[Personas Rechazo]]</f>
        <v>-6499.9999999999636</v>
      </c>
      <c r="BF112" s="250">
        <f>Tabla14[[#This Row],[REAJUSTADO]]/25000</f>
        <v>1.4</v>
      </c>
      <c r="BG112" s="302">
        <f>Tabla14[[#This Row],[REAJUSTADO]]*Tabla14[[#This Row],[Personas Rechazo]]</f>
        <v>595000</v>
      </c>
      <c r="BH112" s="292" t="str">
        <f>Tabla14[[#This Row],[Finca]]</f>
        <v>San Pedro</v>
      </c>
      <c r="BI112" s="250">
        <v>14</v>
      </c>
      <c r="BJ112" s="332">
        <f>Tabla14[[#This Row],[Numero de Ocacionales]]*Tabla14[[#This Row],[REAJUSTADO]]</f>
        <v>490000</v>
      </c>
      <c r="BK112" s="332"/>
      <c r="BL112" s="332">
        <v>35000</v>
      </c>
      <c r="BM112" s="332">
        <f>+Tabla14[[#This Row],[CUANTO SE REAJUSTA]]*3</f>
        <v>-1147.0588235294053</v>
      </c>
    </row>
    <row r="113" spans="3:68" hidden="1" x14ac:dyDescent="0.25">
      <c r="C113" s="274">
        <v>44705</v>
      </c>
      <c r="D113" s="507">
        <f>YEAR(Tabla14[[#This Row],[Fecha]])</f>
        <v>2022</v>
      </c>
      <c r="E113" s="313">
        <f>IF(Tabla14[[#This Row],[Fecha]]&gt;0,_xlfn.ISOWEEKNUM(Tabla14[[#This Row],[Fecha]]),0)</f>
        <v>21</v>
      </c>
      <c r="F113" s="283">
        <v>404</v>
      </c>
      <c r="G113" s="275" t="s">
        <v>152</v>
      </c>
      <c r="H113" s="325" t="str">
        <f>_xlfn.XLOOKUP(Tabla14[[#This Row],[Codigo Finca]],Tabla4[Codigo Finca],Tabla4[Nombre Finca],"")</f>
        <v>San Pedro</v>
      </c>
      <c r="I113" s="277">
        <f>_xlfn.XLOOKUP(Tabla14[[#This Row],[Codigo Finca]],Tabla4[Codigo Finca],Tabla4[Precio Caja],0)</f>
        <v>1500</v>
      </c>
      <c r="J113" s="277">
        <f>_xlfn.XLOOKUP(Tabla14[[#This Row],[Codigo Finca]],Tabla4[Codigo Finca],Tabla4[Precio Caja Segunda],0)</f>
        <v>1000</v>
      </c>
      <c r="K113" s="277">
        <f>_xlfn.XLOOKUP(Tabla14[[#This Row],[Codigo Finca]],Tabla4[Codigo Finca],Tabla4[Precio Rechazo],0)</f>
        <v>500</v>
      </c>
      <c r="L113" s="277">
        <f t="shared" si="102"/>
        <v>1150</v>
      </c>
      <c r="M113" s="278">
        <f t="shared" si="103"/>
        <v>2.8465346534653464</v>
      </c>
      <c r="N113" s="283"/>
      <c r="O113" s="279"/>
      <c r="P113" s="280">
        <f t="shared" si="104"/>
        <v>0</v>
      </c>
      <c r="Q113" s="281">
        <f t="shared" si="105"/>
        <v>0</v>
      </c>
      <c r="R113" s="282">
        <f t="shared" si="106"/>
        <v>0</v>
      </c>
      <c r="S113" s="283">
        <v>1150</v>
      </c>
      <c r="T113" s="275">
        <v>16</v>
      </c>
      <c r="U113" s="280">
        <f t="shared" si="107"/>
        <v>404</v>
      </c>
      <c r="V113" s="281">
        <f t="shared" si="108"/>
        <v>25.25</v>
      </c>
      <c r="W113" s="282">
        <f t="shared" si="109"/>
        <v>37875</v>
      </c>
      <c r="X113" s="283"/>
      <c r="Y113" s="275"/>
      <c r="Z113" s="280">
        <f>Tabla14[[#This Row],[Cajas Segunda]]</f>
        <v>0</v>
      </c>
      <c r="AA113" s="281">
        <f t="shared" si="110"/>
        <v>0</v>
      </c>
      <c r="AB113" s="284">
        <f t="shared" si="111"/>
        <v>0</v>
      </c>
      <c r="AC113" s="285">
        <v>90.8</v>
      </c>
      <c r="AD113" s="286"/>
      <c r="AE113" s="286"/>
      <c r="AF113" s="286"/>
      <c r="AG113" s="286">
        <v>16</v>
      </c>
      <c r="AH113" s="280">
        <f t="shared" si="112"/>
        <v>90.8</v>
      </c>
      <c r="AI113" s="281">
        <f t="shared" si="113"/>
        <v>5.6749999999999998</v>
      </c>
      <c r="AJ113" s="282">
        <f t="shared" si="114"/>
        <v>2837.5</v>
      </c>
      <c r="AK113" s="287">
        <f>Tabla14[[#This Row],[Cajas por Personas]]</f>
        <v>0</v>
      </c>
      <c r="AL113" s="288">
        <f>Tabla14[[#This Row],[Valor Precorte Pesona]]</f>
        <v>0</v>
      </c>
      <c r="AM113" s="294">
        <f>Tabla14[[#This Row],[Personas Precorte]]</f>
        <v>0</v>
      </c>
      <c r="AN113" s="308">
        <f>Tabla14[[#This Row],[Valor Precorte Pesona Precorte]]*Tabla14[[#This Row],[Perzonas Precorte]]</f>
        <v>0</v>
      </c>
      <c r="AO113" s="287">
        <f>Tabla14[[#This Row],[Cajas por Personas2]]</f>
        <v>25.25</v>
      </c>
      <c r="AP113" s="288">
        <f>Tabla14[[#This Row],[Valor Embarque Pesona]]</f>
        <v>37875</v>
      </c>
      <c r="AQ113" s="295">
        <f>Tabla14[[#This Row],[Personas Precorte2]]</f>
        <v>16</v>
      </c>
      <c r="AR113" s="296">
        <f>Tabla14[[#This Row],[Valor Embarque Pesona3]]*Tabla14[[#This Row],[Perzona Primera]]</f>
        <v>606000</v>
      </c>
      <c r="AS113" s="287">
        <f>Tabla14[[#This Row],[Columna2]]</f>
        <v>0</v>
      </c>
      <c r="AT113" s="288">
        <f>Tabla14[[#This Row],[Columna1]]</f>
        <v>0</v>
      </c>
      <c r="AU113" s="302">
        <f>Tabla14[[#This Row],[Personas Intervienen]]</f>
        <v>0</v>
      </c>
      <c r="AV113" s="297">
        <f>Tabla14[[#This Row],[Valor Embarque Pesona5]]*Tabla14[[#This Row],[Presonas Segunda]]</f>
        <v>0</v>
      </c>
      <c r="AW113" s="287">
        <f>Tabla14[[#This Row],[Bolsas Por Personas]]</f>
        <v>5.6749999999999998</v>
      </c>
      <c r="AX113" s="288">
        <f>Tabla14[[#This Row],[Valor bolsas Pesona]]</f>
        <v>2837.5</v>
      </c>
      <c r="AY113" s="309">
        <f>Tabla14[[#This Row],[Personas13]]</f>
        <v>16</v>
      </c>
      <c r="AZ113" s="310">
        <f>Tabla14[[#This Row],[Valor bolsas Pesona2]]*Tabla14[[#This Row],[Personas Rechazo]]</f>
        <v>45400</v>
      </c>
      <c r="BA113" s="311">
        <f>+Tabla14[[#This Row],[Total Valor Segunda]]+Tabla14[[#This Row],[Total Valor Primera]]+Tabla14[[#This Row],[Total Valor Precorte]]</f>
        <v>606000</v>
      </c>
      <c r="BB113" s="292">
        <f>Tabla14[[#This Row],[Valor bolsas Pesona2]]+Tabla14[[#This Row],[Valor Embarque Pesona3]]</f>
        <v>40712.5</v>
      </c>
      <c r="BC113" s="332">
        <v>40712.5</v>
      </c>
      <c r="BD113" s="292"/>
      <c r="BE113" s="250">
        <f>Tabla14[[#This Row],[CUANTO SE REAJUSTA]]*Tabla14[[#This Row],[Personas Rechazo]]</f>
        <v>0</v>
      </c>
      <c r="BF113" s="250">
        <f>Tabla14[[#This Row],[REAJUSTADO]]/25000</f>
        <v>1.6285000000000001</v>
      </c>
      <c r="BG113" s="302">
        <f>Tabla14[[#This Row],[REAJUSTADO]]*Tabla14[[#This Row],[Personas Rechazo]]</f>
        <v>651400</v>
      </c>
      <c r="BH113" s="292" t="str">
        <f>Tabla14[[#This Row],[Finca]]</f>
        <v>San Pedro</v>
      </c>
      <c r="BI113" s="336">
        <v>8</v>
      </c>
      <c r="BJ113" s="332">
        <f>Tabla14[[#This Row],[Numero de Ocacionales]]*Tabla14[[#This Row],[REAJUSTADO]]</f>
        <v>325700</v>
      </c>
      <c r="BK113" s="332"/>
      <c r="BL113" s="332">
        <v>0</v>
      </c>
      <c r="BM113" s="332">
        <f>+Tabla14[[#This Row],[CUANTO SE REAJUSTA]]*3</f>
        <v>0</v>
      </c>
    </row>
    <row r="114" spans="3:68" hidden="1" x14ac:dyDescent="0.25">
      <c r="C114" s="274">
        <v>44705</v>
      </c>
      <c r="D114" s="507">
        <f>YEAR(Tabla14[[#This Row],[Fecha]])</f>
        <v>2022</v>
      </c>
      <c r="E114" s="313">
        <f>IF(Tabla14[[#This Row],[Fecha]]&gt;0,_xlfn.ISOWEEKNUM(Tabla14[[#This Row],[Fecha]]),0)</f>
        <v>21</v>
      </c>
      <c r="F114" s="283">
        <v>96</v>
      </c>
      <c r="G114" s="275" t="s">
        <v>153</v>
      </c>
      <c r="H114" s="325" t="str">
        <f>_xlfn.XLOOKUP(Tabla14[[#This Row],[Codigo Finca]],Tabla4[Codigo Finca],Tabla4[Nombre Finca],"")</f>
        <v>Uveros</v>
      </c>
      <c r="I114" s="277">
        <f>_xlfn.XLOOKUP(Tabla14[[#This Row],[Codigo Finca]],Tabla4[Codigo Finca],Tabla4[Precio Caja],0)</f>
        <v>1500</v>
      </c>
      <c r="J114" s="277">
        <f>_xlfn.XLOOKUP(Tabla14[[#This Row],[Codigo Finca]],Tabla4[Codigo Finca],Tabla4[Precio Caja Segunda],0)</f>
        <v>1000</v>
      </c>
      <c r="K114" s="277">
        <f>_xlfn.XLOOKUP(Tabla14[[#This Row],[Codigo Finca]],Tabla4[Codigo Finca],Tabla4[Precio Rechazo],0)</f>
        <v>500</v>
      </c>
      <c r="L114" s="277">
        <f t="shared" si="102"/>
        <v>363</v>
      </c>
      <c r="M114" s="278">
        <f t="shared" si="103"/>
        <v>3.78125</v>
      </c>
      <c r="N114" s="283"/>
      <c r="O114" s="279"/>
      <c r="P114" s="280">
        <f t="shared" si="104"/>
        <v>0</v>
      </c>
      <c r="Q114" s="281">
        <f t="shared" si="105"/>
        <v>0</v>
      </c>
      <c r="R114" s="282">
        <f t="shared" si="106"/>
        <v>0</v>
      </c>
      <c r="S114" s="283">
        <v>363</v>
      </c>
      <c r="T114" s="275">
        <v>6</v>
      </c>
      <c r="U114" s="280">
        <f t="shared" si="107"/>
        <v>96</v>
      </c>
      <c r="V114" s="281">
        <f t="shared" si="108"/>
        <v>16</v>
      </c>
      <c r="W114" s="282">
        <f t="shared" si="109"/>
        <v>24000</v>
      </c>
      <c r="X114" s="283"/>
      <c r="Y114" s="275"/>
      <c r="Z114" s="280">
        <f>Tabla14[[#This Row],[Cajas Segunda]]</f>
        <v>0</v>
      </c>
      <c r="AA114" s="281">
        <f t="shared" si="110"/>
        <v>0</v>
      </c>
      <c r="AB114" s="284">
        <f t="shared" si="111"/>
        <v>0</v>
      </c>
      <c r="AC114" s="285">
        <v>25.2</v>
      </c>
      <c r="AD114" s="286"/>
      <c r="AE114" s="286"/>
      <c r="AF114" s="286"/>
      <c r="AG114" s="286">
        <v>6</v>
      </c>
      <c r="AH114" s="280">
        <f t="shared" si="112"/>
        <v>25.2</v>
      </c>
      <c r="AI114" s="281">
        <f t="shared" si="113"/>
        <v>4.2</v>
      </c>
      <c r="AJ114" s="282">
        <f t="shared" si="114"/>
        <v>2100</v>
      </c>
      <c r="AK114" s="287">
        <f>Tabla14[[#This Row],[Cajas por Personas]]</f>
        <v>0</v>
      </c>
      <c r="AL114" s="288">
        <f>Tabla14[[#This Row],[Valor Precorte Pesona]]</f>
        <v>0</v>
      </c>
      <c r="AM114" s="294">
        <f>Tabla14[[#This Row],[Personas Precorte]]</f>
        <v>0</v>
      </c>
      <c r="AN114" s="308">
        <f>Tabla14[[#This Row],[Valor Precorte Pesona Precorte]]*Tabla14[[#This Row],[Perzonas Precorte]]</f>
        <v>0</v>
      </c>
      <c r="AO114" s="287">
        <f>Tabla14[[#This Row],[Cajas por Personas2]]</f>
        <v>16</v>
      </c>
      <c r="AP114" s="288">
        <f>Tabla14[[#This Row],[Valor Embarque Pesona]]</f>
        <v>24000</v>
      </c>
      <c r="AQ114" s="295">
        <f>Tabla14[[#This Row],[Personas Precorte2]]</f>
        <v>6</v>
      </c>
      <c r="AR114" s="296">
        <f>Tabla14[[#This Row],[Valor Embarque Pesona3]]*Tabla14[[#This Row],[Perzona Primera]]</f>
        <v>144000</v>
      </c>
      <c r="AS114" s="287">
        <f>Tabla14[[#This Row],[Columna2]]</f>
        <v>0</v>
      </c>
      <c r="AT114" s="288">
        <f>Tabla14[[#This Row],[Columna1]]</f>
        <v>0</v>
      </c>
      <c r="AU114" s="302">
        <f>Tabla14[[#This Row],[Personas Intervienen]]</f>
        <v>0</v>
      </c>
      <c r="AV114" s="297">
        <f>Tabla14[[#This Row],[Valor Embarque Pesona5]]*Tabla14[[#This Row],[Presonas Segunda]]</f>
        <v>0</v>
      </c>
      <c r="AW114" s="287">
        <f>Tabla14[[#This Row],[Bolsas Por Personas]]</f>
        <v>4.2</v>
      </c>
      <c r="AX114" s="288">
        <f>Tabla14[[#This Row],[Valor bolsas Pesona]]</f>
        <v>2100</v>
      </c>
      <c r="AY114" s="309">
        <f>Tabla14[[#This Row],[Personas13]]</f>
        <v>6</v>
      </c>
      <c r="AZ114" s="310">
        <f>Tabla14[[#This Row],[Valor bolsas Pesona2]]*Tabla14[[#This Row],[Personas Rechazo]]</f>
        <v>12600</v>
      </c>
      <c r="BA114" s="311">
        <f>+Tabla14[[#This Row],[Total Valor Segunda]]+Tabla14[[#This Row],[Total Valor Primera]]+Tabla14[[#This Row],[Total Valor Precorte]]</f>
        <v>144000</v>
      </c>
      <c r="BB114" s="292">
        <f>Tabla14[[#This Row],[Valor bolsas Pesona2]]+Tabla14[[#This Row],[Valor Embarque Pesona3]]</f>
        <v>26100</v>
      </c>
      <c r="BC114" s="332">
        <v>30000</v>
      </c>
      <c r="BD114" s="292">
        <f>Tabla14[[#This Row],[VALOR GANADO]]-Tabla14[[#This Row],[REAJUSTADO]]</f>
        <v>-3900</v>
      </c>
      <c r="BE114" s="250">
        <f>Tabla14[[#This Row],[CUANTO SE REAJUSTA]]*Tabla14[[#This Row],[Personas Rechazo]]</f>
        <v>-23400</v>
      </c>
      <c r="BF114" s="250">
        <f>Tabla14[[#This Row],[REAJUSTADO]]/25000</f>
        <v>1.2</v>
      </c>
      <c r="BG114" s="302">
        <f>Tabla14[[#This Row],[REAJUSTADO]]*Tabla14[[#This Row],[Personas Rechazo]]</f>
        <v>180000</v>
      </c>
      <c r="BH114" s="292" t="str">
        <f>Tabla14[[#This Row],[Finca]]</f>
        <v>Uveros</v>
      </c>
      <c r="BI114" s="250">
        <v>4</v>
      </c>
      <c r="BJ114" s="332">
        <f>Tabla14[[#This Row],[Numero de Ocacionales]]*Tabla14[[#This Row],[REAJUSTADO]]</f>
        <v>120000</v>
      </c>
      <c r="BK114" s="332"/>
      <c r="BL114" s="332">
        <v>30000</v>
      </c>
      <c r="BM114" s="332">
        <f>+Tabla14[[#This Row],[CUANTO SE REAJUSTA]]*3</f>
        <v>-11700</v>
      </c>
      <c r="BN114" s="334"/>
      <c r="BO114" s="334"/>
      <c r="BP114" s="334"/>
    </row>
    <row r="115" spans="3:68" hidden="1" x14ac:dyDescent="0.25">
      <c r="C115" s="274">
        <v>44706</v>
      </c>
      <c r="D115" s="507">
        <f>YEAR(Tabla14[[#This Row],[Fecha]])</f>
        <v>2022</v>
      </c>
      <c r="E115" s="313">
        <f>IF(Tabla14[[#This Row],[Fecha]]&gt;0,_xlfn.ISOWEEKNUM(Tabla14[[#This Row],[Fecha]]),0)</f>
        <v>21</v>
      </c>
      <c r="F115" s="283">
        <f>290+37</f>
        <v>327</v>
      </c>
      <c r="G115" s="275" t="s">
        <v>157</v>
      </c>
      <c r="H115" s="325" t="str">
        <f>_xlfn.XLOOKUP(Tabla14[[#This Row],[Codigo Finca]],Tabla4[Codigo Finca],Tabla4[Nombre Finca],"")</f>
        <v>Pedrito</v>
      </c>
      <c r="I115" s="277">
        <f>_xlfn.XLOOKUP(Tabla14[[#This Row],[Codigo Finca]],Tabla4[Codigo Finca],Tabla4[Precio Caja],0)</f>
        <v>2100</v>
      </c>
      <c r="J115" s="277">
        <f>_xlfn.XLOOKUP(Tabla14[[#This Row],[Codigo Finca]],Tabla4[Codigo Finca],Tabla4[Precio Caja Segunda],0)</f>
        <v>1000</v>
      </c>
      <c r="K115" s="277">
        <f>_xlfn.XLOOKUP(Tabla14[[#This Row],[Codigo Finca]],Tabla4[Codigo Finca],Tabla4[Precio Rechazo],0)</f>
        <v>500</v>
      </c>
      <c r="L115" s="277">
        <f t="shared" si="102"/>
        <v>0</v>
      </c>
      <c r="M115" s="278">
        <f t="shared" si="103"/>
        <v>0</v>
      </c>
      <c r="N115" s="283"/>
      <c r="O115" s="279"/>
      <c r="P115" s="280">
        <f t="shared" si="104"/>
        <v>0</v>
      </c>
      <c r="Q115" s="281">
        <f t="shared" si="105"/>
        <v>0</v>
      </c>
      <c r="R115" s="282">
        <f t="shared" si="106"/>
        <v>0</v>
      </c>
      <c r="S115" s="338"/>
      <c r="T115" s="275">
        <v>15</v>
      </c>
      <c r="U115" s="280">
        <f t="shared" si="107"/>
        <v>327</v>
      </c>
      <c r="V115" s="281">
        <f t="shared" si="108"/>
        <v>21.8</v>
      </c>
      <c r="W115" s="282">
        <f t="shared" si="109"/>
        <v>45780</v>
      </c>
      <c r="X115" s="283"/>
      <c r="Y115" s="275"/>
      <c r="Z115" s="280">
        <f>Tabla14[[#This Row],[Cajas Segunda]]</f>
        <v>0</v>
      </c>
      <c r="AA115" s="281">
        <f t="shared" si="110"/>
        <v>0</v>
      </c>
      <c r="AB115" s="284">
        <f t="shared" si="111"/>
        <v>0</v>
      </c>
      <c r="AC115" s="285">
        <f>4.6*15</f>
        <v>69</v>
      </c>
      <c r="AD115" s="286"/>
      <c r="AE115" s="286"/>
      <c r="AF115" s="286"/>
      <c r="AG115" s="286">
        <v>15</v>
      </c>
      <c r="AH115" s="280">
        <f t="shared" si="112"/>
        <v>69</v>
      </c>
      <c r="AI115" s="281">
        <f t="shared" si="113"/>
        <v>4.5999999999999996</v>
      </c>
      <c r="AJ115" s="282">
        <f t="shared" si="114"/>
        <v>2300</v>
      </c>
      <c r="AK115" s="287">
        <f>Tabla14[[#This Row],[Cajas por Personas]]</f>
        <v>0</v>
      </c>
      <c r="AL115" s="288">
        <f>Tabla14[[#This Row],[Valor Precorte Pesona]]</f>
        <v>0</v>
      </c>
      <c r="AM115" s="294">
        <f>Tabla14[[#This Row],[Personas Precorte]]</f>
        <v>0</v>
      </c>
      <c r="AN115" s="308">
        <f>Tabla14[[#This Row],[Valor Precorte Pesona Precorte]]*Tabla14[[#This Row],[Perzonas Precorte]]</f>
        <v>0</v>
      </c>
      <c r="AO115" s="287">
        <f>Tabla14[[#This Row],[Cajas por Personas2]]</f>
        <v>21.8</v>
      </c>
      <c r="AP115" s="288">
        <f>Tabla14[[#This Row],[Valor Embarque Pesona]]</f>
        <v>45780</v>
      </c>
      <c r="AQ115" s="295">
        <f>Tabla14[[#This Row],[Personas Precorte2]]</f>
        <v>15</v>
      </c>
      <c r="AR115" s="296">
        <f>Tabla14[[#This Row],[Valor Embarque Pesona3]]*Tabla14[[#This Row],[Perzona Primera]]</f>
        <v>686700</v>
      </c>
      <c r="AS115" s="287">
        <f>Tabla14[[#This Row],[Columna2]]</f>
        <v>0</v>
      </c>
      <c r="AT115" s="288">
        <f>Tabla14[[#This Row],[Columna1]]</f>
        <v>0</v>
      </c>
      <c r="AU115" s="302">
        <f>Tabla14[[#This Row],[Personas Intervienen]]</f>
        <v>0</v>
      </c>
      <c r="AV115" s="297">
        <f>Tabla14[[#This Row],[Valor Embarque Pesona5]]*Tabla14[[#This Row],[Presonas Segunda]]</f>
        <v>0</v>
      </c>
      <c r="AW115" s="287">
        <f>Tabla14[[#This Row],[Bolsas Por Personas]]</f>
        <v>4.5999999999999996</v>
      </c>
      <c r="AX115" s="288">
        <f>Tabla14[[#This Row],[Valor bolsas Pesona]]</f>
        <v>2300</v>
      </c>
      <c r="AY115" s="309">
        <f>Tabla14[[#This Row],[Personas13]]</f>
        <v>15</v>
      </c>
      <c r="AZ115" s="310">
        <f>Tabla14[[#This Row],[Valor bolsas Pesona2]]*Tabla14[[#This Row],[Personas Rechazo]]</f>
        <v>34500</v>
      </c>
      <c r="BA115" s="311">
        <f>+Tabla14[[#This Row],[Total Valor Segunda]]+Tabla14[[#This Row],[Total Valor Primera]]+Tabla14[[#This Row],[Total Valor Precorte]]</f>
        <v>686700</v>
      </c>
      <c r="BB115" s="292">
        <f>Tabla14[[#This Row],[Valor bolsas Pesona2]]+Tabla14[[#This Row],[Valor Embarque Pesona3]]</f>
        <v>48080</v>
      </c>
      <c r="BC115" s="332">
        <v>48080</v>
      </c>
      <c r="BD115" s="292">
        <f>Tabla14[[#This Row],[VALOR GANADO]]-Tabla14[[#This Row],[REAJUSTADO]]</f>
        <v>0</v>
      </c>
      <c r="BE115" s="250">
        <f>Tabla14[[#This Row],[CUANTO SE REAJUSTA]]*Tabla14[[#This Row],[Personas Rechazo]]</f>
        <v>0</v>
      </c>
      <c r="BF115" s="250">
        <f>Tabla14[[#This Row],[REAJUSTADO]]/25000</f>
        <v>1.9232</v>
      </c>
      <c r="BG115" s="302">
        <f>Tabla14[[#This Row],[REAJUSTADO]]*Tabla14[[#This Row],[Personas Rechazo]]</f>
        <v>721200</v>
      </c>
      <c r="BH115" s="292" t="str">
        <f>Tabla14[[#This Row],[Finca]]</f>
        <v>Pedrito</v>
      </c>
      <c r="BI115" s="250">
        <v>5</v>
      </c>
      <c r="BJ115" s="332">
        <f>Tabla14[[#This Row],[Numero de Ocacionales]]*Tabla14[[#This Row],[REAJUSTADO]]</f>
        <v>240400</v>
      </c>
      <c r="BK115" s="332"/>
      <c r="BL115" s="332">
        <v>0</v>
      </c>
      <c r="BM115" s="332">
        <f>+Tabla14[[#This Row],[CUANTO SE REAJUSTA]]*3</f>
        <v>0</v>
      </c>
      <c r="BN115" s="334"/>
      <c r="BO115" s="334"/>
      <c r="BP115" s="334"/>
    </row>
    <row r="116" spans="3:68" hidden="1" x14ac:dyDescent="0.25">
      <c r="C116" s="274">
        <v>44706</v>
      </c>
      <c r="D116" s="507">
        <f>YEAR(Tabla14[[#This Row],[Fecha]])</f>
        <v>2022</v>
      </c>
      <c r="E116" s="313">
        <f>IF(Tabla14[[#This Row],[Fecha]]&gt;0,_xlfn.ISOWEEKNUM(Tabla14[[#This Row],[Fecha]]),0)</f>
        <v>21</v>
      </c>
      <c r="F116" s="283">
        <f>90+125</f>
        <v>215</v>
      </c>
      <c r="G116" s="275" t="s">
        <v>155</v>
      </c>
      <c r="H116" s="325" t="str">
        <f>_xlfn.XLOOKUP(Tabla14[[#This Row],[Codigo Finca]],Tabla4[Codigo Finca],Tabla4[Nombre Finca],"")</f>
        <v>Damaquiel</v>
      </c>
      <c r="I116" s="277">
        <f>_xlfn.XLOOKUP(Tabla14[[#This Row],[Codigo Finca]],Tabla4[Codigo Finca],Tabla4[Precio Caja],0)</f>
        <v>1500</v>
      </c>
      <c r="J116" s="277">
        <f>_xlfn.XLOOKUP(Tabla14[[#This Row],[Codigo Finca]],Tabla4[Codigo Finca],Tabla4[Precio Caja Segunda],0)</f>
        <v>1000</v>
      </c>
      <c r="K116" s="277">
        <f>_xlfn.XLOOKUP(Tabla14[[#This Row],[Codigo Finca]],Tabla4[Codigo Finca],Tabla4[Precio Rechazo],0)</f>
        <v>500</v>
      </c>
      <c r="L116" s="277">
        <f t="shared" si="102"/>
        <v>707</v>
      </c>
      <c r="M116" s="278">
        <f t="shared" si="103"/>
        <v>3.2883720930232556</v>
      </c>
      <c r="N116" s="283"/>
      <c r="O116" s="279"/>
      <c r="P116" s="280">
        <f t="shared" si="104"/>
        <v>0</v>
      </c>
      <c r="Q116" s="281">
        <f t="shared" si="105"/>
        <v>0</v>
      </c>
      <c r="R116" s="282">
        <f t="shared" si="106"/>
        <v>0</v>
      </c>
      <c r="S116" s="283">
        <v>707</v>
      </c>
      <c r="T116" s="275">
        <v>11</v>
      </c>
      <c r="U116" s="280">
        <f t="shared" si="107"/>
        <v>215</v>
      </c>
      <c r="V116" s="281">
        <f t="shared" si="108"/>
        <v>19.545454545454547</v>
      </c>
      <c r="W116" s="282">
        <f t="shared" si="109"/>
        <v>29318.18181818182</v>
      </c>
      <c r="X116" s="283"/>
      <c r="Y116" s="275"/>
      <c r="Z116" s="280">
        <f>Tabla14[[#This Row],[Cajas Segunda]]</f>
        <v>0</v>
      </c>
      <c r="AA116" s="281">
        <f t="shared" si="110"/>
        <v>0</v>
      </c>
      <c r="AB116" s="284">
        <f t="shared" si="111"/>
        <v>0</v>
      </c>
      <c r="AC116" s="285">
        <f>3*11</f>
        <v>33</v>
      </c>
      <c r="AD116" s="286"/>
      <c r="AE116" s="286"/>
      <c r="AF116" s="286"/>
      <c r="AG116" s="286">
        <v>11</v>
      </c>
      <c r="AH116" s="280">
        <f t="shared" si="112"/>
        <v>33</v>
      </c>
      <c r="AI116" s="281">
        <f t="shared" si="113"/>
        <v>3</v>
      </c>
      <c r="AJ116" s="282">
        <f t="shared" si="114"/>
        <v>1500</v>
      </c>
      <c r="AK116" s="287">
        <f>Tabla14[[#This Row],[Cajas por Personas]]</f>
        <v>0</v>
      </c>
      <c r="AL116" s="288">
        <f>Tabla14[[#This Row],[Valor Precorte Pesona]]</f>
        <v>0</v>
      </c>
      <c r="AM116" s="294">
        <f>Tabla14[[#This Row],[Personas Precorte]]</f>
        <v>0</v>
      </c>
      <c r="AN116" s="308">
        <f>Tabla14[[#This Row],[Valor Precorte Pesona Precorte]]*Tabla14[[#This Row],[Perzonas Precorte]]</f>
        <v>0</v>
      </c>
      <c r="AO116" s="287">
        <f>Tabla14[[#This Row],[Cajas por Personas2]]</f>
        <v>19.545454545454547</v>
      </c>
      <c r="AP116" s="288">
        <f>Tabla14[[#This Row],[Valor Embarque Pesona]]</f>
        <v>29318.18181818182</v>
      </c>
      <c r="AQ116" s="295">
        <f>Tabla14[[#This Row],[Personas Precorte2]]</f>
        <v>11</v>
      </c>
      <c r="AR116" s="296">
        <f>Tabla14[[#This Row],[Valor Embarque Pesona3]]*Tabla14[[#This Row],[Perzona Primera]]</f>
        <v>322500</v>
      </c>
      <c r="AS116" s="287">
        <f>Tabla14[[#This Row],[Columna2]]</f>
        <v>0</v>
      </c>
      <c r="AT116" s="288">
        <f>Tabla14[[#This Row],[Columna1]]</f>
        <v>0</v>
      </c>
      <c r="AU116" s="302">
        <f>Tabla14[[#This Row],[Personas Intervienen]]</f>
        <v>0</v>
      </c>
      <c r="AV116" s="297">
        <f>Tabla14[[#This Row],[Valor Embarque Pesona5]]*Tabla14[[#This Row],[Presonas Segunda]]</f>
        <v>0</v>
      </c>
      <c r="AW116" s="287">
        <f>Tabla14[[#This Row],[Bolsas Por Personas]]</f>
        <v>3</v>
      </c>
      <c r="AX116" s="288">
        <f>Tabla14[[#This Row],[Valor bolsas Pesona]]</f>
        <v>1500</v>
      </c>
      <c r="AY116" s="309">
        <f>Tabla14[[#This Row],[Personas13]]</f>
        <v>11</v>
      </c>
      <c r="AZ116" s="310">
        <f>Tabla14[[#This Row],[Valor bolsas Pesona2]]*Tabla14[[#This Row],[Personas Rechazo]]</f>
        <v>16500</v>
      </c>
      <c r="BA116" s="311">
        <f>+Tabla14[[#This Row],[Total Valor Segunda]]+Tabla14[[#This Row],[Total Valor Primera]]+Tabla14[[#This Row],[Total Valor Precorte]]</f>
        <v>322500</v>
      </c>
      <c r="BB116" s="292">
        <f>Tabla14[[#This Row],[Valor bolsas Pesona2]]+Tabla14[[#This Row],[Valor Embarque Pesona3]]</f>
        <v>30818.18181818182</v>
      </c>
      <c r="BC116" s="332">
        <v>31000</v>
      </c>
      <c r="BD116" s="292">
        <f>Tabla14[[#This Row],[VALOR GANADO]]-Tabla14[[#This Row],[REAJUSTADO]]</f>
        <v>-181.81818181818016</v>
      </c>
      <c r="BE116" s="250">
        <f>Tabla14[[#This Row],[CUANTO SE REAJUSTA]]*Tabla14[[#This Row],[Personas Rechazo]]</f>
        <v>-1999.9999999999818</v>
      </c>
      <c r="BF116" s="250">
        <f>Tabla14[[#This Row],[REAJUSTADO]]/25000</f>
        <v>1.24</v>
      </c>
      <c r="BG116" s="302">
        <f>Tabla14[[#This Row],[REAJUSTADO]]*Tabla14[[#This Row],[Personas Rechazo]]</f>
        <v>341000</v>
      </c>
      <c r="BH116" s="292" t="str">
        <f>Tabla14[[#This Row],[Finca]]</f>
        <v>Damaquiel</v>
      </c>
      <c r="BI116" s="250">
        <v>9</v>
      </c>
      <c r="BJ116" s="332">
        <f>Tabla14[[#This Row],[Numero de Ocacionales]]*Tabla14[[#This Row],[REAJUSTADO]]</f>
        <v>279000</v>
      </c>
      <c r="BK116" s="332"/>
      <c r="BL116" s="332">
        <v>30000</v>
      </c>
      <c r="BM116" s="332">
        <f>+Tabla14[[#This Row],[CUANTO SE REAJUSTA]]*3</f>
        <v>-545.45454545454049</v>
      </c>
      <c r="BN116" s="334"/>
      <c r="BO116" s="334"/>
      <c r="BP116" s="334"/>
    </row>
    <row r="117" spans="3:68" hidden="1" x14ac:dyDescent="0.25">
      <c r="C117" s="274">
        <v>44707</v>
      </c>
      <c r="D117" s="507">
        <f>YEAR(Tabla14[[#This Row],[Fecha]])</f>
        <v>2022</v>
      </c>
      <c r="E117" s="313">
        <f>IF(Tabla14[[#This Row],[Fecha]]&gt;0,_xlfn.ISOWEEKNUM(Tabla14[[#This Row],[Fecha]]),0)</f>
        <v>21</v>
      </c>
      <c r="F117" s="283">
        <v>11</v>
      </c>
      <c r="G117" s="275" t="s">
        <v>155</v>
      </c>
      <c r="H117" s="325" t="str">
        <f>_xlfn.XLOOKUP(Tabla14[[#This Row],[Codigo Finca]],Tabla4[Codigo Finca],Tabla4[Nombre Finca],"")</f>
        <v>Damaquiel</v>
      </c>
      <c r="I117" s="277">
        <f>_xlfn.XLOOKUP(Tabla14[[#This Row],[Codigo Finca]],Tabla4[Codigo Finca],Tabla4[Precio Caja],0)</f>
        <v>1500</v>
      </c>
      <c r="J117" s="277">
        <f>_xlfn.XLOOKUP(Tabla14[[#This Row],[Codigo Finca]],Tabla4[Codigo Finca],Tabla4[Precio Caja Segunda],0)</f>
        <v>1000</v>
      </c>
      <c r="K117" s="277">
        <f>_xlfn.XLOOKUP(Tabla14[[#This Row],[Codigo Finca]],Tabla4[Codigo Finca],Tabla4[Precio Rechazo],0)</f>
        <v>500</v>
      </c>
      <c r="L117" s="277">
        <f t="shared" si="102"/>
        <v>0</v>
      </c>
      <c r="M117" s="278">
        <f t="shared" si="103"/>
        <v>0</v>
      </c>
      <c r="N117" s="283"/>
      <c r="O117" s="279"/>
      <c r="P117" s="280">
        <f t="shared" si="104"/>
        <v>0</v>
      </c>
      <c r="Q117" s="281">
        <f t="shared" si="105"/>
        <v>0</v>
      </c>
      <c r="R117" s="282">
        <f t="shared" si="106"/>
        <v>0</v>
      </c>
      <c r="S117" s="338"/>
      <c r="T117" s="275">
        <v>1</v>
      </c>
      <c r="U117" s="280">
        <f t="shared" si="107"/>
        <v>11</v>
      </c>
      <c r="V117" s="281">
        <f t="shared" si="108"/>
        <v>11</v>
      </c>
      <c r="W117" s="282">
        <f t="shared" si="109"/>
        <v>16500</v>
      </c>
      <c r="X117" s="283"/>
      <c r="Y117" s="275"/>
      <c r="Z117" s="280">
        <f>Tabla14[[#This Row],[Cajas Segunda]]</f>
        <v>0</v>
      </c>
      <c r="AA117" s="281">
        <f t="shared" si="110"/>
        <v>0</v>
      </c>
      <c r="AB117" s="284">
        <f t="shared" si="111"/>
        <v>0</v>
      </c>
      <c r="AC117" s="335">
        <v>3</v>
      </c>
      <c r="AD117" s="286"/>
      <c r="AE117" s="286"/>
      <c r="AF117" s="286"/>
      <c r="AG117" s="286">
        <v>1</v>
      </c>
      <c r="AH117" s="280">
        <f t="shared" si="112"/>
        <v>3</v>
      </c>
      <c r="AI117" s="281">
        <f t="shared" si="113"/>
        <v>3</v>
      </c>
      <c r="AJ117" s="282">
        <f t="shared" si="114"/>
        <v>1500</v>
      </c>
      <c r="AK117" s="287">
        <f>Tabla14[[#This Row],[Cajas por Personas]]</f>
        <v>0</v>
      </c>
      <c r="AL117" s="288">
        <f>Tabla14[[#This Row],[Valor Precorte Pesona]]</f>
        <v>0</v>
      </c>
      <c r="AM117" s="294">
        <f>Tabla14[[#This Row],[Personas Precorte]]</f>
        <v>0</v>
      </c>
      <c r="AN117" s="308">
        <f>Tabla14[[#This Row],[Valor Precorte Pesona Precorte]]*Tabla14[[#This Row],[Perzonas Precorte]]</f>
        <v>0</v>
      </c>
      <c r="AO117" s="287">
        <f>Tabla14[[#This Row],[Cajas por Personas2]]</f>
        <v>11</v>
      </c>
      <c r="AP117" s="288">
        <f>Tabla14[[#This Row],[Valor Embarque Pesona]]</f>
        <v>16500</v>
      </c>
      <c r="AQ117" s="295">
        <f>Tabla14[[#This Row],[Personas Precorte2]]</f>
        <v>1</v>
      </c>
      <c r="AR117" s="296">
        <f>Tabla14[[#This Row],[Valor Embarque Pesona3]]*Tabla14[[#This Row],[Perzona Primera]]</f>
        <v>16500</v>
      </c>
      <c r="AS117" s="287">
        <f>Tabla14[[#This Row],[Columna2]]</f>
        <v>0</v>
      </c>
      <c r="AT117" s="288">
        <f>Tabla14[[#This Row],[Columna1]]</f>
        <v>0</v>
      </c>
      <c r="AU117" s="302">
        <f>Tabla14[[#This Row],[Personas Intervienen]]</f>
        <v>0</v>
      </c>
      <c r="AV117" s="297">
        <f>Tabla14[[#This Row],[Valor Embarque Pesona5]]*Tabla14[[#This Row],[Presonas Segunda]]</f>
        <v>0</v>
      </c>
      <c r="AW117" s="287">
        <f>Tabla14[[#This Row],[Bolsas Por Personas]]</f>
        <v>3</v>
      </c>
      <c r="AX117" s="288">
        <f>Tabla14[[#This Row],[Valor bolsas Pesona]]</f>
        <v>1500</v>
      </c>
      <c r="AY117" s="309">
        <f>Tabla14[[#This Row],[Personas13]]</f>
        <v>1</v>
      </c>
      <c r="AZ117" s="310">
        <f>Tabla14[[#This Row],[Valor bolsas Pesona2]]*Tabla14[[#This Row],[Personas Rechazo]]</f>
        <v>1500</v>
      </c>
      <c r="BA117" s="311">
        <f>+Tabla14[[#This Row],[Total Valor Segunda]]+Tabla14[[#This Row],[Total Valor Primera]]+Tabla14[[#This Row],[Total Valor Precorte]]</f>
        <v>16500</v>
      </c>
      <c r="BB117" s="292">
        <f>Tabla14[[#This Row],[Valor bolsas Pesona2]]+Tabla14[[#This Row],[Valor Embarque Pesona3]]</f>
        <v>18000</v>
      </c>
      <c r="BC117" s="332">
        <v>25000</v>
      </c>
      <c r="BD117" s="292">
        <f>Tabla14[[#This Row],[VALOR GANADO]]-Tabla14[[#This Row],[REAJUSTADO]]</f>
        <v>-7000</v>
      </c>
      <c r="BE117" s="250">
        <f>Tabla14[[#This Row],[CUANTO SE REAJUSTA]]*Tabla14[[#This Row],[Personas Rechazo]]</f>
        <v>-7000</v>
      </c>
      <c r="BF117" s="250">
        <f>Tabla14[[#This Row],[REAJUSTADO]]/25000</f>
        <v>1</v>
      </c>
      <c r="BG117" s="302">
        <f>Tabla14[[#This Row],[REAJUSTADO]]*Tabla14[[#This Row],[Personas Rechazo]]</f>
        <v>25000</v>
      </c>
      <c r="BH117" s="292" t="str">
        <f>Tabla14[[#This Row],[Finca]]</f>
        <v>Damaquiel</v>
      </c>
      <c r="BI117" s="250">
        <v>0</v>
      </c>
      <c r="BJ117" s="332">
        <f>Tabla14[[#This Row],[Numero de Ocacionales]]*Tabla14[[#This Row],[REAJUSTADO]]</f>
        <v>0</v>
      </c>
      <c r="BK117" s="332"/>
      <c r="BL117" s="332">
        <v>0</v>
      </c>
      <c r="BM117" s="332">
        <f>+Tabla14[[#This Row],[CUANTO SE REAJUSTA]]*3</f>
        <v>-21000</v>
      </c>
      <c r="BN117" s="334"/>
      <c r="BO117" s="334"/>
      <c r="BP117" s="334"/>
    </row>
    <row r="118" spans="3:68" hidden="1" x14ac:dyDescent="0.25">
      <c r="C118" s="274">
        <v>44707</v>
      </c>
      <c r="D118" s="507">
        <f>YEAR(Tabla14[[#This Row],[Fecha]])</f>
        <v>2022</v>
      </c>
      <c r="E118" s="313">
        <f>IF(Tabla14[[#This Row],[Fecha]]&gt;0,_xlfn.ISOWEEKNUM(Tabla14[[#This Row],[Fecha]]),0)</f>
        <v>21</v>
      </c>
      <c r="F118" s="283">
        <v>202</v>
      </c>
      <c r="G118" s="275" t="s">
        <v>152</v>
      </c>
      <c r="H118" s="325" t="str">
        <f>_xlfn.XLOOKUP(Tabla14[[#This Row],[Codigo Finca]],Tabla4[Codigo Finca],Tabla4[Nombre Finca],"")</f>
        <v>San Pedro</v>
      </c>
      <c r="I118" s="277">
        <f>_xlfn.XLOOKUP(Tabla14[[#This Row],[Codigo Finca]],Tabla4[Codigo Finca],Tabla4[Precio Caja],0)</f>
        <v>1500</v>
      </c>
      <c r="J118" s="277">
        <f>_xlfn.XLOOKUP(Tabla14[[#This Row],[Codigo Finca]],Tabla4[Codigo Finca],Tabla4[Precio Caja Segunda],0)</f>
        <v>1000</v>
      </c>
      <c r="K118" s="277">
        <f>_xlfn.XLOOKUP(Tabla14[[#This Row],[Codigo Finca]],Tabla4[Codigo Finca],Tabla4[Precio Rechazo],0)</f>
        <v>500</v>
      </c>
      <c r="L118" s="277">
        <f t="shared" si="102"/>
        <v>643</v>
      </c>
      <c r="M118" s="278">
        <f t="shared" si="103"/>
        <v>3.1831683168316833</v>
      </c>
      <c r="N118" s="283"/>
      <c r="O118" s="279"/>
      <c r="P118" s="280">
        <f t="shared" si="104"/>
        <v>0</v>
      </c>
      <c r="Q118" s="281">
        <f t="shared" si="105"/>
        <v>0</v>
      </c>
      <c r="R118" s="282">
        <f t="shared" si="106"/>
        <v>0</v>
      </c>
      <c r="S118" s="283">
        <v>643</v>
      </c>
      <c r="T118" s="275">
        <v>12</v>
      </c>
      <c r="U118" s="280">
        <f t="shared" si="107"/>
        <v>202</v>
      </c>
      <c r="V118" s="281">
        <f t="shared" si="108"/>
        <v>16.833333333333332</v>
      </c>
      <c r="W118" s="282">
        <f t="shared" si="109"/>
        <v>25250</v>
      </c>
      <c r="X118" s="283"/>
      <c r="Y118" s="275"/>
      <c r="Z118" s="280">
        <f>Tabla14[[#This Row],[Cajas Segunda]]</f>
        <v>0</v>
      </c>
      <c r="AA118" s="281">
        <f t="shared" si="110"/>
        <v>0</v>
      </c>
      <c r="AB118" s="284">
        <f t="shared" si="111"/>
        <v>0</v>
      </c>
      <c r="AC118" s="285">
        <f>81+15.3</f>
        <v>96.3</v>
      </c>
      <c r="AD118" s="286"/>
      <c r="AE118" s="286"/>
      <c r="AF118" s="286"/>
      <c r="AG118" s="286">
        <v>12</v>
      </c>
      <c r="AH118" s="280">
        <f t="shared" si="112"/>
        <v>96.3</v>
      </c>
      <c r="AI118" s="281">
        <f t="shared" si="113"/>
        <v>8.0250000000000004</v>
      </c>
      <c r="AJ118" s="282">
        <f t="shared" si="114"/>
        <v>4012.5</v>
      </c>
      <c r="AK118" s="287">
        <f>Tabla14[[#This Row],[Cajas por Personas]]</f>
        <v>0</v>
      </c>
      <c r="AL118" s="288">
        <f>Tabla14[[#This Row],[Valor Precorte Pesona]]</f>
        <v>0</v>
      </c>
      <c r="AM118" s="294">
        <f>Tabla14[[#This Row],[Personas Precorte]]</f>
        <v>0</v>
      </c>
      <c r="AN118" s="308">
        <f>Tabla14[[#This Row],[Valor Precorte Pesona Precorte]]*Tabla14[[#This Row],[Perzonas Precorte]]</f>
        <v>0</v>
      </c>
      <c r="AO118" s="287">
        <f>Tabla14[[#This Row],[Cajas por Personas2]]</f>
        <v>16.833333333333332</v>
      </c>
      <c r="AP118" s="288">
        <f>Tabla14[[#This Row],[Valor Embarque Pesona]]</f>
        <v>25250</v>
      </c>
      <c r="AQ118" s="295">
        <f>Tabla14[[#This Row],[Personas Precorte2]]</f>
        <v>12</v>
      </c>
      <c r="AR118" s="296">
        <f>Tabla14[[#This Row],[Valor Embarque Pesona3]]*Tabla14[[#This Row],[Perzona Primera]]</f>
        <v>303000</v>
      </c>
      <c r="AS118" s="287">
        <f>Tabla14[[#This Row],[Columna2]]</f>
        <v>0</v>
      </c>
      <c r="AT118" s="288">
        <f>Tabla14[[#This Row],[Columna1]]</f>
        <v>0</v>
      </c>
      <c r="AU118" s="302">
        <f>Tabla14[[#This Row],[Personas Intervienen]]</f>
        <v>0</v>
      </c>
      <c r="AV118" s="297">
        <f>Tabla14[[#This Row],[Valor Embarque Pesona5]]*Tabla14[[#This Row],[Presonas Segunda]]</f>
        <v>0</v>
      </c>
      <c r="AW118" s="287">
        <f>Tabla14[[#This Row],[Bolsas Por Personas]]</f>
        <v>8.0250000000000004</v>
      </c>
      <c r="AX118" s="288">
        <f>Tabla14[[#This Row],[Valor bolsas Pesona]]</f>
        <v>4012.5</v>
      </c>
      <c r="AY118" s="309">
        <f>Tabla14[[#This Row],[Personas13]]</f>
        <v>12</v>
      </c>
      <c r="AZ118" s="310">
        <f>Tabla14[[#This Row],[Valor bolsas Pesona2]]*Tabla14[[#This Row],[Personas Rechazo]]</f>
        <v>48150</v>
      </c>
      <c r="BA118" s="311">
        <f>+Tabla14[[#This Row],[Total Valor Segunda]]+Tabla14[[#This Row],[Total Valor Primera]]+Tabla14[[#This Row],[Total Valor Precorte]]</f>
        <v>303000</v>
      </c>
      <c r="BB118" s="292">
        <f>Tabla14[[#This Row],[Valor bolsas Pesona2]]+Tabla14[[#This Row],[Valor Embarque Pesona3]]</f>
        <v>29262.5</v>
      </c>
      <c r="BC118" s="332">
        <v>30000</v>
      </c>
      <c r="BD118" s="292">
        <f>Tabla14[[#This Row],[VALOR GANADO]]-Tabla14[[#This Row],[REAJUSTADO]]</f>
        <v>-737.5</v>
      </c>
      <c r="BE118" s="250">
        <f>Tabla14[[#This Row],[CUANTO SE REAJUSTA]]*Tabla14[[#This Row],[Personas Rechazo]]</f>
        <v>-8850</v>
      </c>
      <c r="BF118" s="250">
        <f>Tabla14[[#This Row],[REAJUSTADO]]/25000</f>
        <v>1.2</v>
      </c>
      <c r="BG118" s="302">
        <f>Tabla14[[#This Row],[REAJUSTADO]]*Tabla14[[#This Row],[Personas Rechazo]]</f>
        <v>360000</v>
      </c>
      <c r="BH118" s="292" t="str">
        <f>Tabla14[[#This Row],[Finca]]</f>
        <v>San Pedro</v>
      </c>
      <c r="BI118" s="337">
        <v>9</v>
      </c>
      <c r="BJ118" s="332">
        <f>Tabla14[[#This Row],[Numero de Ocacionales]]*Tabla14[[#This Row],[REAJUSTADO]]</f>
        <v>270000</v>
      </c>
      <c r="BK118" s="332"/>
      <c r="BL118" s="332">
        <v>0</v>
      </c>
      <c r="BM118" s="332">
        <f>+Tabla14[[#This Row],[CUANTO SE REAJUSTA]]*3</f>
        <v>-2212.5</v>
      </c>
      <c r="BN118" s="334"/>
      <c r="BO118" s="334"/>
      <c r="BP118" s="334"/>
    </row>
    <row r="119" spans="3:68" hidden="1" x14ac:dyDescent="0.25">
      <c r="C119" s="274">
        <v>44712</v>
      </c>
      <c r="D119" s="507">
        <f>YEAR(Tabla14[[#This Row],[Fecha]])</f>
        <v>2022</v>
      </c>
      <c r="E119" s="313">
        <f>IF(Tabla14[[#This Row],[Fecha]]&gt;0,_xlfn.ISOWEEKNUM(Tabla14[[#This Row],[Fecha]]),0)</f>
        <v>22</v>
      </c>
      <c r="F119" s="283">
        <v>372</v>
      </c>
      <c r="G119" s="275" t="s">
        <v>152</v>
      </c>
      <c r="H119" s="325" t="str">
        <f>_xlfn.XLOOKUP(Tabla14[[#This Row],[Codigo Finca]],Tabla4[Codigo Finca],Tabla4[Nombre Finca],"")</f>
        <v>San Pedro</v>
      </c>
      <c r="I119" s="277">
        <f>_xlfn.XLOOKUP(Tabla14[[#This Row],[Codigo Finca]],Tabla4[Codigo Finca],Tabla4[Precio Caja],0)</f>
        <v>1500</v>
      </c>
      <c r="J119" s="277">
        <f>_xlfn.XLOOKUP(Tabla14[[#This Row],[Codigo Finca]],Tabla4[Codigo Finca],Tabla4[Precio Caja Segunda],0)</f>
        <v>1000</v>
      </c>
      <c r="K119" s="277">
        <f>_xlfn.XLOOKUP(Tabla14[[#This Row],[Codigo Finca]],Tabla4[Codigo Finca],Tabla4[Precio Rechazo],0)</f>
        <v>500</v>
      </c>
      <c r="L119" s="277">
        <f t="shared" ref="L119:L124" si="115">S119+N119</f>
        <v>1487</v>
      </c>
      <c r="M119" s="278">
        <f t="shared" ref="M119:M124" si="116">IF(F119&gt;0,L119/F119,0)</f>
        <v>3.997311827956989</v>
      </c>
      <c r="N119" s="283">
        <v>100</v>
      </c>
      <c r="O119" s="279">
        <v>1</v>
      </c>
      <c r="P119" s="280">
        <f t="shared" ref="P119:P124" si="117">IF(N119&gt;0,(N119/M119)/2,0)</f>
        <v>12.508406186953598</v>
      </c>
      <c r="Q119" s="281">
        <f t="shared" ref="Q119:Q124" si="118">IF(O119&gt;0,P119/O119,0)</f>
        <v>12.508406186953598</v>
      </c>
      <c r="R119" s="282">
        <f t="shared" ref="R119:R124" si="119">IF(I119&gt;0,Q119*I119,)</f>
        <v>18762.609280430399</v>
      </c>
      <c r="S119" s="283">
        <v>1387</v>
      </c>
      <c r="T119" s="275">
        <v>21</v>
      </c>
      <c r="U119" s="280">
        <f t="shared" ref="U119:U124" si="120">F119-P119</f>
        <v>359.49159381304639</v>
      </c>
      <c r="V119" s="281">
        <f t="shared" ref="V119:V124" si="121">IF(T119&gt;0,U119/T119,0)</f>
        <v>17.118647324430782</v>
      </c>
      <c r="W119" s="282">
        <f t="shared" ref="W119:W124" si="122">IF(T119&gt;0,(U119*I119)/T119,0)</f>
        <v>25677.970986646174</v>
      </c>
      <c r="X119" s="283"/>
      <c r="Y119" s="275"/>
      <c r="Z119" s="280">
        <f>Tabla14[[#This Row],[Cajas Segunda]]</f>
        <v>0</v>
      </c>
      <c r="AA119" s="281">
        <f t="shared" ref="AA119:AA124" si="123">IF(Y119&gt;0,Z119/Y119,0)</f>
        <v>0</v>
      </c>
      <c r="AB119" s="284">
        <f t="shared" ref="AB119:AB124" si="124">IF(Y119&gt;0,(Z119*J119)/Y119,0)</f>
        <v>0</v>
      </c>
      <c r="AC119" s="285">
        <v>161.58000000000001</v>
      </c>
      <c r="AD119" s="286"/>
      <c r="AE119" s="286"/>
      <c r="AF119" s="286"/>
      <c r="AG119" s="286">
        <v>21</v>
      </c>
      <c r="AH119" s="280">
        <f t="shared" ref="AH119:AH124" si="125">IF(AND(AC119&gt;0,AE119=0,AF119=0,AD119=0),AC119,IF(AND(AC119=0,AE119&gt;0,AF119&gt;0,AD119=0),AE119*AF119/25,IF(AND(AC119=0,AE119=0,AF119=0,AD119&gt;0),AD119/25,0)))</f>
        <v>161.58000000000001</v>
      </c>
      <c r="AI119" s="281">
        <f t="shared" ref="AI119:AI124" si="126">IF(AG119&gt;0,AH119/AG119,0)</f>
        <v>7.6942857142857148</v>
      </c>
      <c r="AJ119" s="282">
        <f t="shared" ref="AJ119:AJ124" si="127">AI119*K119</f>
        <v>3847.1428571428573</v>
      </c>
      <c r="AK119" s="287">
        <f>Tabla14[[#This Row],[Cajas por Personas]]</f>
        <v>12.508406186953598</v>
      </c>
      <c r="AL119" s="288">
        <f>Tabla14[[#This Row],[Valor Precorte Pesona]]</f>
        <v>18762.609280430399</v>
      </c>
      <c r="AM119" s="294">
        <f>Tabla14[[#This Row],[Personas Precorte]]</f>
        <v>1</v>
      </c>
      <c r="AN119" s="308">
        <f>Tabla14[[#This Row],[Valor Precorte Pesona Precorte]]*Tabla14[[#This Row],[Perzonas Precorte]]</f>
        <v>18762.609280430399</v>
      </c>
      <c r="AO119" s="287">
        <f>Tabla14[[#This Row],[Cajas por Personas2]]</f>
        <v>17.118647324430782</v>
      </c>
      <c r="AP119" s="288">
        <f>Tabla14[[#This Row],[Valor Embarque Pesona]]</f>
        <v>25677.970986646174</v>
      </c>
      <c r="AQ119" s="295">
        <f>Tabla14[[#This Row],[Personas Precorte2]]</f>
        <v>21</v>
      </c>
      <c r="AR119" s="296">
        <f>Tabla14[[#This Row],[Valor Embarque Pesona3]]*Tabla14[[#This Row],[Perzona Primera]]</f>
        <v>539237.39071956964</v>
      </c>
      <c r="AS119" s="287">
        <f>Tabla14[[#This Row],[Columna2]]</f>
        <v>0</v>
      </c>
      <c r="AT119" s="288">
        <f>Tabla14[[#This Row],[Columna1]]</f>
        <v>0</v>
      </c>
      <c r="AU119" s="302">
        <f>Tabla14[[#This Row],[Personas Intervienen]]</f>
        <v>0</v>
      </c>
      <c r="AV119" s="297">
        <f>Tabla14[[#This Row],[Valor Embarque Pesona5]]*Tabla14[[#This Row],[Presonas Segunda]]</f>
        <v>0</v>
      </c>
      <c r="AW119" s="287">
        <f>Tabla14[[#This Row],[Bolsas Por Personas]]</f>
        <v>7.6942857142857148</v>
      </c>
      <c r="AX119" s="288">
        <f>Tabla14[[#This Row],[Valor bolsas Pesona]]</f>
        <v>3847.1428571428573</v>
      </c>
      <c r="AY119" s="309">
        <f>Tabla14[[#This Row],[Personas13]]</f>
        <v>21</v>
      </c>
      <c r="AZ119" s="310">
        <f>Tabla14[[#This Row],[Valor bolsas Pesona2]]*Tabla14[[#This Row],[Personas Rechazo]]</f>
        <v>80790</v>
      </c>
      <c r="BA119" s="311">
        <f>+Tabla14[[#This Row],[Total Valor Segunda]]+Tabla14[[#This Row],[Total Valor Primera]]+Tabla14[[#This Row],[Total Valor Precorte]]</f>
        <v>558000</v>
      </c>
      <c r="BB119" s="292">
        <f>Tabla14[[#This Row],[Valor bolsas Pesona2]]+Tabla14[[#This Row],[Valor Embarque Pesona3]]</f>
        <v>29525.113843789033</v>
      </c>
      <c r="BC119" s="332">
        <v>32000</v>
      </c>
      <c r="BD119" s="292">
        <f>Tabla14[[#This Row],[VALOR GANADO]]-Tabla14[[#This Row],[REAJUSTADO]]</f>
        <v>-2474.8861562109669</v>
      </c>
      <c r="BE119" s="250">
        <f>Tabla14[[#This Row],[CUANTO SE REAJUSTA]]*Tabla14[[#This Row],[Personas Rechazo]]</f>
        <v>-51972.609280430304</v>
      </c>
      <c r="BF119" s="250">
        <f>Tabla14[[#This Row],[REAJUSTADO]]/25000</f>
        <v>1.28</v>
      </c>
      <c r="BG119" s="302">
        <f>Tabla14[[#This Row],[REAJUSTADO]]*Tabla14[[#This Row],[Personas Rechazo]]</f>
        <v>672000</v>
      </c>
      <c r="BH119" s="292" t="str">
        <f>Tabla14[[#This Row],[Finca]]</f>
        <v>San Pedro</v>
      </c>
      <c r="BI119" s="250">
        <f>21-5</f>
        <v>16</v>
      </c>
      <c r="BJ119" s="332">
        <f>Tabla14[[#This Row],[Numero de Ocacionales]]*Tabla14[[#This Row],[REAJUSTADO]]</f>
        <v>512000</v>
      </c>
      <c r="BK119" s="332"/>
      <c r="BL119" s="332">
        <v>30000</v>
      </c>
      <c r="BM119" s="332">
        <f>+Tabla14[[#This Row],[CUANTO SE REAJUSTA]]*3</f>
        <v>-7424.6584686329006</v>
      </c>
      <c r="BN119" s="334"/>
      <c r="BO119" s="334"/>
      <c r="BP119" s="334"/>
    </row>
    <row r="120" spans="3:68" hidden="1" x14ac:dyDescent="0.25">
      <c r="C120" s="274">
        <v>44713</v>
      </c>
      <c r="D120" s="507">
        <f>YEAR(Tabla14[[#This Row],[Fecha]])</f>
        <v>2022</v>
      </c>
      <c r="E120" s="313">
        <f>IF(Tabla14[[#This Row],[Fecha]]&gt;0,_xlfn.ISOWEEKNUM(Tabla14[[#This Row],[Fecha]]),0)</f>
        <v>22</v>
      </c>
      <c r="F120" s="283">
        <v>70</v>
      </c>
      <c r="G120" s="275" t="s">
        <v>153</v>
      </c>
      <c r="H120" s="325" t="str">
        <f>_xlfn.XLOOKUP(Tabla14[[#This Row],[Codigo Finca]],Tabla4[Codigo Finca],Tabla4[Nombre Finca],"")</f>
        <v>Uveros</v>
      </c>
      <c r="I120" s="277">
        <f>_xlfn.XLOOKUP(Tabla14[[#This Row],[Codigo Finca]],Tabla4[Codigo Finca],Tabla4[Precio Caja],0)</f>
        <v>1500</v>
      </c>
      <c r="J120" s="277">
        <f>_xlfn.XLOOKUP(Tabla14[[#This Row],[Codigo Finca]],Tabla4[Codigo Finca],Tabla4[Precio Caja Segunda],0)</f>
        <v>1000</v>
      </c>
      <c r="K120" s="277">
        <f>_xlfn.XLOOKUP(Tabla14[[#This Row],[Codigo Finca]],Tabla4[Codigo Finca],Tabla4[Precio Rechazo],0)</f>
        <v>500</v>
      </c>
      <c r="L120" s="277">
        <f t="shared" si="115"/>
        <v>253</v>
      </c>
      <c r="M120" s="278">
        <f t="shared" si="116"/>
        <v>3.6142857142857143</v>
      </c>
      <c r="N120" s="283"/>
      <c r="O120" s="279"/>
      <c r="P120" s="280">
        <f t="shared" si="117"/>
        <v>0</v>
      </c>
      <c r="Q120" s="281">
        <f t="shared" si="118"/>
        <v>0</v>
      </c>
      <c r="R120" s="282">
        <f t="shared" si="119"/>
        <v>0</v>
      </c>
      <c r="S120" s="283">
        <f>125+128</f>
        <v>253</v>
      </c>
      <c r="T120" s="275">
        <v>5</v>
      </c>
      <c r="U120" s="280">
        <f t="shared" si="120"/>
        <v>70</v>
      </c>
      <c r="V120" s="281">
        <f t="shared" si="121"/>
        <v>14</v>
      </c>
      <c r="W120" s="282">
        <f t="shared" si="122"/>
        <v>21000</v>
      </c>
      <c r="X120" s="283"/>
      <c r="Y120" s="275"/>
      <c r="Z120" s="280">
        <f>Tabla14[[#This Row],[Cajas Segunda]]</f>
        <v>0</v>
      </c>
      <c r="AA120" s="281">
        <f t="shared" si="123"/>
        <v>0</v>
      </c>
      <c r="AB120" s="284">
        <f t="shared" si="124"/>
        <v>0</v>
      </c>
      <c r="AC120" s="285">
        <v>16</v>
      </c>
      <c r="AD120" s="286"/>
      <c r="AE120" s="286"/>
      <c r="AF120" s="286"/>
      <c r="AG120" s="286">
        <v>5</v>
      </c>
      <c r="AH120" s="280">
        <f t="shared" si="125"/>
        <v>16</v>
      </c>
      <c r="AI120" s="281">
        <f t="shared" si="126"/>
        <v>3.2</v>
      </c>
      <c r="AJ120" s="282">
        <f t="shared" si="127"/>
        <v>1600</v>
      </c>
      <c r="AK120" s="287">
        <f>Tabla14[[#This Row],[Cajas por Personas]]</f>
        <v>0</v>
      </c>
      <c r="AL120" s="288">
        <f>Tabla14[[#This Row],[Valor Precorte Pesona]]</f>
        <v>0</v>
      </c>
      <c r="AM120" s="294">
        <f>Tabla14[[#This Row],[Personas Precorte]]</f>
        <v>0</v>
      </c>
      <c r="AN120" s="308">
        <f>Tabla14[[#This Row],[Valor Precorte Pesona Precorte]]*Tabla14[[#This Row],[Perzonas Precorte]]</f>
        <v>0</v>
      </c>
      <c r="AO120" s="287">
        <f>Tabla14[[#This Row],[Cajas por Personas2]]</f>
        <v>14</v>
      </c>
      <c r="AP120" s="288">
        <f>Tabla14[[#This Row],[Valor Embarque Pesona]]</f>
        <v>21000</v>
      </c>
      <c r="AQ120" s="295">
        <f>Tabla14[[#This Row],[Personas Precorte2]]</f>
        <v>5</v>
      </c>
      <c r="AR120" s="296">
        <f>Tabla14[[#This Row],[Valor Embarque Pesona3]]*Tabla14[[#This Row],[Perzona Primera]]</f>
        <v>105000</v>
      </c>
      <c r="AS120" s="287">
        <f>Tabla14[[#This Row],[Columna2]]</f>
        <v>0</v>
      </c>
      <c r="AT120" s="288">
        <f>Tabla14[[#This Row],[Columna1]]</f>
        <v>0</v>
      </c>
      <c r="AU120" s="302">
        <f>Tabla14[[#This Row],[Personas Intervienen]]</f>
        <v>0</v>
      </c>
      <c r="AV120" s="297">
        <f>Tabla14[[#This Row],[Valor Embarque Pesona5]]*Tabla14[[#This Row],[Presonas Segunda]]</f>
        <v>0</v>
      </c>
      <c r="AW120" s="287">
        <f>Tabla14[[#This Row],[Bolsas Por Personas]]</f>
        <v>3.2</v>
      </c>
      <c r="AX120" s="288">
        <f>Tabla14[[#This Row],[Valor bolsas Pesona]]</f>
        <v>1600</v>
      </c>
      <c r="AY120" s="309">
        <f>Tabla14[[#This Row],[Personas13]]</f>
        <v>5</v>
      </c>
      <c r="AZ120" s="310">
        <f>Tabla14[[#This Row],[Valor bolsas Pesona2]]*Tabla14[[#This Row],[Personas Rechazo]]</f>
        <v>8000</v>
      </c>
      <c r="BA120" s="311">
        <f>+Tabla14[[#This Row],[Total Valor Segunda]]+Tabla14[[#This Row],[Total Valor Primera]]+Tabla14[[#This Row],[Total Valor Precorte]]</f>
        <v>105000</v>
      </c>
      <c r="BB120" s="292">
        <f>Tabla14[[#This Row],[Valor bolsas Pesona2]]+Tabla14[[#This Row],[Valor Embarque Pesona3]]</f>
        <v>22600</v>
      </c>
      <c r="BC120" s="332">
        <v>30000</v>
      </c>
      <c r="BD120" s="292">
        <f>Tabla14[[#This Row],[VALOR GANADO]]-Tabla14[[#This Row],[REAJUSTADO]]</f>
        <v>-7400</v>
      </c>
      <c r="BE120" s="250">
        <f>Tabla14[[#This Row],[CUANTO SE REAJUSTA]]*Tabla14[[#This Row],[Personas Rechazo]]</f>
        <v>-37000</v>
      </c>
      <c r="BF120" s="250">
        <f>Tabla14[[#This Row],[REAJUSTADO]]/25000</f>
        <v>1.2</v>
      </c>
      <c r="BG120" s="302">
        <f>Tabla14[[#This Row],[REAJUSTADO]]*Tabla14[[#This Row],[Personas Rechazo]]</f>
        <v>150000</v>
      </c>
      <c r="BH120" s="292" t="str">
        <f>Tabla14[[#This Row],[Finca]]</f>
        <v>Uveros</v>
      </c>
      <c r="BI120" s="250">
        <v>3</v>
      </c>
      <c r="BJ120" s="332">
        <f>Tabla14[[#This Row],[Numero de Ocacionales]]*Tabla14[[#This Row],[REAJUSTADO]]</f>
        <v>90000</v>
      </c>
      <c r="BK120" s="332"/>
      <c r="BL120" s="332">
        <v>30000</v>
      </c>
      <c r="BM120" s="332">
        <f>+Tabla14[[#This Row],[CUANTO SE REAJUSTA]]*3</f>
        <v>-22200</v>
      </c>
      <c r="BN120" s="334"/>
      <c r="BO120" s="334"/>
      <c r="BP120" s="334"/>
    </row>
    <row r="121" spans="3:68" hidden="1" x14ac:dyDescent="0.25">
      <c r="C121" s="274">
        <v>44713</v>
      </c>
      <c r="D121" s="507">
        <f>YEAR(Tabla14[[#This Row],[Fecha]])</f>
        <v>2022</v>
      </c>
      <c r="E121" s="313">
        <f>IF(Tabla14[[#This Row],[Fecha]]&gt;0,_xlfn.ISOWEEKNUM(Tabla14[[#This Row],[Fecha]]),0)</f>
        <v>22</v>
      </c>
      <c r="F121" s="283">
        <f>356-15</f>
        <v>341</v>
      </c>
      <c r="G121" s="275" t="s">
        <v>157</v>
      </c>
      <c r="H121" s="325" t="str">
        <f>_xlfn.XLOOKUP(Tabla14[[#This Row],[Codigo Finca]],Tabla4[Codigo Finca],Tabla4[Nombre Finca],"")</f>
        <v>Pedrito</v>
      </c>
      <c r="I121" s="277">
        <f>_xlfn.XLOOKUP(Tabla14[[#This Row],[Codigo Finca]],Tabla4[Codigo Finca],Tabla4[Precio Caja],0)</f>
        <v>2100</v>
      </c>
      <c r="J121" s="277">
        <f>_xlfn.XLOOKUP(Tabla14[[#This Row],[Codigo Finca]],Tabla4[Codigo Finca],Tabla4[Precio Caja Segunda],0)</f>
        <v>1000</v>
      </c>
      <c r="K121" s="277">
        <f>_xlfn.XLOOKUP(Tabla14[[#This Row],[Codigo Finca]],Tabla4[Codigo Finca],Tabla4[Precio Rechazo],0)</f>
        <v>500</v>
      </c>
      <c r="L121" s="277">
        <f t="shared" si="115"/>
        <v>987</v>
      </c>
      <c r="M121" s="278">
        <f t="shared" si="116"/>
        <v>2.8944281524926687</v>
      </c>
      <c r="N121" s="283"/>
      <c r="O121" s="279"/>
      <c r="P121" s="280">
        <f t="shared" si="117"/>
        <v>0</v>
      </c>
      <c r="Q121" s="281">
        <f t="shared" si="118"/>
        <v>0</v>
      </c>
      <c r="R121" s="282">
        <f t="shared" si="119"/>
        <v>0</v>
      </c>
      <c r="S121" s="283">
        <v>987</v>
      </c>
      <c r="T121" s="275">
        <v>18</v>
      </c>
      <c r="U121" s="280">
        <f t="shared" si="120"/>
        <v>341</v>
      </c>
      <c r="V121" s="281">
        <f t="shared" si="121"/>
        <v>18.944444444444443</v>
      </c>
      <c r="W121" s="282">
        <f t="shared" si="122"/>
        <v>39783.333333333336</v>
      </c>
      <c r="X121" s="283"/>
      <c r="Y121" s="275"/>
      <c r="Z121" s="280">
        <f>Tabla14[[#This Row],[Cajas Segunda]]</f>
        <v>0</v>
      </c>
      <c r="AA121" s="281">
        <f t="shared" si="123"/>
        <v>0</v>
      </c>
      <c r="AB121" s="284">
        <f t="shared" si="124"/>
        <v>0</v>
      </c>
      <c r="AC121" s="285">
        <v>100.6</v>
      </c>
      <c r="AD121" s="286"/>
      <c r="AE121" s="286"/>
      <c r="AF121" s="286"/>
      <c r="AG121" s="286">
        <v>18</v>
      </c>
      <c r="AH121" s="280">
        <f t="shared" si="125"/>
        <v>100.6</v>
      </c>
      <c r="AI121" s="281">
        <f t="shared" si="126"/>
        <v>5.5888888888888886</v>
      </c>
      <c r="AJ121" s="282">
        <f t="shared" si="127"/>
        <v>2794.4444444444443</v>
      </c>
      <c r="AK121" s="287">
        <f>Tabla14[[#This Row],[Cajas por Personas]]</f>
        <v>0</v>
      </c>
      <c r="AL121" s="288">
        <f>Tabla14[[#This Row],[Valor Precorte Pesona]]</f>
        <v>0</v>
      </c>
      <c r="AM121" s="294">
        <f>Tabla14[[#This Row],[Personas Precorte]]</f>
        <v>0</v>
      </c>
      <c r="AN121" s="308">
        <f>Tabla14[[#This Row],[Valor Precorte Pesona Precorte]]*Tabla14[[#This Row],[Perzonas Precorte]]</f>
        <v>0</v>
      </c>
      <c r="AO121" s="287">
        <f>Tabla14[[#This Row],[Cajas por Personas2]]</f>
        <v>18.944444444444443</v>
      </c>
      <c r="AP121" s="288">
        <f>Tabla14[[#This Row],[Valor Embarque Pesona]]</f>
        <v>39783.333333333336</v>
      </c>
      <c r="AQ121" s="295">
        <f>Tabla14[[#This Row],[Personas Precorte2]]</f>
        <v>18</v>
      </c>
      <c r="AR121" s="296">
        <f>Tabla14[[#This Row],[Valor Embarque Pesona3]]*Tabla14[[#This Row],[Perzona Primera]]</f>
        <v>716100</v>
      </c>
      <c r="AS121" s="287">
        <f>Tabla14[[#This Row],[Columna2]]</f>
        <v>0</v>
      </c>
      <c r="AT121" s="288">
        <f>Tabla14[[#This Row],[Columna1]]</f>
        <v>0</v>
      </c>
      <c r="AU121" s="302">
        <f>Tabla14[[#This Row],[Personas Intervienen]]</f>
        <v>0</v>
      </c>
      <c r="AV121" s="297">
        <f>Tabla14[[#This Row],[Valor Embarque Pesona5]]*Tabla14[[#This Row],[Presonas Segunda]]</f>
        <v>0</v>
      </c>
      <c r="AW121" s="287">
        <f>Tabla14[[#This Row],[Bolsas Por Personas]]</f>
        <v>5.5888888888888886</v>
      </c>
      <c r="AX121" s="288">
        <f>Tabla14[[#This Row],[Valor bolsas Pesona]]</f>
        <v>2794.4444444444443</v>
      </c>
      <c r="AY121" s="309">
        <f>Tabla14[[#This Row],[Personas13]]</f>
        <v>18</v>
      </c>
      <c r="AZ121" s="310">
        <f>Tabla14[[#This Row],[Valor bolsas Pesona2]]*Tabla14[[#This Row],[Personas Rechazo]]</f>
        <v>50300</v>
      </c>
      <c r="BA121" s="311">
        <f>+Tabla14[[#This Row],[Total Valor Segunda]]+Tabla14[[#This Row],[Total Valor Primera]]+Tabla14[[#This Row],[Total Valor Precorte]]</f>
        <v>716100</v>
      </c>
      <c r="BB121" s="292">
        <f>Tabla14[[#This Row],[Valor bolsas Pesona2]]+Tabla14[[#This Row],[Valor Embarque Pesona3]]</f>
        <v>42577.777777777781</v>
      </c>
      <c r="BC121" s="332">
        <v>42500</v>
      </c>
      <c r="BD121" s="292">
        <f>Tabla14[[#This Row],[VALOR GANADO]]-Tabla14[[#This Row],[REAJUSTADO]]</f>
        <v>77.777777777781012</v>
      </c>
      <c r="BE121" s="250">
        <f>Tabla14[[#This Row],[CUANTO SE REAJUSTA]]*Tabla14[[#This Row],[Personas Rechazo]]</f>
        <v>1400.0000000000582</v>
      </c>
      <c r="BF121" s="250">
        <f>Tabla14[[#This Row],[REAJUSTADO]]/25000</f>
        <v>1.7</v>
      </c>
      <c r="BG121" s="302">
        <f>Tabla14[[#This Row],[REAJUSTADO]]*Tabla14[[#This Row],[Personas Rechazo]]</f>
        <v>765000</v>
      </c>
      <c r="BH121" s="292" t="str">
        <f>Tabla14[[#This Row],[Finca]]</f>
        <v>Pedrito</v>
      </c>
      <c r="BI121" s="250">
        <v>6</v>
      </c>
      <c r="BJ121" s="332">
        <f>Tabla14[[#This Row],[Numero de Ocacionales]]*Tabla14[[#This Row],[REAJUSTADO]]</f>
        <v>255000</v>
      </c>
      <c r="BK121" s="332"/>
      <c r="BL121" s="332">
        <v>30000</v>
      </c>
      <c r="BM121" s="332">
        <f>+Tabla14[[#This Row],[CUANTO SE REAJUSTA]]*3</f>
        <v>233.33333333334303</v>
      </c>
      <c r="BN121" s="334"/>
      <c r="BO121" s="334"/>
      <c r="BP121" s="334"/>
    </row>
    <row r="122" spans="3:68" hidden="1" x14ac:dyDescent="0.25">
      <c r="C122" s="274">
        <v>44714</v>
      </c>
      <c r="D122" s="507">
        <f>YEAR(Tabla14[[#This Row],[Fecha]])</f>
        <v>2022</v>
      </c>
      <c r="E122" s="313">
        <f>IF(Tabla14[[#This Row],[Fecha]]&gt;0,_xlfn.ISOWEEKNUM(Tabla14[[#This Row],[Fecha]]),0)</f>
        <v>22</v>
      </c>
      <c r="F122" s="283">
        <v>101</v>
      </c>
      <c r="G122" s="275" t="s">
        <v>152</v>
      </c>
      <c r="H122" s="325" t="str">
        <f>_xlfn.XLOOKUP(Tabla14[[#This Row],[Codigo Finca]],Tabla4[Codigo Finca],Tabla4[Nombre Finca],"")</f>
        <v>San Pedro</v>
      </c>
      <c r="I122" s="277">
        <f>_xlfn.XLOOKUP(Tabla14[[#This Row],[Codigo Finca]],Tabla4[Codigo Finca],Tabla4[Precio Caja],0)</f>
        <v>1500</v>
      </c>
      <c r="J122" s="277">
        <f>_xlfn.XLOOKUP(Tabla14[[#This Row],[Codigo Finca]],Tabla4[Codigo Finca],Tabla4[Precio Caja Segunda],0)</f>
        <v>1000</v>
      </c>
      <c r="K122" s="277">
        <f>_xlfn.XLOOKUP(Tabla14[[#This Row],[Codigo Finca]],Tabla4[Codigo Finca],Tabla4[Precio Rechazo],0)</f>
        <v>500</v>
      </c>
      <c r="L122" s="277">
        <f t="shared" si="115"/>
        <v>330</v>
      </c>
      <c r="M122" s="278">
        <f t="shared" si="116"/>
        <v>3.2673267326732671</v>
      </c>
      <c r="N122" s="283"/>
      <c r="O122" s="279"/>
      <c r="P122" s="280">
        <f t="shared" si="117"/>
        <v>0</v>
      </c>
      <c r="Q122" s="281">
        <f t="shared" si="118"/>
        <v>0</v>
      </c>
      <c r="R122" s="282">
        <f t="shared" si="119"/>
        <v>0</v>
      </c>
      <c r="S122" s="283">
        <v>330</v>
      </c>
      <c r="T122" s="275">
        <v>9</v>
      </c>
      <c r="U122" s="280">
        <f t="shared" si="120"/>
        <v>101</v>
      </c>
      <c r="V122" s="281">
        <f t="shared" si="121"/>
        <v>11.222222222222221</v>
      </c>
      <c r="W122" s="282">
        <f t="shared" si="122"/>
        <v>16833.333333333332</v>
      </c>
      <c r="X122" s="283"/>
      <c r="Y122" s="275"/>
      <c r="Z122" s="280">
        <f>Tabla14[[#This Row],[Cajas Segunda]]</f>
        <v>0</v>
      </c>
      <c r="AA122" s="281">
        <f t="shared" si="123"/>
        <v>0</v>
      </c>
      <c r="AB122" s="284">
        <f t="shared" si="124"/>
        <v>0</v>
      </c>
      <c r="AC122" s="285">
        <f>47+3.4</f>
        <v>50.4</v>
      </c>
      <c r="AD122" s="286"/>
      <c r="AE122" s="286"/>
      <c r="AF122" s="286"/>
      <c r="AG122" s="286">
        <v>9</v>
      </c>
      <c r="AH122" s="280">
        <f t="shared" si="125"/>
        <v>50.4</v>
      </c>
      <c r="AI122" s="281">
        <f t="shared" si="126"/>
        <v>5.6</v>
      </c>
      <c r="AJ122" s="282">
        <f t="shared" si="127"/>
        <v>2800</v>
      </c>
      <c r="AK122" s="287">
        <f>Tabla14[[#This Row],[Cajas por Personas]]</f>
        <v>0</v>
      </c>
      <c r="AL122" s="288">
        <f>Tabla14[[#This Row],[Valor Precorte Pesona]]</f>
        <v>0</v>
      </c>
      <c r="AM122" s="294">
        <f>Tabla14[[#This Row],[Personas Precorte]]</f>
        <v>0</v>
      </c>
      <c r="AN122" s="308">
        <f>Tabla14[[#This Row],[Valor Precorte Pesona Precorte]]*Tabla14[[#This Row],[Perzonas Precorte]]</f>
        <v>0</v>
      </c>
      <c r="AO122" s="287">
        <f>Tabla14[[#This Row],[Cajas por Personas2]]</f>
        <v>11.222222222222221</v>
      </c>
      <c r="AP122" s="288">
        <f>Tabla14[[#This Row],[Valor Embarque Pesona]]</f>
        <v>16833.333333333332</v>
      </c>
      <c r="AQ122" s="295">
        <f>Tabla14[[#This Row],[Personas Precorte2]]</f>
        <v>9</v>
      </c>
      <c r="AR122" s="296">
        <f>Tabla14[[#This Row],[Valor Embarque Pesona3]]*Tabla14[[#This Row],[Perzona Primera]]</f>
        <v>151500</v>
      </c>
      <c r="AS122" s="287">
        <f>Tabla14[[#This Row],[Columna2]]</f>
        <v>0</v>
      </c>
      <c r="AT122" s="288">
        <f>Tabla14[[#This Row],[Columna1]]</f>
        <v>0</v>
      </c>
      <c r="AU122" s="302">
        <f>Tabla14[[#This Row],[Personas Intervienen]]</f>
        <v>0</v>
      </c>
      <c r="AV122" s="297">
        <f>Tabla14[[#This Row],[Valor Embarque Pesona5]]*Tabla14[[#This Row],[Presonas Segunda]]</f>
        <v>0</v>
      </c>
      <c r="AW122" s="287">
        <f>Tabla14[[#This Row],[Bolsas Por Personas]]</f>
        <v>5.6</v>
      </c>
      <c r="AX122" s="288">
        <f>Tabla14[[#This Row],[Valor bolsas Pesona]]</f>
        <v>2800</v>
      </c>
      <c r="AY122" s="309">
        <f>Tabla14[[#This Row],[Personas13]]</f>
        <v>9</v>
      </c>
      <c r="AZ122" s="310">
        <f>Tabla14[[#This Row],[Valor bolsas Pesona2]]*Tabla14[[#This Row],[Personas Rechazo]]</f>
        <v>25200</v>
      </c>
      <c r="BA122" s="311">
        <f>+Tabla14[[#This Row],[Total Valor Segunda]]+Tabla14[[#This Row],[Total Valor Primera]]+Tabla14[[#This Row],[Total Valor Precorte]]</f>
        <v>151500</v>
      </c>
      <c r="BB122" s="292">
        <f>Tabla14[[#This Row],[Valor bolsas Pesona2]]+Tabla14[[#This Row],[Valor Embarque Pesona3]]</f>
        <v>19633.333333333332</v>
      </c>
      <c r="BC122" s="332">
        <v>28000</v>
      </c>
      <c r="BD122" s="292">
        <f>Tabla14[[#This Row],[VALOR GANADO]]-Tabla14[[#This Row],[REAJUSTADO]]</f>
        <v>-8366.6666666666679</v>
      </c>
      <c r="BE122" s="250">
        <f>Tabla14[[#This Row],[CUANTO SE REAJUSTA]]*Tabla14[[#This Row],[Personas Rechazo]]</f>
        <v>-75300.000000000015</v>
      </c>
      <c r="BF122" s="250">
        <f>Tabla14[[#This Row],[REAJUSTADO]]/25000</f>
        <v>1.1200000000000001</v>
      </c>
      <c r="BG122" s="302">
        <f>Tabla14[[#This Row],[REAJUSTADO]]*Tabla14[[#This Row],[Personas Rechazo]]</f>
        <v>252000</v>
      </c>
      <c r="BH122" s="292" t="str">
        <f>Tabla14[[#This Row],[Finca]]</f>
        <v>San Pedro</v>
      </c>
      <c r="BI122" s="250">
        <v>6</v>
      </c>
      <c r="BJ122" s="332">
        <f>Tabla14[[#This Row],[Numero de Ocacionales]]*Tabla14[[#This Row],[REAJUSTADO]]</f>
        <v>168000</v>
      </c>
      <c r="BK122" s="332"/>
      <c r="BL122" s="332">
        <v>0</v>
      </c>
      <c r="BM122" s="332">
        <f>+Tabla14[[#This Row],[CUANTO SE REAJUSTA]]*3</f>
        <v>-25100.000000000004</v>
      </c>
      <c r="BN122" s="334"/>
      <c r="BO122" s="334"/>
      <c r="BP122" s="334"/>
    </row>
    <row r="123" spans="3:68" hidden="1" x14ac:dyDescent="0.25">
      <c r="C123" s="274">
        <v>44714</v>
      </c>
      <c r="D123" s="507">
        <f>YEAR(Tabla14[[#This Row],[Fecha]])</f>
        <v>2022</v>
      </c>
      <c r="E123" s="313">
        <f>IF(Tabla14[[#This Row],[Fecha]]&gt;0,_xlfn.ISOWEEKNUM(Tabla14[[#This Row],[Fecha]]),0)</f>
        <v>22</v>
      </c>
      <c r="F123" s="283">
        <v>212</v>
      </c>
      <c r="G123" s="275" t="s">
        <v>155</v>
      </c>
      <c r="H123" s="325" t="str">
        <f>_xlfn.XLOOKUP(Tabla14[[#This Row],[Codigo Finca]],Tabla4[Codigo Finca],Tabla4[Nombre Finca],"")</f>
        <v>Damaquiel</v>
      </c>
      <c r="I123" s="277">
        <f>_xlfn.XLOOKUP(Tabla14[[#This Row],[Codigo Finca]],Tabla4[Codigo Finca],Tabla4[Precio Caja],0)</f>
        <v>1500</v>
      </c>
      <c r="J123" s="277">
        <f>_xlfn.XLOOKUP(Tabla14[[#This Row],[Codigo Finca]],Tabla4[Codigo Finca],Tabla4[Precio Caja Segunda],0)</f>
        <v>1000</v>
      </c>
      <c r="K123" s="277">
        <f>_xlfn.XLOOKUP(Tabla14[[#This Row],[Codigo Finca]],Tabla4[Codigo Finca],Tabla4[Precio Rechazo],0)</f>
        <v>500</v>
      </c>
      <c r="L123" s="277">
        <f t="shared" si="115"/>
        <v>806</v>
      </c>
      <c r="M123" s="278">
        <f t="shared" si="116"/>
        <v>3.8018867924528301</v>
      </c>
      <c r="N123" s="283"/>
      <c r="O123" s="279"/>
      <c r="P123" s="280">
        <f t="shared" si="117"/>
        <v>0</v>
      </c>
      <c r="Q123" s="281">
        <f t="shared" si="118"/>
        <v>0</v>
      </c>
      <c r="R123" s="282">
        <f t="shared" si="119"/>
        <v>0</v>
      </c>
      <c r="S123" s="283">
        <v>806</v>
      </c>
      <c r="T123" s="275">
        <v>12</v>
      </c>
      <c r="U123" s="280">
        <f t="shared" si="120"/>
        <v>212</v>
      </c>
      <c r="V123" s="281">
        <f t="shared" si="121"/>
        <v>17.666666666666668</v>
      </c>
      <c r="W123" s="282">
        <f t="shared" si="122"/>
        <v>26500</v>
      </c>
      <c r="X123" s="283"/>
      <c r="Y123" s="275"/>
      <c r="Z123" s="280">
        <f>Tabla14[[#This Row],[Cajas Segunda]]</f>
        <v>0</v>
      </c>
      <c r="AA123" s="281">
        <f t="shared" si="123"/>
        <v>0</v>
      </c>
      <c r="AB123" s="284">
        <f t="shared" si="124"/>
        <v>0</v>
      </c>
      <c r="AC123" s="285">
        <f>65+14.6</f>
        <v>79.599999999999994</v>
      </c>
      <c r="AD123" s="286"/>
      <c r="AE123" s="286"/>
      <c r="AF123" s="286"/>
      <c r="AG123" s="286">
        <v>12</v>
      </c>
      <c r="AH123" s="280">
        <f t="shared" si="125"/>
        <v>79.599999999999994</v>
      </c>
      <c r="AI123" s="281">
        <f t="shared" si="126"/>
        <v>6.6333333333333329</v>
      </c>
      <c r="AJ123" s="282">
        <f t="shared" si="127"/>
        <v>3316.6666666666665</v>
      </c>
      <c r="AK123" s="287">
        <f>Tabla14[[#This Row],[Cajas por Personas]]</f>
        <v>0</v>
      </c>
      <c r="AL123" s="288">
        <f>Tabla14[[#This Row],[Valor Precorte Pesona]]</f>
        <v>0</v>
      </c>
      <c r="AM123" s="294">
        <f>Tabla14[[#This Row],[Personas Precorte]]</f>
        <v>0</v>
      </c>
      <c r="AN123" s="308">
        <f>Tabla14[[#This Row],[Valor Precorte Pesona Precorte]]*Tabla14[[#This Row],[Perzonas Precorte]]</f>
        <v>0</v>
      </c>
      <c r="AO123" s="287">
        <f>Tabla14[[#This Row],[Cajas por Personas2]]</f>
        <v>17.666666666666668</v>
      </c>
      <c r="AP123" s="288">
        <f>Tabla14[[#This Row],[Valor Embarque Pesona]]</f>
        <v>26500</v>
      </c>
      <c r="AQ123" s="295">
        <f>Tabla14[[#This Row],[Personas Precorte2]]</f>
        <v>12</v>
      </c>
      <c r="AR123" s="296">
        <f>Tabla14[[#This Row],[Valor Embarque Pesona3]]*Tabla14[[#This Row],[Perzona Primera]]</f>
        <v>318000</v>
      </c>
      <c r="AS123" s="287">
        <f>Tabla14[[#This Row],[Columna2]]</f>
        <v>0</v>
      </c>
      <c r="AT123" s="288">
        <f>Tabla14[[#This Row],[Columna1]]</f>
        <v>0</v>
      </c>
      <c r="AU123" s="302">
        <f>Tabla14[[#This Row],[Personas Intervienen]]</f>
        <v>0</v>
      </c>
      <c r="AV123" s="297">
        <f>Tabla14[[#This Row],[Valor Embarque Pesona5]]*Tabla14[[#This Row],[Presonas Segunda]]</f>
        <v>0</v>
      </c>
      <c r="AW123" s="287">
        <f>Tabla14[[#This Row],[Bolsas Por Personas]]</f>
        <v>6.6333333333333329</v>
      </c>
      <c r="AX123" s="288">
        <f>Tabla14[[#This Row],[Valor bolsas Pesona]]</f>
        <v>3316.6666666666665</v>
      </c>
      <c r="AY123" s="309">
        <f>Tabla14[[#This Row],[Personas13]]</f>
        <v>12</v>
      </c>
      <c r="AZ123" s="310">
        <f>Tabla14[[#This Row],[Valor bolsas Pesona2]]*Tabla14[[#This Row],[Personas Rechazo]]</f>
        <v>39800</v>
      </c>
      <c r="BA123" s="311">
        <f>+Tabla14[[#This Row],[Total Valor Segunda]]+Tabla14[[#This Row],[Total Valor Primera]]+Tabla14[[#This Row],[Total Valor Precorte]]</f>
        <v>318000</v>
      </c>
      <c r="BB123" s="292">
        <f>Tabla14[[#This Row],[Valor bolsas Pesona2]]+Tabla14[[#This Row],[Valor Embarque Pesona3]]</f>
        <v>29816.666666666668</v>
      </c>
      <c r="BC123" s="332">
        <v>32000</v>
      </c>
      <c r="BD123" s="292">
        <f>Tabla14[[#This Row],[VALOR GANADO]]-Tabla14[[#This Row],[REAJUSTADO]]</f>
        <v>-2183.3333333333321</v>
      </c>
      <c r="BE123" s="250">
        <f>Tabla14[[#This Row],[CUANTO SE REAJUSTA]]*Tabla14[[#This Row],[Personas Rechazo]]</f>
        <v>-26199.999999999985</v>
      </c>
      <c r="BF123" s="250">
        <f>Tabla14[[#This Row],[REAJUSTADO]]/25000</f>
        <v>1.28</v>
      </c>
      <c r="BG123" s="302">
        <f>Tabla14[[#This Row],[REAJUSTADO]]*Tabla14[[#This Row],[Personas Rechazo]]</f>
        <v>384000</v>
      </c>
      <c r="BH123" s="292" t="str">
        <f>Tabla14[[#This Row],[Finca]]</f>
        <v>Damaquiel</v>
      </c>
      <c r="BI123" s="250">
        <v>9</v>
      </c>
      <c r="BJ123" s="332">
        <f>Tabla14[[#This Row],[Numero de Ocacionales]]*Tabla14[[#This Row],[REAJUSTADO]]</f>
        <v>288000</v>
      </c>
      <c r="BK123" s="332"/>
      <c r="BL123" s="332">
        <v>30000</v>
      </c>
      <c r="BM123" s="332">
        <f>+Tabla14[[#This Row],[CUANTO SE REAJUSTA]]*3</f>
        <v>-6549.9999999999964</v>
      </c>
      <c r="BN123" s="334"/>
      <c r="BO123" s="334"/>
      <c r="BP123" s="334"/>
    </row>
    <row r="124" spans="3:68" hidden="1" x14ac:dyDescent="0.25">
      <c r="C124" s="274">
        <v>44714</v>
      </c>
      <c r="D124" s="507">
        <f>YEAR(Tabla14[[#This Row],[Fecha]])</f>
        <v>2022</v>
      </c>
      <c r="E124" s="313">
        <f>IF(Tabla14[[#This Row],[Fecha]]&gt;0,_xlfn.ISOWEEKNUM(Tabla14[[#This Row],[Fecha]]),0)</f>
        <v>22</v>
      </c>
      <c r="F124" s="283">
        <v>79</v>
      </c>
      <c r="G124" s="275" t="s">
        <v>157</v>
      </c>
      <c r="H124" s="325" t="str">
        <f>_xlfn.XLOOKUP(Tabla14[[#This Row],[Codigo Finca]],Tabla4[Codigo Finca],Tabla4[Nombre Finca],"")</f>
        <v>Pedrito</v>
      </c>
      <c r="I124" s="277">
        <f>_xlfn.XLOOKUP(Tabla14[[#This Row],[Codigo Finca]],Tabla4[Codigo Finca],Tabla4[Precio Caja],0)</f>
        <v>2100</v>
      </c>
      <c r="J124" s="277">
        <f>_xlfn.XLOOKUP(Tabla14[[#This Row],[Codigo Finca]],Tabla4[Codigo Finca],Tabla4[Precio Caja Segunda],0)</f>
        <v>1000</v>
      </c>
      <c r="K124" s="277">
        <f>_xlfn.XLOOKUP(Tabla14[[#This Row],[Codigo Finca]],Tabla4[Codigo Finca],Tabla4[Precio Rechazo],0)</f>
        <v>500</v>
      </c>
      <c r="L124" s="277">
        <f t="shared" si="115"/>
        <v>987</v>
      </c>
      <c r="M124" s="278">
        <f t="shared" si="116"/>
        <v>12.49367088607595</v>
      </c>
      <c r="N124" s="283"/>
      <c r="O124" s="279"/>
      <c r="P124" s="280">
        <f t="shared" si="117"/>
        <v>0</v>
      </c>
      <c r="Q124" s="281">
        <f t="shared" si="118"/>
        <v>0</v>
      </c>
      <c r="R124" s="282">
        <f t="shared" si="119"/>
        <v>0</v>
      </c>
      <c r="S124" s="283">
        <v>987</v>
      </c>
      <c r="T124" s="275">
        <v>7</v>
      </c>
      <c r="U124" s="280">
        <f t="shared" si="120"/>
        <v>79</v>
      </c>
      <c r="V124" s="281">
        <f t="shared" si="121"/>
        <v>11.285714285714286</v>
      </c>
      <c r="W124" s="282">
        <f t="shared" si="122"/>
        <v>23700</v>
      </c>
      <c r="X124" s="283"/>
      <c r="Y124" s="275"/>
      <c r="Z124" s="280">
        <f>Tabla14[[#This Row],[Cajas Segunda]]</f>
        <v>0</v>
      </c>
      <c r="AA124" s="281">
        <f t="shared" si="123"/>
        <v>0</v>
      </c>
      <c r="AB124" s="284">
        <f t="shared" si="124"/>
        <v>0</v>
      </c>
      <c r="AC124" s="285">
        <v>18.399999999999999</v>
      </c>
      <c r="AD124" s="286"/>
      <c r="AE124" s="286"/>
      <c r="AF124" s="286"/>
      <c r="AG124" s="286">
        <v>7</v>
      </c>
      <c r="AH124" s="280">
        <f t="shared" si="125"/>
        <v>18.399999999999999</v>
      </c>
      <c r="AI124" s="281">
        <f t="shared" si="126"/>
        <v>2.6285714285714286</v>
      </c>
      <c r="AJ124" s="282">
        <f t="shared" si="127"/>
        <v>1314.2857142857142</v>
      </c>
      <c r="AK124" s="287">
        <f>Tabla14[[#This Row],[Cajas por Personas]]</f>
        <v>0</v>
      </c>
      <c r="AL124" s="288">
        <f>Tabla14[[#This Row],[Valor Precorte Pesona]]</f>
        <v>0</v>
      </c>
      <c r="AM124" s="294">
        <f>Tabla14[[#This Row],[Personas Precorte]]</f>
        <v>0</v>
      </c>
      <c r="AN124" s="308">
        <f>Tabla14[[#This Row],[Valor Precorte Pesona Precorte]]*Tabla14[[#This Row],[Perzonas Precorte]]</f>
        <v>0</v>
      </c>
      <c r="AO124" s="287">
        <f>Tabla14[[#This Row],[Cajas por Personas2]]</f>
        <v>11.285714285714286</v>
      </c>
      <c r="AP124" s="288">
        <f>Tabla14[[#This Row],[Valor Embarque Pesona]]</f>
        <v>23700</v>
      </c>
      <c r="AQ124" s="295">
        <f>Tabla14[[#This Row],[Personas Precorte2]]</f>
        <v>7</v>
      </c>
      <c r="AR124" s="296">
        <f>Tabla14[[#This Row],[Valor Embarque Pesona3]]*Tabla14[[#This Row],[Perzona Primera]]</f>
        <v>165900</v>
      </c>
      <c r="AS124" s="287">
        <f>Tabla14[[#This Row],[Columna2]]</f>
        <v>0</v>
      </c>
      <c r="AT124" s="288">
        <f>Tabla14[[#This Row],[Columna1]]</f>
        <v>0</v>
      </c>
      <c r="AU124" s="302">
        <f>Tabla14[[#This Row],[Personas Intervienen]]</f>
        <v>0</v>
      </c>
      <c r="AV124" s="297">
        <f>Tabla14[[#This Row],[Valor Embarque Pesona5]]*Tabla14[[#This Row],[Presonas Segunda]]</f>
        <v>0</v>
      </c>
      <c r="AW124" s="287">
        <f>Tabla14[[#This Row],[Bolsas Por Personas]]</f>
        <v>2.6285714285714286</v>
      </c>
      <c r="AX124" s="288">
        <f>Tabla14[[#This Row],[Valor bolsas Pesona]]</f>
        <v>1314.2857142857142</v>
      </c>
      <c r="AY124" s="309">
        <f>Tabla14[[#This Row],[Personas13]]</f>
        <v>7</v>
      </c>
      <c r="AZ124" s="310">
        <f>Tabla14[[#This Row],[Valor bolsas Pesona2]]*Tabla14[[#This Row],[Personas Rechazo]]</f>
        <v>9200</v>
      </c>
      <c r="BA124" s="311">
        <f>+Tabla14[[#This Row],[Total Valor Segunda]]+Tabla14[[#This Row],[Total Valor Primera]]+Tabla14[[#This Row],[Total Valor Precorte]]</f>
        <v>165900</v>
      </c>
      <c r="BB124" s="292">
        <f>Tabla14[[#This Row],[Valor bolsas Pesona2]]+Tabla14[[#This Row],[Valor Embarque Pesona3]]</f>
        <v>25014.285714285714</v>
      </c>
      <c r="BC124" s="332">
        <v>28000</v>
      </c>
      <c r="BD124" s="292">
        <f>Tabla14[[#This Row],[VALOR GANADO]]-Tabla14[[#This Row],[REAJUSTADO]]</f>
        <v>-2985.7142857142862</v>
      </c>
      <c r="BE124" s="250">
        <f>Tabla14[[#This Row],[CUANTO SE REAJUSTA]]*Tabla14[[#This Row],[Personas Rechazo]]</f>
        <v>-20900.000000000004</v>
      </c>
      <c r="BF124" s="250">
        <f>Tabla14[[#This Row],[REAJUSTADO]]/25000</f>
        <v>1.1200000000000001</v>
      </c>
      <c r="BG124" s="302">
        <f>Tabla14[[#This Row],[REAJUSTADO]]*Tabla14[[#This Row],[Personas Rechazo]]</f>
        <v>196000</v>
      </c>
      <c r="BH124" s="292" t="str">
        <f>Tabla14[[#This Row],[Finca]]</f>
        <v>Pedrito</v>
      </c>
      <c r="BJ124" s="332">
        <f>Tabla14[[#This Row],[Numero de Ocacionales]]*Tabla14[[#This Row],[REAJUSTADO]]</f>
        <v>0</v>
      </c>
      <c r="BK124" s="332"/>
      <c r="BL124" s="332">
        <v>0</v>
      </c>
      <c r="BM124" s="332">
        <f>+Tabla14[[#This Row],[CUANTO SE REAJUSTA]]*3</f>
        <v>-8957.1428571428587</v>
      </c>
      <c r="BN124" s="334"/>
      <c r="BO124" s="334"/>
      <c r="BP124" s="334"/>
    </row>
    <row r="125" spans="3:68" hidden="1" x14ac:dyDescent="0.25">
      <c r="C125" s="274">
        <v>44718</v>
      </c>
      <c r="D125" s="507">
        <f>YEAR(Tabla14[[#This Row],[Fecha]])</f>
        <v>2022</v>
      </c>
      <c r="E125" s="313">
        <f>IF(Tabla14[[#This Row],[Fecha]]&gt;0,_xlfn.ISOWEEKNUM(Tabla14[[#This Row],[Fecha]]),0)</f>
        <v>23</v>
      </c>
      <c r="F125" s="283">
        <v>54</v>
      </c>
      <c r="G125" s="275" t="s">
        <v>153</v>
      </c>
      <c r="H125" s="325" t="str">
        <f>_xlfn.XLOOKUP(Tabla14[[#This Row],[Codigo Finca]],Tabla4[Codigo Finca],Tabla4[Nombre Finca],"")</f>
        <v>Uveros</v>
      </c>
      <c r="I125" s="277">
        <f>_xlfn.XLOOKUP(Tabla14[[#This Row],[Codigo Finca]],Tabla4[Codigo Finca],Tabla4[Precio Caja],0)</f>
        <v>1500</v>
      </c>
      <c r="J125" s="277">
        <f>_xlfn.XLOOKUP(Tabla14[[#This Row],[Codigo Finca]],Tabla4[Codigo Finca],Tabla4[Precio Caja Segunda],0)</f>
        <v>1000</v>
      </c>
      <c r="K125" s="277">
        <f>_xlfn.XLOOKUP(Tabla14[[#This Row],[Codigo Finca]],Tabla4[Codigo Finca],Tabla4[Precio Rechazo],0)</f>
        <v>500</v>
      </c>
      <c r="L125" s="277">
        <f t="shared" ref="L125:L130" si="128">S125+N125</f>
        <v>281</v>
      </c>
      <c r="M125" s="278">
        <f t="shared" ref="M125:M130" si="129">IF(F125&gt;0,L125/F125,0)</f>
        <v>5.2037037037037033</v>
      </c>
      <c r="N125" s="283"/>
      <c r="O125" s="279"/>
      <c r="P125" s="280">
        <f t="shared" ref="P125:P130" si="130">IF(N125&gt;0,(N125/M125)/2,0)</f>
        <v>0</v>
      </c>
      <c r="Q125" s="281">
        <f t="shared" ref="Q125:Q130" si="131">IF(O125&gt;0,P125/O125,0)</f>
        <v>0</v>
      </c>
      <c r="R125" s="282">
        <f t="shared" ref="R125:R130" si="132">IF(I125&gt;0,Q125*I125,)</f>
        <v>0</v>
      </c>
      <c r="S125" s="283">
        <v>281</v>
      </c>
      <c r="T125" s="275">
        <v>5</v>
      </c>
      <c r="U125" s="280">
        <f t="shared" ref="U125:U130" si="133">F125-P125</f>
        <v>54</v>
      </c>
      <c r="V125" s="281">
        <f t="shared" ref="V125:V130" si="134">IF(T125&gt;0,U125/T125,0)</f>
        <v>10.8</v>
      </c>
      <c r="W125" s="282">
        <f t="shared" ref="W125:W130" si="135">IF(T125&gt;0,(U125*I125)/T125,0)</f>
        <v>16200</v>
      </c>
      <c r="X125" s="283"/>
      <c r="Y125" s="275"/>
      <c r="Z125" s="280">
        <f>Tabla14[[#This Row],[Cajas Segunda]]</f>
        <v>0</v>
      </c>
      <c r="AA125" s="281">
        <f t="shared" ref="AA125:AA130" si="136">IF(Y125&gt;0,Z125/Y125,0)</f>
        <v>0</v>
      </c>
      <c r="AB125" s="284">
        <f t="shared" ref="AB125:AB130" si="137">IF(Y125&gt;0,(Z125*J125)/Y125,0)</f>
        <v>0</v>
      </c>
      <c r="AC125" s="285">
        <v>17</v>
      </c>
      <c r="AD125" s="286"/>
      <c r="AE125" s="286"/>
      <c r="AF125" s="286"/>
      <c r="AG125" s="286">
        <v>5</v>
      </c>
      <c r="AH125" s="280">
        <f t="shared" ref="AH125:AH130" si="138">IF(AND(AC125&gt;0,AE125=0,AF125=0,AD125=0),AC125,IF(AND(AC125=0,AE125&gt;0,AF125&gt;0,AD125=0),AE125*AF125/25,IF(AND(AC125=0,AE125=0,AF125=0,AD125&gt;0),AD125/25,0)))</f>
        <v>17</v>
      </c>
      <c r="AI125" s="281">
        <f t="shared" ref="AI125:AI130" si="139">IF(AG125&gt;0,AH125/AG125,0)</f>
        <v>3.4</v>
      </c>
      <c r="AJ125" s="282">
        <f t="shared" ref="AJ125:AJ130" si="140">AI125*K125</f>
        <v>1700</v>
      </c>
      <c r="AK125" s="287">
        <f>Tabla14[[#This Row],[Cajas por Personas]]</f>
        <v>0</v>
      </c>
      <c r="AL125" s="288">
        <f>Tabla14[[#This Row],[Valor Precorte Pesona]]</f>
        <v>0</v>
      </c>
      <c r="AM125" s="294">
        <f>Tabla14[[#This Row],[Personas Precorte]]</f>
        <v>0</v>
      </c>
      <c r="AN125" s="308">
        <f>Tabla14[[#This Row],[Valor Precorte Pesona Precorte]]*Tabla14[[#This Row],[Perzonas Precorte]]</f>
        <v>0</v>
      </c>
      <c r="AO125" s="287">
        <f>Tabla14[[#This Row],[Cajas por Personas2]]</f>
        <v>10.8</v>
      </c>
      <c r="AP125" s="288">
        <f>Tabla14[[#This Row],[Valor Embarque Pesona]]</f>
        <v>16200</v>
      </c>
      <c r="AQ125" s="295">
        <f>Tabla14[[#This Row],[Personas Precorte2]]</f>
        <v>5</v>
      </c>
      <c r="AR125" s="296">
        <f>Tabla14[[#This Row],[Valor Embarque Pesona3]]*Tabla14[[#This Row],[Perzona Primera]]</f>
        <v>81000</v>
      </c>
      <c r="AS125" s="287">
        <f>Tabla14[[#This Row],[Columna2]]</f>
        <v>0</v>
      </c>
      <c r="AT125" s="288">
        <f>Tabla14[[#This Row],[Columna1]]</f>
        <v>0</v>
      </c>
      <c r="AU125" s="302">
        <f>Tabla14[[#This Row],[Personas Intervienen]]</f>
        <v>0</v>
      </c>
      <c r="AV125" s="297">
        <f>Tabla14[[#This Row],[Valor Embarque Pesona5]]*Tabla14[[#This Row],[Presonas Segunda]]</f>
        <v>0</v>
      </c>
      <c r="AW125" s="287">
        <f>Tabla14[[#This Row],[Bolsas Por Personas]]</f>
        <v>3.4</v>
      </c>
      <c r="AX125" s="288">
        <f>Tabla14[[#This Row],[Valor bolsas Pesona]]</f>
        <v>1700</v>
      </c>
      <c r="AY125" s="309">
        <f>Tabla14[[#This Row],[Personas13]]</f>
        <v>5</v>
      </c>
      <c r="AZ125" s="310">
        <f>Tabla14[[#This Row],[Valor bolsas Pesona2]]*Tabla14[[#This Row],[Personas Rechazo]]</f>
        <v>8500</v>
      </c>
      <c r="BA125" s="311">
        <f>+Tabla14[[#This Row],[Total Valor Segunda]]+Tabla14[[#This Row],[Total Valor Primera]]+Tabla14[[#This Row],[Total Valor Precorte]]</f>
        <v>81000</v>
      </c>
      <c r="BB125" s="292">
        <f>Tabla14[[#This Row],[Valor bolsas Pesona2]]+Tabla14[[#This Row],[Valor Embarque Pesona3]]</f>
        <v>17900</v>
      </c>
      <c r="BC125" s="332">
        <v>28000</v>
      </c>
      <c r="BD125" s="292">
        <f>Tabla14[[#This Row],[VALOR GANADO]]-Tabla14[[#This Row],[REAJUSTADO]]</f>
        <v>-10100</v>
      </c>
      <c r="BE125" s="250">
        <f>Tabla14[[#This Row],[CUANTO SE REAJUSTA]]*Tabla14[[#This Row],[Personas Rechazo]]</f>
        <v>-50500</v>
      </c>
      <c r="BF125" s="250">
        <f>Tabla14[[#This Row],[REAJUSTADO]]/25000</f>
        <v>1.1200000000000001</v>
      </c>
      <c r="BG125" s="302">
        <f>Tabla14[[#This Row],[REAJUSTADO]]*Tabla14[[#This Row],[Personas Rechazo]]</f>
        <v>140000</v>
      </c>
      <c r="BH125" s="292" t="str">
        <f>Tabla14[[#This Row],[Finca]]</f>
        <v>Uveros</v>
      </c>
      <c r="BI125" s="250">
        <v>5</v>
      </c>
      <c r="BJ125" s="332">
        <f>Tabla14[[#This Row],[Numero de Ocacionales]]*Tabla14[[#This Row],[REAJUSTADO]]</f>
        <v>140000</v>
      </c>
      <c r="BK125" s="332"/>
      <c r="BL125" s="332">
        <v>30000</v>
      </c>
      <c r="BM125" s="332">
        <f>+Tabla14[[#This Row],[CUANTO SE REAJUSTA]]*3</f>
        <v>-30300</v>
      </c>
      <c r="BN125" s="334"/>
      <c r="BO125" s="334"/>
      <c r="BP125" s="334"/>
    </row>
    <row r="126" spans="3:68" hidden="1" x14ac:dyDescent="0.25">
      <c r="C126" s="274">
        <v>44718</v>
      </c>
      <c r="D126" s="507">
        <f>YEAR(Tabla14[[#This Row],[Fecha]])</f>
        <v>2022</v>
      </c>
      <c r="E126" s="313">
        <f>IF(Tabla14[[#This Row],[Fecha]]&gt;0,_xlfn.ISOWEEKNUM(Tabla14[[#This Row],[Fecha]]),0)</f>
        <v>23</v>
      </c>
      <c r="F126" s="283">
        <v>263</v>
      </c>
      <c r="G126" s="275" t="s">
        <v>157</v>
      </c>
      <c r="H126" s="325" t="str">
        <f>_xlfn.XLOOKUP(Tabla14[[#This Row],[Codigo Finca]],Tabla4[Codigo Finca],Tabla4[Nombre Finca],"")</f>
        <v>Pedrito</v>
      </c>
      <c r="I126" s="277">
        <f>_xlfn.XLOOKUP(Tabla14[[#This Row],[Codigo Finca]],Tabla4[Codigo Finca],Tabla4[Precio Caja],0)</f>
        <v>2100</v>
      </c>
      <c r="J126" s="277">
        <f>_xlfn.XLOOKUP(Tabla14[[#This Row],[Codigo Finca]],Tabla4[Codigo Finca],Tabla4[Precio Caja Segunda],0)</f>
        <v>1000</v>
      </c>
      <c r="K126" s="277">
        <f>_xlfn.XLOOKUP(Tabla14[[#This Row],[Codigo Finca]],Tabla4[Codigo Finca],Tabla4[Precio Rechazo],0)</f>
        <v>500</v>
      </c>
      <c r="L126" s="277">
        <f t="shared" si="128"/>
        <v>739</v>
      </c>
      <c r="M126" s="278">
        <f t="shared" si="129"/>
        <v>2.8098859315589353</v>
      </c>
      <c r="N126" s="283"/>
      <c r="O126" s="279"/>
      <c r="P126" s="280">
        <f t="shared" si="130"/>
        <v>0</v>
      </c>
      <c r="Q126" s="281">
        <f t="shared" si="131"/>
        <v>0</v>
      </c>
      <c r="R126" s="282">
        <f t="shared" si="132"/>
        <v>0</v>
      </c>
      <c r="S126" s="283">
        <v>739</v>
      </c>
      <c r="T126" s="275">
        <v>16</v>
      </c>
      <c r="U126" s="280">
        <f t="shared" si="133"/>
        <v>263</v>
      </c>
      <c r="V126" s="281">
        <f t="shared" si="134"/>
        <v>16.4375</v>
      </c>
      <c r="W126" s="282">
        <f t="shared" si="135"/>
        <v>34518.75</v>
      </c>
      <c r="X126" s="283"/>
      <c r="Y126" s="275"/>
      <c r="Z126" s="280">
        <f>Tabla14[[#This Row],[Cajas Segunda]]</f>
        <v>0</v>
      </c>
      <c r="AA126" s="281">
        <f t="shared" si="136"/>
        <v>0</v>
      </c>
      <c r="AB126" s="284">
        <f t="shared" si="137"/>
        <v>0</v>
      </c>
      <c r="AC126" s="285">
        <v>53.2</v>
      </c>
      <c r="AD126" s="286"/>
      <c r="AE126" s="286"/>
      <c r="AF126" s="286"/>
      <c r="AG126" s="286">
        <v>16</v>
      </c>
      <c r="AH126" s="280">
        <f t="shared" si="138"/>
        <v>53.2</v>
      </c>
      <c r="AI126" s="281">
        <f t="shared" si="139"/>
        <v>3.3250000000000002</v>
      </c>
      <c r="AJ126" s="282">
        <f t="shared" si="140"/>
        <v>1662.5</v>
      </c>
      <c r="AK126" s="287">
        <f>Tabla14[[#This Row],[Cajas por Personas]]</f>
        <v>0</v>
      </c>
      <c r="AL126" s="288">
        <f>Tabla14[[#This Row],[Valor Precorte Pesona]]</f>
        <v>0</v>
      </c>
      <c r="AM126" s="294">
        <f>Tabla14[[#This Row],[Personas Precorte]]</f>
        <v>0</v>
      </c>
      <c r="AN126" s="308">
        <f>Tabla14[[#This Row],[Valor Precorte Pesona Precorte]]*Tabla14[[#This Row],[Perzonas Precorte]]</f>
        <v>0</v>
      </c>
      <c r="AO126" s="287">
        <f>Tabla14[[#This Row],[Cajas por Personas2]]</f>
        <v>16.4375</v>
      </c>
      <c r="AP126" s="288">
        <f>Tabla14[[#This Row],[Valor Embarque Pesona]]</f>
        <v>34518.75</v>
      </c>
      <c r="AQ126" s="295">
        <f>Tabla14[[#This Row],[Personas Precorte2]]</f>
        <v>16</v>
      </c>
      <c r="AR126" s="296">
        <f>Tabla14[[#This Row],[Valor Embarque Pesona3]]*Tabla14[[#This Row],[Perzona Primera]]</f>
        <v>552300</v>
      </c>
      <c r="AS126" s="287">
        <f>Tabla14[[#This Row],[Columna2]]</f>
        <v>0</v>
      </c>
      <c r="AT126" s="288">
        <f>Tabla14[[#This Row],[Columna1]]</f>
        <v>0</v>
      </c>
      <c r="AU126" s="302">
        <f>Tabla14[[#This Row],[Personas Intervienen]]</f>
        <v>0</v>
      </c>
      <c r="AV126" s="297">
        <f>Tabla14[[#This Row],[Valor Embarque Pesona5]]*Tabla14[[#This Row],[Presonas Segunda]]</f>
        <v>0</v>
      </c>
      <c r="AW126" s="287">
        <f>Tabla14[[#This Row],[Bolsas Por Personas]]</f>
        <v>3.3250000000000002</v>
      </c>
      <c r="AX126" s="288">
        <f>Tabla14[[#This Row],[Valor bolsas Pesona]]</f>
        <v>1662.5</v>
      </c>
      <c r="AY126" s="309">
        <f>Tabla14[[#This Row],[Personas13]]</f>
        <v>16</v>
      </c>
      <c r="AZ126" s="310">
        <f>Tabla14[[#This Row],[Valor bolsas Pesona2]]*Tabla14[[#This Row],[Personas Rechazo]]</f>
        <v>26600</v>
      </c>
      <c r="BA126" s="311">
        <f>+Tabla14[[#This Row],[Total Valor Segunda]]+Tabla14[[#This Row],[Total Valor Primera]]+Tabla14[[#This Row],[Total Valor Precorte]]</f>
        <v>552300</v>
      </c>
      <c r="BB126" s="292">
        <f>Tabla14[[#This Row],[Valor bolsas Pesona2]]+Tabla14[[#This Row],[Valor Embarque Pesona3]]</f>
        <v>36181.25</v>
      </c>
      <c r="BC126" s="332">
        <v>38000</v>
      </c>
      <c r="BD126" s="292">
        <f>Tabla14[[#This Row],[VALOR GANADO]]-Tabla14[[#This Row],[REAJUSTADO]]</f>
        <v>-1818.75</v>
      </c>
      <c r="BE126" s="250">
        <f>Tabla14[[#This Row],[CUANTO SE REAJUSTA]]*Tabla14[[#This Row],[Personas Rechazo]]</f>
        <v>-29100</v>
      </c>
      <c r="BF126" s="250">
        <f>Tabla14[[#This Row],[REAJUSTADO]]/25000</f>
        <v>1.52</v>
      </c>
      <c r="BG126" s="302">
        <f>Tabla14[[#This Row],[REAJUSTADO]]*Tabla14[[#This Row],[Personas Rechazo]]</f>
        <v>608000</v>
      </c>
      <c r="BH126" s="292" t="str">
        <f>Tabla14[[#This Row],[Finca]]</f>
        <v>Pedrito</v>
      </c>
      <c r="BI126" s="250">
        <v>6</v>
      </c>
      <c r="BJ126" s="332">
        <f>Tabla14[[#This Row],[Numero de Ocacionales]]*Tabla14[[#This Row],[REAJUSTADO]]</f>
        <v>228000</v>
      </c>
      <c r="BK126" s="332"/>
      <c r="BL126" s="332">
        <v>30000</v>
      </c>
      <c r="BM126" s="332">
        <f>+Tabla14[[#This Row],[CUANTO SE REAJUSTA]]*3</f>
        <v>-5456.25</v>
      </c>
      <c r="BN126" s="334"/>
      <c r="BO126" s="334"/>
      <c r="BP126" s="334"/>
    </row>
    <row r="127" spans="3:68" hidden="1" x14ac:dyDescent="0.25">
      <c r="C127" s="274">
        <v>44719</v>
      </c>
      <c r="D127" s="507">
        <f>YEAR(Tabla14[[#This Row],[Fecha]])</f>
        <v>2022</v>
      </c>
      <c r="E127" s="313">
        <f>IF(Tabla14[[#This Row],[Fecha]]&gt;0,_xlfn.ISOWEEKNUM(Tabla14[[#This Row],[Fecha]]),0)</f>
        <v>23</v>
      </c>
      <c r="F127" s="283">
        <v>287</v>
      </c>
      <c r="G127" s="275" t="s">
        <v>152</v>
      </c>
      <c r="H127" s="325" t="str">
        <f>_xlfn.XLOOKUP(Tabla14[[#This Row],[Codigo Finca]],Tabla4[Codigo Finca],Tabla4[Nombre Finca],"")</f>
        <v>San Pedro</v>
      </c>
      <c r="I127" s="277">
        <f>_xlfn.XLOOKUP(Tabla14[[#This Row],[Codigo Finca]],Tabla4[Codigo Finca],Tabla4[Precio Caja],0)</f>
        <v>1500</v>
      </c>
      <c r="J127" s="277">
        <f>_xlfn.XLOOKUP(Tabla14[[#This Row],[Codigo Finca]],Tabla4[Codigo Finca],Tabla4[Precio Caja Segunda],0)</f>
        <v>1000</v>
      </c>
      <c r="K127" s="277">
        <f>_xlfn.XLOOKUP(Tabla14[[#This Row],[Codigo Finca]],Tabla4[Codigo Finca],Tabla4[Precio Rechazo],0)</f>
        <v>500</v>
      </c>
      <c r="L127" s="277">
        <f t="shared" si="128"/>
        <v>1142</v>
      </c>
      <c r="M127" s="278">
        <f t="shared" si="129"/>
        <v>3.9790940766550524</v>
      </c>
      <c r="N127" s="283"/>
      <c r="O127" s="279"/>
      <c r="P127" s="280">
        <f t="shared" si="130"/>
        <v>0</v>
      </c>
      <c r="Q127" s="281">
        <f t="shared" si="131"/>
        <v>0</v>
      </c>
      <c r="R127" s="282">
        <f t="shared" si="132"/>
        <v>0</v>
      </c>
      <c r="S127" s="283">
        <v>1142</v>
      </c>
      <c r="T127" s="275">
        <v>19</v>
      </c>
      <c r="U127" s="280">
        <f t="shared" si="133"/>
        <v>287</v>
      </c>
      <c r="V127" s="281">
        <f t="shared" si="134"/>
        <v>15.105263157894736</v>
      </c>
      <c r="W127" s="282">
        <f t="shared" si="135"/>
        <v>22657.894736842107</v>
      </c>
      <c r="X127" s="283"/>
      <c r="Y127" s="275"/>
      <c r="Z127" s="280">
        <f>Tabla14[[#This Row],[Cajas Segunda]]</f>
        <v>0</v>
      </c>
      <c r="AA127" s="281">
        <f t="shared" si="136"/>
        <v>0</v>
      </c>
      <c r="AB127" s="284">
        <f t="shared" si="137"/>
        <v>0</v>
      </c>
      <c r="AC127" s="285">
        <f>119+13.6</f>
        <v>132.6</v>
      </c>
      <c r="AD127" s="286"/>
      <c r="AE127" s="286"/>
      <c r="AF127" s="286"/>
      <c r="AG127" s="286">
        <v>19</v>
      </c>
      <c r="AH127" s="280">
        <f t="shared" si="138"/>
        <v>132.6</v>
      </c>
      <c r="AI127" s="281">
        <f t="shared" si="139"/>
        <v>6.9789473684210526</v>
      </c>
      <c r="AJ127" s="282">
        <f t="shared" si="140"/>
        <v>3489.4736842105262</v>
      </c>
      <c r="AK127" s="287">
        <f>Tabla14[[#This Row],[Cajas por Personas]]</f>
        <v>0</v>
      </c>
      <c r="AL127" s="288">
        <f>Tabla14[[#This Row],[Valor Precorte Pesona]]</f>
        <v>0</v>
      </c>
      <c r="AM127" s="294">
        <f>Tabla14[[#This Row],[Personas Precorte]]</f>
        <v>0</v>
      </c>
      <c r="AN127" s="308">
        <f>Tabla14[[#This Row],[Valor Precorte Pesona Precorte]]*Tabla14[[#This Row],[Perzonas Precorte]]</f>
        <v>0</v>
      </c>
      <c r="AO127" s="287">
        <f>Tabla14[[#This Row],[Cajas por Personas2]]</f>
        <v>15.105263157894736</v>
      </c>
      <c r="AP127" s="288">
        <f>Tabla14[[#This Row],[Valor Embarque Pesona]]</f>
        <v>22657.894736842107</v>
      </c>
      <c r="AQ127" s="295">
        <f>Tabla14[[#This Row],[Personas Precorte2]]</f>
        <v>19</v>
      </c>
      <c r="AR127" s="296">
        <f>Tabla14[[#This Row],[Valor Embarque Pesona3]]*Tabla14[[#This Row],[Perzona Primera]]</f>
        <v>430500</v>
      </c>
      <c r="AS127" s="287">
        <f>Tabla14[[#This Row],[Columna2]]</f>
        <v>0</v>
      </c>
      <c r="AT127" s="288">
        <f>Tabla14[[#This Row],[Columna1]]</f>
        <v>0</v>
      </c>
      <c r="AU127" s="302">
        <f>Tabla14[[#This Row],[Personas Intervienen]]</f>
        <v>0</v>
      </c>
      <c r="AV127" s="297">
        <f>Tabla14[[#This Row],[Valor Embarque Pesona5]]*Tabla14[[#This Row],[Presonas Segunda]]</f>
        <v>0</v>
      </c>
      <c r="AW127" s="287">
        <f>Tabla14[[#This Row],[Bolsas Por Personas]]</f>
        <v>6.9789473684210526</v>
      </c>
      <c r="AX127" s="288">
        <f>Tabla14[[#This Row],[Valor bolsas Pesona]]</f>
        <v>3489.4736842105262</v>
      </c>
      <c r="AY127" s="309">
        <f>Tabla14[[#This Row],[Personas13]]</f>
        <v>19</v>
      </c>
      <c r="AZ127" s="310">
        <f>Tabla14[[#This Row],[Valor bolsas Pesona2]]*Tabla14[[#This Row],[Personas Rechazo]]</f>
        <v>66300</v>
      </c>
      <c r="BA127" s="311">
        <f>+Tabla14[[#This Row],[Total Valor Segunda]]+Tabla14[[#This Row],[Total Valor Primera]]+Tabla14[[#This Row],[Total Valor Precorte]]</f>
        <v>430500</v>
      </c>
      <c r="BB127" s="292">
        <f>Tabla14[[#This Row],[Valor bolsas Pesona2]]+Tabla14[[#This Row],[Valor Embarque Pesona3]]</f>
        <v>26147.368421052633</v>
      </c>
      <c r="BC127" s="332">
        <v>30000</v>
      </c>
      <c r="BD127" s="292">
        <f>Tabla14[[#This Row],[VALOR GANADO]]-Tabla14[[#This Row],[REAJUSTADO]]</f>
        <v>-3852.6315789473665</v>
      </c>
      <c r="BE127" s="250">
        <f>Tabla14[[#This Row],[CUANTO SE REAJUSTA]]*Tabla14[[#This Row],[Personas Rechazo]]</f>
        <v>-73199.999999999971</v>
      </c>
      <c r="BF127" s="250">
        <f>Tabla14[[#This Row],[REAJUSTADO]]/25000</f>
        <v>1.2</v>
      </c>
      <c r="BG127" s="302">
        <f>Tabla14[[#This Row],[REAJUSTADO]]*Tabla14[[#This Row],[Personas Rechazo]]</f>
        <v>570000</v>
      </c>
      <c r="BH127" s="292" t="str">
        <f>Tabla14[[#This Row],[Finca]]</f>
        <v>San Pedro</v>
      </c>
      <c r="BI127" s="250">
        <v>15</v>
      </c>
      <c r="BJ127" s="332">
        <f>Tabla14[[#This Row],[Numero de Ocacionales]]*Tabla14[[#This Row],[REAJUSTADO]]</f>
        <v>450000</v>
      </c>
      <c r="BK127" s="332"/>
      <c r="BL127" s="332">
        <v>30000</v>
      </c>
      <c r="BM127" s="332">
        <f>+Tabla14[[#This Row],[CUANTO SE REAJUSTA]]*3</f>
        <v>-11557.8947368421</v>
      </c>
      <c r="BN127" s="334"/>
      <c r="BO127" s="334"/>
      <c r="BP127" s="334"/>
    </row>
    <row r="128" spans="3:68" hidden="1" x14ac:dyDescent="0.25">
      <c r="C128" s="274">
        <v>44719</v>
      </c>
      <c r="D128" s="507">
        <f>YEAR(Tabla14[[#This Row],[Fecha]])</f>
        <v>2022</v>
      </c>
      <c r="E128" s="313">
        <f>IF(Tabla14[[#This Row],[Fecha]]&gt;0,_xlfn.ISOWEEKNUM(Tabla14[[#This Row],[Fecha]]),0)</f>
        <v>23</v>
      </c>
      <c r="F128" s="283">
        <v>126</v>
      </c>
      <c r="G128" s="275" t="s">
        <v>155</v>
      </c>
      <c r="H128" s="325" t="str">
        <f>_xlfn.XLOOKUP(Tabla14[[#This Row],[Codigo Finca]],Tabla4[Codigo Finca],Tabla4[Nombre Finca],"")</f>
        <v>Damaquiel</v>
      </c>
      <c r="I128" s="277">
        <f>_xlfn.XLOOKUP(Tabla14[[#This Row],[Codigo Finca]],Tabla4[Codigo Finca],Tabla4[Precio Caja],0)</f>
        <v>1500</v>
      </c>
      <c r="J128" s="277">
        <f>_xlfn.XLOOKUP(Tabla14[[#This Row],[Codigo Finca]],Tabla4[Codigo Finca],Tabla4[Precio Caja Segunda],0)</f>
        <v>1000</v>
      </c>
      <c r="K128" s="277">
        <f>_xlfn.XLOOKUP(Tabla14[[#This Row],[Codigo Finca]],Tabla4[Codigo Finca],Tabla4[Precio Rechazo],0)</f>
        <v>500</v>
      </c>
      <c r="L128" s="277">
        <f t="shared" si="128"/>
        <v>534</v>
      </c>
      <c r="M128" s="278">
        <f t="shared" si="129"/>
        <v>4.2380952380952381</v>
      </c>
      <c r="N128" s="283"/>
      <c r="O128" s="279"/>
      <c r="P128" s="280">
        <f t="shared" si="130"/>
        <v>0</v>
      </c>
      <c r="Q128" s="281">
        <f t="shared" si="131"/>
        <v>0</v>
      </c>
      <c r="R128" s="282">
        <f t="shared" si="132"/>
        <v>0</v>
      </c>
      <c r="S128" s="283">
        <v>534</v>
      </c>
      <c r="T128" s="275">
        <v>10</v>
      </c>
      <c r="U128" s="280">
        <f t="shared" si="133"/>
        <v>126</v>
      </c>
      <c r="V128" s="281">
        <f t="shared" si="134"/>
        <v>12.6</v>
      </c>
      <c r="W128" s="282">
        <f t="shared" si="135"/>
        <v>18900</v>
      </c>
      <c r="X128" s="283"/>
      <c r="Y128" s="275"/>
      <c r="Z128" s="280">
        <f>Tabla14[[#This Row],[Cajas Segunda]]</f>
        <v>0</v>
      </c>
      <c r="AA128" s="281">
        <f t="shared" si="136"/>
        <v>0</v>
      </c>
      <c r="AB128" s="284">
        <f t="shared" si="137"/>
        <v>0</v>
      </c>
      <c r="AC128" s="285">
        <f>32+30.6</f>
        <v>62.6</v>
      </c>
      <c r="AD128" s="286"/>
      <c r="AE128" s="286"/>
      <c r="AF128" s="286"/>
      <c r="AG128" s="286">
        <v>10</v>
      </c>
      <c r="AH128" s="280">
        <f t="shared" si="138"/>
        <v>62.6</v>
      </c>
      <c r="AI128" s="281">
        <f t="shared" si="139"/>
        <v>6.26</v>
      </c>
      <c r="AJ128" s="282">
        <f t="shared" si="140"/>
        <v>3130</v>
      </c>
      <c r="AK128" s="287">
        <f>Tabla14[[#This Row],[Cajas por Personas]]</f>
        <v>0</v>
      </c>
      <c r="AL128" s="288">
        <f>Tabla14[[#This Row],[Valor Precorte Pesona]]</f>
        <v>0</v>
      </c>
      <c r="AM128" s="294">
        <f>Tabla14[[#This Row],[Personas Precorte]]</f>
        <v>0</v>
      </c>
      <c r="AN128" s="308">
        <f>Tabla14[[#This Row],[Valor Precorte Pesona Precorte]]*Tabla14[[#This Row],[Perzonas Precorte]]</f>
        <v>0</v>
      </c>
      <c r="AO128" s="287">
        <f>Tabla14[[#This Row],[Cajas por Personas2]]</f>
        <v>12.6</v>
      </c>
      <c r="AP128" s="288">
        <f>Tabla14[[#This Row],[Valor Embarque Pesona]]</f>
        <v>18900</v>
      </c>
      <c r="AQ128" s="295">
        <f>Tabla14[[#This Row],[Personas Precorte2]]</f>
        <v>10</v>
      </c>
      <c r="AR128" s="296">
        <f>Tabla14[[#This Row],[Valor Embarque Pesona3]]*Tabla14[[#This Row],[Perzona Primera]]</f>
        <v>189000</v>
      </c>
      <c r="AS128" s="287">
        <f>Tabla14[[#This Row],[Columna2]]</f>
        <v>0</v>
      </c>
      <c r="AT128" s="288">
        <f>Tabla14[[#This Row],[Columna1]]</f>
        <v>0</v>
      </c>
      <c r="AU128" s="302">
        <f>Tabla14[[#This Row],[Personas Intervienen]]</f>
        <v>0</v>
      </c>
      <c r="AV128" s="297">
        <f>Tabla14[[#This Row],[Valor Embarque Pesona5]]*Tabla14[[#This Row],[Presonas Segunda]]</f>
        <v>0</v>
      </c>
      <c r="AW128" s="287">
        <f>Tabla14[[#This Row],[Bolsas Por Personas]]</f>
        <v>6.26</v>
      </c>
      <c r="AX128" s="288">
        <f>Tabla14[[#This Row],[Valor bolsas Pesona]]</f>
        <v>3130</v>
      </c>
      <c r="AY128" s="309">
        <f>Tabla14[[#This Row],[Personas13]]</f>
        <v>10</v>
      </c>
      <c r="AZ128" s="310">
        <f>Tabla14[[#This Row],[Valor bolsas Pesona2]]*Tabla14[[#This Row],[Personas Rechazo]]</f>
        <v>31300</v>
      </c>
      <c r="BA128" s="311">
        <f>+Tabla14[[#This Row],[Total Valor Segunda]]+Tabla14[[#This Row],[Total Valor Primera]]+Tabla14[[#This Row],[Total Valor Precorte]]</f>
        <v>189000</v>
      </c>
      <c r="BB128" s="292">
        <f>Tabla14[[#This Row],[Valor bolsas Pesona2]]+Tabla14[[#This Row],[Valor Embarque Pesona3]]</f>
        <v>22030</v>
      </c>
      <c r="BC128" s="332">
        <v>30000</v>
      </c>
      <c r="BD128" s="292">
        <f>Tabla14[[#This Row],[VALOR GANADO]]-Tabla14[[#This Row],[REAJUSTADO]]</f>
        <v>-7970</v>
      </c>
      <c r="BE128" s="250">
        <f>Tabla14[[#This Row],[CUANTO SE REAJUSTA]]*Tabla14[[#This Row],[Personas Rechazo]]</f>
        <v>-79700</v>
      </c>
      <c r="BF128" s="250">
        <f>Tabla14[[#This Row],[REAJUSTADO]]/25000</f>
        <v>1.2</v>
      </c>
      <c r="BG128" s="302">
        <f>Tabla14[[#This Row],[REAJUSTADO]]*Tabla14[[#This Row],[Personas Rechazo]]</f>
        <v>300000</v>
      </c>
      <c r="BH128" s="292" t="str">
        <f>Tabla14[[#This Row],[Finca]]</f>
        <v>Damaquiel</v>
      </c>
      <c r="BI128" s="250">
        <v>8</v>
      </c>
      <c r="BJ128" s="332">
        <f>Tabla14[[#This Row],[Numero de Ocacionales]]*Tabla14[[#This Row],[REAJUSTADO]]</f>
        <v>240000</v>
      </c>
      <c r="BK128" s="332"/>
      <c r="BL128" s="332">
        <v>30000</v>
      </c>
      <c r="BM128" s="332">
        <f>+Tabla14[[#This Row],[CUANTO SE REAJUSTA]]*3</f>
        <v>-23910</v>
      </c>
      <c r="BN128" s="334"/>
      <c r="BO128" s="334"/>
      <c r="BP128" s="334"/>
    </row>
    <row r="129" spans="3:68" hidden="1" x14ac:dyDescent="0.25">
      <c r="C129" s="274">
        <v>44726</v>
      </c>
      <c r="D129" s="507">
        <f>YEAR(Tabla14[[#This Row],[Fecha]])</f>
        <v>2022</v>
      </c>
      <c r="E129" s="313">
        <f>IF(Tabla14[[#This Row],[Fecha]]&gt;0,_xlfn.ISOWEEKNUM(Tabla14[[#This Row],[Fecha]]),0)</f>
        <v>24</v>
      </c>
      <c r="F129" s="283">
        <v>316</v>
      </c>
      <c r="G129" s="275" t="s">
        <v>152</v>
      </c>
      <c r="H129" s="325" t="str">
        <f>_xlfn.XLOOKUP(Tabla14[[#This Row],[Codigo Finca]],Tabla4[Codigo Finca],Tabla4[Nombre Finca],"")</f>
        <v>San Pedro</v>
      </c>
      <c r="I129" s="277">
        <f>_xlfn.XLOOKUP(Tabla14[[#This Row],[Codigo Finca]],Tabla4[Codigo Finca],Tabla4[Precio Caja],0)</f>
        <v>1500</v>
      </c>
      <c r="J129" s="277">
        <f>_xlfn.XLOOKUP(Tabla14[[#This Row],[Codigo Finca]],Tabla4[Codigo Finca],Tabla4[Precio Caja Segunda],0)</f>
        <v>1000</v>
      </c>
      <c r="K129" s="277">
        <f>_xlfn.XLOOKUP(Tabla14[[#This Row],[Codigo Finca]],Tabla4[Codigo Finca],Tabla4[Precio Rechazo],0)</f>
        <v>500</v>
      </c>
      <c r="L129" s="277">
        <f t="shared" si="128"/>
        <v>1111</v>
      </c>
      <c r="M129" s="278">
        <f t="shared" si="129"/>
        <v>3.5158227848101267</v>
      </c>
      <c r="N129" s="283"/>
      <c r="O129" s="279"/>
      <c r="P129" s="280">
        <f t="shared" si="130"/>
        <v>0</v>
      </c>
      <c r="Q129" s="281">
        <f t="shared" si="131"/>
        <v>0</v>
      </c>
      <c r="R129" s="282">
        <f t="shared" si="132"/>
        <v>0</v>
      </c>
      <c r="S129" s="283">
        <v>1111</v>
      </c>
      <c r="T129" s="275">
        <v>18</v>
      </c>
      <c r="U129" s="280">
        <f t="shared" si="133"/>
        <v>316</v>
      </c>
      <c r="V129" s="281">
        <f t="shared" si="134"/>
        <v>17.555555555555557</v>
      </c>
      <c r="W129" s="282">
        <f t="shared" si="135"/>
        <v>26333.333333333332</v>
      </c>
      <c r="X129" s="283"/>
      <c r="Y129" s="275"/>
      <c r="Z129" s="280">
        <f>Tabla14[[#This Row],[Cajas Segunda]]</f>
        <v>0</v>
      </c>
      <c r="AA129" s="281">
        <f t="shared" si="136"/>
        <v>0</v>
      </c>
      <c r="AB129" s="284">
        <f t="shared" si="137"/>
        <v>0</v>
      </c>
      <c r="AC129" s="285">
        <f>3.4+89</f>
        <v>92.4</v>
      </c>
      <c r="AD129" s="286"/>
      <c r="AE129" s="286"/>
      <c r="AF129" s="286"/>
      <c r="AG129" s="286">
        <v>18</v>
      </c>
      <c r="AH129" s="280">
        <f t="shared" si="138"/>
        <v>92.4</v>
      </c>
      <c r="AI129" s="281">
        <f t="shared" si="139"/>
        <v>5.1333333333333337</v>
      </c>
      <c r="AJ129" s="282">
        <f t="shared" si="140"/>
        <v>2566.666666666667</v>
      </c>
      <c r="AK129" s="287">
        <f>Tabla14[[#This Row],[Cajas por Personas]]</f>
        <v>0</v>
      </c>
      <c r="AL129" s="288">
        <f>Tabla14[[#This Row],[Valor Precorte Pesona]]</f>
        <v>0</v>
      </c>
      <c r="AM129" s="294">
        <f>Tabla14[[#This Row],[Personas Precorte]]</f>
        <v>0</v>
      </c>
      <c r="AN129" s="308">
        <f>Tabla14[[#This Row],[Valor Precorte Pesona Precorte]]*Tabla14[[#This Row],[Perzonas Precorte]]</f>
        <v>0</v>
      </c>
      <c r="AO129" s="287">
        <f>Tabla14[[#This Row],[Cajas por Personas2]]</f>
        <v>17.555555555555557</v>
      </c>
      <c r="AP129" s="288">
        <f>Tabla14[[#This Row],[Valor Embarque Pesona]]</f>
        <v>26333.333333333332</v>
      </c>
      <c r="AQ129" s="295">
        <f>Tabla14[[#This Row],[Personas Precorte2]]</f>
        <v>18</v>
      </c>
      <c r="AR129" s="296">
        <f>Tabla14[[#This Row],[Valor Embarque Pesona3]]*Tabla14[[#This Row],[Perzona Primera]]</f>
        <v>474000</v>
      </c>
      <c r="AS129" s="287">
        <f>Tabla14[[#This Row],[Columna2]]</f>
        <v>0</v>
      </c>
      <c r="AT129" s="288">
        <f>Tabla14[[#This Row],[Columna1]]</f>
        <v>0</v>
      </c>
      <c r="AU129" s="302">
        <f>Tabla14[[#This Row],[Personas Intervienen]]</f>
        <v>0</v>
      </c>
      <c r="AV129" s="297">
        <f>Tabla14[[#This Row],[Valor Embarque Pesona5]]*Tabla14[[#This Row],[Presonas Segunda]]</f>
        <v>0</v>
      </c>
      <c r="AW129" s="287">
        <f>Tabla14[[#This Row],[Bolsas Por Personas]]</f>
        <v>5.1333333333333337</v>
      </c>
      <c r="AX129" s="288">
        <f>Tabla14[[#This Row],[Valor bolsas Pesona]]</f>
        <v>2566.666666666667</v>
      </c>
      <c r="AY129" s="309">
        <f>Tabla14[[#This Row],[Personas13]]</f>
        <v>18</v>
      </c>
      <c r="AZ129" s="310">
        <f>Tabla14[[#This Row],[Valor bolsas Pesona2]]*Tabla14[[#This Row],[Personas Rechazo]]</f>
        <v>46200.000000000007</v>
      </c>
      <c r="BA129" s="311">
        <f>+Tabla14[[#This Row],[Total Valor Segunda]]+Tabla14[[#This Row],[Total Valor Primera]]+Tabla14[[#This Row],[Total Valor Precorte]]</f>
        <v>474000</v>
      </c>
      <c r="BB129" s="292">
        <f>Tabla14[[#This Row],[Valor bolsas Pesona2]]+Tabla14[[#This Row],[Valor Embarque Pesona3]]</f>
        <v>28900</v>
      </c>
      <c r="BC129" s="332">
        <v>30000</v>
      </c>
      <c r="BD129" s="292">
        <f>Tabla14[[#This Row],[VALOR GANADO]]-Tabla14[[#This Row],[REAJUSTADO]]</f>
        <v>-1100</v>
      </c>
      <c r="BE129" s="250">
        <f>Tabla14[[#This Row],[CUANTO SE REAJUSTA]]*Tabla14[[#This Row],[Personas Rechazo]]</f>
        <v>-19800</v>
      </c>
      <c r="BF129" s="250">
        <f>Tabla14[[#This Row],[REAJUSTADO]]/25000</f>
        <v>1.2</v>
      </c>
      <c r="BG129" s="302">
        <f>Tabla14[[#This Row],[REAJUSTADO]]*Tabla14[[#This Row],[Personas Rechazo]]</f>
        <v>540000</v>
      </c>
      <c r="BH129" s="292" t="str">
        <f>Tabla14[[#This Row],[Finca]]</f>
        <v>San Pedro</v>
      </c>
      <c r="BI129" s="250">
        <v>10</v>
      </c>
      <c r="BJ129" s="332">
        <f>Tabla14[[#This Row],[Numero de Ocacionales]]*Tabla14[[#This Row],[REAJUSTADO]]</f>
        <v>300000</v>
      </c>
      <c r="BK129" s="332"/>
      <c r="BL129" s="332">
        <v>30000</v>
      </c>
      <c r="BM129" s="332">
        <f>+Tabla14[[#This Row],[CUANTO SE REAJUSTA]]*3</f>
        <v>-3300</v>
      </c>
      <c r="BN129" s="334"/>
      <c r="BO129" s="334"/>
      <c r="BP129" s="334"/>
    </row>
    <row r="130" spans="3:68" hidden="1" x14ac:dyDescent="0.25">
      <c r="C130" s="274">
        <v>44726</v>
      </c>
      <c r="D130" s="507">
        <f>YEAR(Tabla14[[#This Row],[Fecha]])</f>
        <v>2022</v>
      </c>
      <c r="E130" s="313">
        <f>IF(Tabla14[[#This Row],[Fecha]]&gt;0,_xlfn.ISOWEEKNUM(Tabla14[[#This Row],[Fecha]]),0)</f>
        <v>24</v>
      </c>
      <c r="F130" s="283">
        <v>100</v>
      </c>
      <c r="G130" s="275" t="s">
        <v>155</v>
      </c>
      <c r="H130" s="325" t="str">
        <f>_xlfn.XLOOKUP(Tabla14[[#This Row],[Codigo Finca]],Tabla4[Codigo Finca],Tabla4[Nombre Finca],"")</f>
        <v>Damaquiel</v>
      </c>
      <c r="I130" s="277">
        <f>_xlfn.XLOOKUP(Tabla14[[#This Row],[Codigo Finca]],Tabla4[Codigo Finca],Tabla4[Precio Caja],0)</f>
        <v>1500</v>
      </c>
      <c r="J130" s="277">
        <f>_xlfn.XLOOKUP(Tabla14[[#This Row],[Codigo Finca]],Tabla4[Codigo Finca],Tabla4[Precio Caja Segunda],0)</f>
        <v>1000</v>
      </c>
      <c r="K130" s="277">
        <f>_xlfn.XLOOKUP(Tabla14[[#This Row],[Codigo Finca]],Tabla4[Codigo Finca],Tabla4[Precio Rechazo],0)</f>
        <v>500</v>
      </c>
      <c r="L130" s="277">
        <f t="shared" si="128"/>
        <v>0</v>
      </c>
      <c r="M130" s="278">
        <f t="shared" si="129"/>
        <v>0</v>
      </c>
      <c r="N130" s="283"/>
      <c r="O130" s="279"/>
      <c r="P130" s="280">
        <f t="shared" si="130"/>
        <v>0</v>
      </c>
      <c r="Q130" s="281">
        <f t="shared" si="131"/>
        <v>0</v>
      </c>
      <c r="R130" s="282">
        <f t="shared" si="132"/>
        <v>0</v>
      </c>
      <c r="S130" s="338"/>
      <c r="T130" s="275">
        <v>9</v>
      </c>
      <c r="U130" s="280">
        <f t="shared" si="133"/>
        <v>100</v>
      </c>
      <c r="V130" s="281">
        <f t="shared" si="134"/>
        <v>11.111111111111111</v>
      </c>
      <c r="W130" s="282">
        <f t="shared" si="135"/>
        <v>16666.666666666668</v>
      </c>
      <c r="X130" s="283"/>
      <c r="Y130" s="275"/>
      <c r="Z130" s="280">
        <f>Tabla14[[#This Row],[Cajas Segunda]]</f>
        <v>0</v>
      </c>
      <c r="AA130" s="281">
        <f t="shared" si="136"/>
        <v>0</v>
      </c>
      <c r="AB130" s="284">
        <f t="shared" si="137"/>
        <v>0</v>
      </c>
      <c r="AC130" s="285">
        <f>71+51</f>
        <v>122</v>
      </c>
      <c r="AD130" s="286"/>
      <c r="AE130" s="286"/>
      <c r="AF130" s="286"/>
      <c r="AG130" s="286">
        <v>9</v>
      </c>
      <c r="AH130" s="280">
        <f t="shared" si="138"/>
        <v>122</v>
      </c>
      <c r="AI130" s="281">
        <f t="shared" si="139"/>
        <v>13.555555555555555</v>
      </c>
      <c r="AJ130" s="282">
        <f t="shared" si="140"/>
        <v>6777.7777777777774</v>
      </c>
      <c r="AK130" s="287">
        <f>Tabla14[[#This Row],[Cajas por Personas]]</f>
        <v>0</v>
      </c>
      <c r="AL130" s="288">
        <f>Tabla14[[#This Row],[Valor Precorte Pesona]]</f>
        <v>0</v>
      </c>
      <c r="AM130" s="294">
        <f>Tabla14[[#This Row],[Personas Precorte]]</f>
        <v>0</v>
      </c>
      <c r="AN130" s="308">
        <f>Tabla14[[#This Row],[Valor Precorte Pesona Precorte]]*Tabla14[[#This Row],[Perzonas Precorte]]</f>
        <v>0</v>
      </c>
      <c r="AO130" s="287">
        <f>Tabla14[[#This Row],[Cajas por Personas2]]</f>
        <v>11.111111111111111</v>
      </c>
      <c r="AP130" s="288">
        <f>Tabla14[[#This Row],[Valor Embarque Pesona]]</f>
        <v>16666.666666666668</v>
      </c>
      <c r="AQ130" s="295">
        <f>Tabla14[[#This Row],[Personas Precorte2]]</f>
        <v>9</v>
      </c>
      <c r="AR130" s="296">
        <f>Tabla14[[#This Row],[Valor Embarque Pesona3]]*Tabla14[[#This Row],[Perzona Primera]]</f>
        <v>150000</v>
      </c>
      <c r="AS130" s="287">
        <f>Tabla14[[#This Row],[Columna2]]</f>
        <v>0</v>
      </c>
      <c r="AT130" s="288">
        <f>Tabla14[[#This Row],[Columna1]]</f>
        <v>0</v>
      </c>
      <c r="AU130" s="302">
        <f>Tabla14[[#This Row],[Personas Intervienen]]</f>
        <v>0</v>
      </c>
      <c r="AV130" s="297">
        <f>Tabla14[[#This Row],[Valor Embarque Pesona5]]*Tabla14[[#This Row],[Presonas Segunda]]</f>
        <v>0</v>
      </c>
      <c r="AW130" s="287">
        <f>Tabla14[[#This Row],[Bolsas Por Personas]]</f>
        <v>13.555555555555555</v>
      </c>
      <c r="AX130" s="288">
        <f>Tabla14[[#This Row],[Valor bolsas Pesona]]</f>
        <v>6777.7777777777774</v>
      </c>
      <c r="AY130" s="309">
        <f>Tabla14[[#This Row],[Personas13]]</f>
        <v>9</v>
      </c>
      <c r="AZ130" s="310">
        <f>Tabla14[[#This Row],[Valor bolsas Pesona2]]*Tabla14[[#This Row],[Personas Rechazo]]</f>
        <v>61000</v>
      </c>
      <c r="BA130" s="311">
        <f>+Tabla14[[#This Row],[Total Valor Segunda]]+Tabla14[[#This Row],[Total Valor Primera]]+Tabla14[[#This Row],[Total Valor Precorte]]</f>
        <v>150000</v>
      </c>
      <c r="BB130" s="292">
        <f>Tabla14[[#This Row],[Valor bolsas Pesona2]]+Tabla14[[#This Row],[Valor Embarque Pesona3]]</f>
        <v>23444.444444444445</v>
      </c>
      <c r="BC130" s="332">
        <v>30000</v>
      </c>
      <c r="BD130" s="292">
        <f>Tabla14[[#This Row],[VALOR GANADO]]-Tabla14[[#This Row],[REAJUSTADO]]</f>
        <v>-6555.5555555555547</v>
      </c>
      <c r="BE130" s="250">
        <f>Tabla14[[#This Row],[CUANTO SE REAJUSTA]]*Tabla14[[#This Row],[Personas Rechazo]]</f>
        <v>-58999.999999999993</v>
      </c>
      <c r="BF130" s="250">
        <f>Tabla14[[#This Row],[REAJUSTADO]]/25000</f>
        <v>1.2</v>
      </c>
      <c r="BG130" s="302">
        <f>Tabla14[[#This Row],[REAJUSTADO]]*Tabla14[[#This Row],[Personas Rechazo]]</f>
        <v>270000</v>
      </c>
      <c r="BH130" s="292" t="str">
        <f>Tabla14[[#This Row],[Finca]]</f>
        <v>Damaquiel</v>
      </c>
      <c r="BI130" s="250">
        <v>7</v>
      </c>
      <c r="BJ130" s="332">
        <f>Tabla14[[#This Row],[Numero de Ocacionales]]*Tabla14[[#This Row],[REAJUSTADO]]</f>
        <v>210000</v>
      </c>
      <c r="BK130" s="332"/>
      <c r="BL130" s="332">
        <v>0</v>
      </c>
      <c r="BM130" s="332">
        <f>+Tabla14[[#This Row],[CUANTO SE REAJUSTA]]*3</f>
        <v>-19666.666666666664</v>
      </c>
      <c r="BN130" s="334"/>
      <c r="BO130" s="334"/>
      <c r="BP130" s="334"/>
    </row>
    <row r="131" spans="3:68" hidden="1" x14ac:dyDescent="0.25">
      <c r="C131" s="274">
        <v>44727</v>
      </c>
      <c r="D131" s="507">
        <f>YEAR(Tabla14[[#This Row],[Fecha]])</f>
        <v>2022</v>
      </c>
      <c r="E131" s="313">
        <f>IF(Tabla14[[#This Row],[Fecha]]&gt;0,_xlfn.ISOWEEKNUM(Tabla14[[#This Row],[Fecha]]),0)</f>
        <v>24</v>
      </c>
      <c r="F131" s="283">
        <v>150</v>
      </c>
      <c r="G131" s="275" t="s">
        <v>152</v>
      </c>
      <c r="H131" s="325" t="str">
        <f>_xlfn.XLOOKUP(Tabla14[[#This Row],[Codigo Finca]],Tabla4[Codigo Finca],Tabla4[Nombre Finca],"")</f>
        <v>San Pedro</v>
      </c>
      <c r="I131" s="277">
        <f>_xlfn.XLOOKUP(Tabla14[[#This Row],[Codigo Finca]],Tabla4[Codigo Finca],Tabla4[Precio Caja],0)</f>
        <v>1500</v>
      </c>
      <c r="J131" s="277">
        <f>_xlfn.XLOOKUP(Tabla14[[#This Row],[Codigo Finca]],Tabla4[Codigo Finca],Tabla4[Precio Caja Segunda],0)</f>
        <v>1000</v>
      </c>
      <c r="K131" s="277">
        <f>_xlfn.XLOOKUP(Tabla14[[#This Row],[Codigo Finca]],Tabla4[Codigo Finca],Tabla4[Precio Rechazo],0)</f>
        <v>500</v>
      </c>
      <c r="L131" s="277">
        <f t="shared" ref="L131:L136" si="141">S131+N131</f>
        <v>515</v>
      </c>
      <c r="M131" s="278">
        <f t="shared" ref="M131:M136" si="142">IF(F131&gt;0,L131/F131,0)</f>
        <v>3.4333333333333331</v>
      </c>
      <c r="N131" s="283"/>
      <c r="O131" s="279"/>
      <c r="P131" s="280">
        <f t="shared" ref="P131:P136" si="143">IF(N131&gt;0,(N131/M131)/2,0)</f>
        <v>0</v>
      </c>
      <c r="Q131" s="281">
        <f t="shared" ref="Q131:Q136" si="144">IF(O131&gt;0,P131/O131,0)</f>
        <v>0</v>
      </c>
      <c r="R131" s="282">
        <f t="shared" ref="R131:R136" si="145">IF(I131&gt;0,Q131*I131,)</f>
        <v>0</v>
      </c>
      <c r="S131" s="283">
        <v>515</v>
      </c>
      <c r="T131" s="275">
        <v>12</v>
      </c>
      <c r="U131" s="280">
        <f t="shared" ref="U131:U136" si="146">F131-P131</f>
        <v>150</v>
      </c>
      <c r="V131" s="281">
        <f t="shared" ref="V131:V136" si="147">IF(T131&gt;0,U131/T131,0)</f>
        <v>12.5</v>
      </c>
      <c r="W131" s="282">
        <f t="shared" ref="W131:W136" si="148">IF(T131&gt;0,(U131*I131)/T131,0)</f>
        <v>18750</v>
      </c>
      <c r="X131" s="283"/>
      <c r="Y131" s="275"/>
      <c r="Z131" s="280">
        <f>Tabla14[[#This Row],[Cajas Segunda]]</f>
        <v>0</v>
      </c>
      <c r="AA131" s="281">
        <f t="shared" ref="AA131:AA136" si="149">IF(Y131&gt;0,Z131/Y131,0)</f>
        <v>0</v>
      </c>
      <c r="AB131" s="284">
        <f t="shared" ref="AB131:AB136" si="150">IF(Y131&gt;0,(Z131*J131)/Y131,0)</f>
        <v>0</v>
      </c>
      <c r="AC131" s="285">
        <v>49.4</v>
      </c>
      <c r="AD131" s="286"/>
      <c r="AE131" s="286"/>
      <c r="AF131" s="286"/>
      <c r="AG131" s="286">
        <v>12</v>
      </c>
      <c r="AH131" s="280">
        <f t="shared" ref="AH131:AH136" si="151">IF(AND(AC131&gt;0,AE131=0,AF131=0,AD131=0),AC131,IF(AND(AC131=0,AE131&gt;0,AF131&gt;0,AD131=0),AE131*AF131/25,IF(AND(AC131=0,AE131=0,AF131=0,AD131&gt;0),AD131/25,0)))</f>
        <v>49.4</v>
      </c>
      <c r="AI131" s="281">
        <f t="shared" ref="AI131:AI136" si="152">IF(AG131&gt;0,AH131/AG131,0)</f>
        <v>4.1166666666666663</v>
      </c>
      <c r="AJ131" s="282">
        <f t="shared" ref="AJ131:AJ136" si="153">AI131*K131</f>
        <v>2058.333333333333</v>
      </c>
      <c r="AK131" s="287">
        <f>Tabla14[[#This Row],[Cajas por Personas]]</f>
        <v>0</v>
      </c>
      <c r="AL131" s="288">
        <f>Tabla14[[#This Row],[Valor Precorte Pesona]]</f>
        <v>0</v>
      </c>
      <c r="AM131" s="294">
        <f>Tabla14[[#This Row],[Personas Precorte]]</f>
        <v>0</v>
      </c>
      <c r="AN131" s="308">
        <f>Tabla14[[#This Row],[Valor Precorte Pesona Precorte]]*Tabla14[[#This Row],[Perzonas Precorte]]</f>
        <v>0</v>
      </c>
      <c r="AO131" s="287">
        <f>Tabla14[[#This Row],[Cajas por Personas2]]</f>
        <v>12.5</v>
      </c>
      <c r="AP131" s="288">
        <f>Tabla14[[#This Row],[Valor Embarque Pesona]]</f>
        <v>18750</v>
      </c>
      <c r="AQ131" s="295">
        <f>Tabla14[[#This Row],[Personas Precorte2]]</f>
        <v>12</v>
      </c>
      <c r="AR131" s="296">
        <f>Tabla14[[#This Row],[Valor Embarque Pesona3]]*Tabla14[[#This Row],[Perzona Primera]]</f>
        <v>225000</v>
      </c>
      <c r="AS131" s="287">
        <f>Tabla14[[#This Row],[Columna2]]</f>
        <v>0</v>
      </c>
      <c r="AT131" s="288">
        <f>Tabla14[[#This Row],[Columna1]]</f>
        <v>0</v>
      </c>
      <c r="AU131" s="302">
        <f>Tabla14[[#This Row],[Personas Intervienen]]</f>
        <v>0</v>
      </c>
      <c r="AV131" s="297">
        <f>Tabla14[[#This Row],[Valor Embarque Pesona5]]*Tabla14[[#This Row],[Presonas Segunda]]</f>
        <v>0</v>
      </c>
      <c r="AW131" s="287">
        <f>Tabla14[[#This Row],[Bolsas Por Personas]]</f>
        <v>4.1166666666666663</v>
      </c>
      <c r="AX131" s="288">
        <f>Tabla14[[#This Row],[Valor bolsas Pesona]]</f>
        <v>2058.333333333333</v>
      </c>
      <c r="AY131" s="309">
        <f>Tabla14[[#This Row],[Personas13]]</f>
        <v>12</v>
      </c>
      <c r="AZ131" s="310">
        <f>Tabla14[[#This Row],[Valor bolsas Pesona2]]*Tabla14[[#This Row],[Personas Rechazo]]</f>
        <v>24699.999999999996</v>
      </c>
      <c r="BA131" s="311">
        <f>+Tabla14[[#This Row],[Total Valor Segunda]]+Tabla14[[#This Row],[Total Valor Primera]]+Tabla14[[#This Row],[Total Valor Precorte]]</f>
        <v>225000</v>
      </c>
      <c r="BB131" s="292">
        <f>Tabla14[[#This Row],[Valor bolsas Pesona2]]+Tabla14[[#This Row],[Valor Embarque Pesona3]]</f>
        <v>20808.333333333332</v>
      </c>
      <c r="BC131" s="332">
        <v>28000</v>
      </c>
      <c r="BD131" s="292">
        <f>Tabla14[[#This Row],[VALOR GANADO]]-Tabla14[[#This Row],[REAJUSTADO]]</f>
        <v>-7191.6666666666679</v>
      </c>
      <c r="BE131" s="250">
        <f>Tabla14[[#This Row],[CUANTO SE REAJUSTA]]*Tabla14[[#This Row],[Personas Rechazo]]</f>
        <v>-86300.000000000015</v>
      </c>
      <c r="BF131" s="250">
        <f>Tabla14[[#This Row],[REAJUSTADO]]/25000</f>
        <v>1.1200000000000001</v>
      </c>
      <c r="BG131" s="302">
        <f>Tabla14[[#This Row],[REAJUSTADO]]*Tabla14[[#This Row],[Personas Rechazo]]</f>
        <v>336000</v>
      </c>
      <c r="BH131" s="292" t="str">
        <f>Tabla14[[#This Row],[Finca]]</f>
        <v>San Pedro</v>
      </c>
      <c r="BI131" s="250">
        <v>7</v>
      </c>
      <c r="BJ131" s="332">
        <f>Tabla14[[#This Row],[Numero de Ocacionales]]*Tabla14[[#This Row],[REAJUSTADO]]</f>
        <v>196000</v>
      </c>
      <c r="BK131" s="332"/>
      <c r="BL131" s="332">
        <v>0</v>
      </c>
      <c r="BM131" s="332">
        <f>+Tabla14[[#This Row],[CUANTO SE REAJUSTA]]*3</f>
        <v>-21575.000000000004</v>
      </c>
      <c r="BN131" s="334"/>
      <c r="BO131" s="334"/>
      <c r="BP131" s="334"/>
    </row>
    <row r="132" spans="3:68" hidden="1" x14ac:dyDescent="0.25">
      <c r="C132" s="274">
        <v>44727</v>
      </c>
      <c r="D132" s="507">
        <f>YEAR(Tabla14[[#This Row],[Fecha]])</f>
        <v>2022</v>
      </c>
      <c r="E132" s="313">
        <f>IF(Tabla14[[#This Row],[Fecha]]&gt;0,_xlfn.ISOWEEKNUM(Tabla14[[#This Row],[Fecha]]),0)</f>
        <v>24</v>
      </c>
      <c r="F132" s="283">
        <v>347</v>
      </c>
      <c r="G132" s="275" t="s">
        <v>157</v>
      </c>
      <c r="H132" s="325" t="str">
        <f>_xlfn.XLOOKUP(Tabla14[[#This Row],[Codigo Finca]],Tabla4[Codigo Finca],Tabla4[Nombre Finca],"")</f>
        <v>Pedrito</v>
      </c>
      <c r="I132" s="277">
        <f>_xlfn.XLOOKUP(Tabla14[[#This Row],[Codigo Finca]],Tabla4[Codigo Finca],Tabla4[Precio Caja],0)</f>
        <v>2100</v>
      </c>
      <c r="J132" s="277">
        <f>_xlfn.XLOOKUP(Tabla14[[#This Row],[Codigo Finca]],Tabla4[Codigo Finca],Tabla4[Precio Caja Segunda],0)</f>
        <v>1000</v>
      </c>
      <c r="K132" s="277">
        <f>_xlfn.XLOOKUP(Tabla14[[#This Row],[Codigo Finca]],Tabla4[Codigo Finca],Tabla4[Precio Rechazo],0)</f>
        <v>500</v>
      </c>
      <c r="L132" s="277">
        <f t="shared" si="141"/>
        <v>1029</v>
      </c>
      <c r="M132" s="278">
        <f t="shared" si="142"/>
        <v>2.9654178674351583</v>
      </c>
      <c r="N132" s="283"/>
      <c r="O132" s="279"/>
      <c r="P132" s="280">
        <f t="shared" si="143"/>
        <v>0</v>
      </c>
      <c r="Q132" s="281">
        <f t="shared" si="144"/>
        <v>0</v>
      </c>
      <c r="R132" s="282">
        <f t="shared" si="145"/>
        <v>0</v>
      </c>
      <c r="S132" s="283">
        <v>1029</v>
      </c>
      <c r="T132" s="275">
        <v>17</v>
      </c>
      <c r="U132" s="280">
        <f t="shared" si="146"/>
        <v>347</v>
      </c>
      <c r="V132" s="281">
        <f t="shared" si="147"/>
        <v>20.411764705882351</v>
      </c>
      <c r="W132" s="282">
        <f t="shared" si="148"/>
        <v>42864.705882352944</v>
      </c>
      <c r="X132" s="283"/>
      <c r="Y132" s="275"/>
      <c r="Z132" s="280">
        <f>Tabla14[[#This Row],[Cajas Segunda]]</f>
        <v>0</v>
      </c>
      <c r="AA132" s="281">
        <f t="shared" si="149"/>
        <v>0</v>
      </c>
      <c r="AB132" s="284">
        <f t="shared" si="150"/>
        <v>0</v>
      </c>
      <c r="AC132" s="285">
        <v>107.4</v>
      </c>
      <c r="AD132" s="286"/>
      <c r="AE132" s="286"/>
      <c r="AF132" s="286"/>
      <c r="AG132" s="286">
        <v>17</v>
      </c>
      <c r="AH132" s="280">
        <f t="shared" si="151"/>
        <v>107.4</v>
      </c>
      <c r="AI132" s="281">
        <f t="shared" si="152"/>
        <v>6.3176470588235301</v>
      </c>
      <c r="AJ132" s="282">
        <f t="shared" si="153"/>
        <v>3158.8235294117649</v>
      </c>
      <c r="AK132" s="287">
        <f>Tabla14[[#This Row],[Cajas por Personas]]</f>
        <v>0</v>
      </c>
      <c r="AL132" s="288">
        <f>Tabla14[[#This Row],[Valor Precorte Pesona]]</f>
        <v>0</v>
      </c>
      <c r="AM132" s="294">
        <f>Tabla14[[#This Row],[Personas Precorte]]</f>
        <v>0</v>
      </c>
      <c r="AN132" s="308">
        <f>Tabla14[[#This Row],[Valor Precorte Pesona Precorte]]*Tabla14[[#This Row],[Perzonas Precorte]]</f>
        <v>0</v>
      </c>
      <c r="AO132" s="287">
        <f>Tabla14[[#This Row],[Cajas por Personas2]]</f>
        <v>20.411764705882351</v>
      </c>
      <c r="AP132" s="288">
        <f>Tabla14[[#This Row],[Valor Embarque Pesona]]</f>
        <v>42864.705882352944</v>
      </c>
      <c r="AQ132" s="295">
        <f>Tabla14[[#This Row],[Personas Precorte2]]</f>
        <v>17</v>
      </c>
      <c r="AR132" s="296">
        <f>Tabla14[[#This Row],[Valor Embarque Pesona3]]*Tabla14[[#This Row],[Perzona Primera]]</f>
        <v>728700</v>
      </c>
      <c r="AS132" s="287">
        <f>Tabla14[[#This Row],[Columna2]]</f>
        <v>0</v>
      </c>
      <c r="AT132" s="288">
        <f>Tabla14[[#This Row],[Columna1]]</f>
        <v>0</v>
      </c>
      <c r="AU132" s="302">
        <f>Tabla14[[#This Row],[Personas Intervienen]]</f>
        <v>0</v>
      </c>
      <c r="AV132" s="297">
        <f>Tabla14[[#This Row],[Valor Embarque Pesona5]]*Tabla14[[#This Row],[Presonas Segunda]]</f>
        <v>0</v>
      </c>
      <c r="AW132" s="287">
        <f>Tabla14[[#This Row],[Bolsas Por Personas]]</f>
        <v>6.3176470588235301</v>
      </c>
      <c r="AX132" s="288">
        <f>Tabla14[[#This Row],[Valor bolsas Pesona]]</f>
        <v>3158.8235294117649</v>
      </c>
      <c r="AY132" s="309">
        <f>Tabla14[[#This Row],[Personas13]]</f>
        <v>17</v>
      </c>
      <c r="AZ132" s="310">
        <f>Tabla14[[#This Row],[Valor bolsas Pesona2]]*Tabla14[[#This Row],[Personas Rechazo]]</f>
        <v>53700</v>
      </c>
      <c r="BA132" s="311">
        <f>+Tabla14[[#This Row],[Total Valor Segunda]]+Tabla14[[#This Row],[Total Valor Primera]]+Tabla14[[#This Row],[Total Valor Precorte]]</f>
        <v>728700</v>
      </c>
      <c r="BB132" s="292">
        <f>Tabla14[[#This Row],[Valor bolsas Pesona2]]+Tabla14[[#This Row],[Valor Embarque Pesona3]]</f>
        <v>46023.529411764706</v>
      </c>
      <c r="BC132" s="332">
        <v>46000</v>
      </c>
      <c r="BD132" s="292">
        <f>Tabla14[[#This Row],[VALOR GANADO]]-Tabla14[[#This Row],[REAJUSTADO]]</f>
        <v>23.52941176470631</v>
      </c>
      <c r="BE132" s="250">
        <f>Tabla14[[#This Row],[CUANTO SE REAJUSTA]]*Tabla14[[#This Row],[Personas Rechazo]]</f>
        <v>400.00000000000728</v>
      </c>
      <c r="BF132" s="250">
        <f>Tabla14[[#This Row],[REAJUSTADO]]/25000</f>
        <v>1.84</v>
      </c>
      <c r="BG132" s="302">
        <f>Tabla14[[#This Row],[REAJUSTADO]]*Tabla14[[#This Row],[Personas Rechazo]]</f>
        <v>782000</v>
      </c>
      <c r="BH132" s="292" t="str">
        <f>Tabla14[[#This Row],[Finca]]</f>
        <v>Pedrito</v>
      </c>
      <c r="BI132" s="250">
        <v>5</v>
      </c>
      <c r="BJ132" s="332">
        <f>Tabla14[[#This Row],[Numero de Ocacionales]]*Tabla14[[#This Row],[REAJUSTADO]]</f>
        <v>230000</v>
      </c>
      <c r="BK132" s="332"/>
      <c r="BL132" s="332">
        <v>30000</v>
      </c>
      <c r="BM132" s="332">
        <f>+Tabla14[[#This Row],[CUANTO SE REAJUSTA]]*3</f>
        <v>70.588235294118931</v>
      </c>
      <c r="BN132" s="334"/>
      <c r="BO132" s="334"/>
      <c r="BP132" s="334"/>
    </row>
    <row r="133" spans="3:68" hidden="1" x14ac:dyDescent="0.25">
      <c r="C133" s="274">
        <v>44733</v>
      </c>
      <c r="D133" s="507">
        <f>YEAR(Tabla14[[#This Row],[Fecha]])</f>
        <v>2022</v>
      </c>
      <c r="E133" s="313">
        <f>IF(Tabla14[[#This Row],[Fecha]]&gt;0,_xlfn.ISOWEEKNUM(Tabla14[[#This Row],[Fecha]]),0)</f>
        <v>25</v>
      </c>
      <c r="F133" s="283">
        <v>125</v>
      </c>
      <c r="G133" s="275" t="s">
        <v>155</v>
      </c>
      <c r="H133" s="325" t="str">
        <f>_xlfn.XLOOKUP(Tabla14[[#This Row],[Codigo Finca]],Tabla4[Codigo Finca],Tabla4[Nombre Finca],"")</f>
        <v>Damaquiel</v>
      </c>
      <c r="I133" s="277">
        <f>_xlfn.XLOOKUP(Tabla14[[#This Row],[Codigo Finca]],Tabla4[Codigo Finca],Tabla4[Precio Caja],0)</f>
        <v>1500</v>
      </c>
      <c r="J133" s="277">
        <f>_xlfn.XLOOKUP(Tabla14[[#This Row],[Codigo Finca]],Tabla4[Codigo Finca],Tabla4[Precio Caja Segunda],0)</f>
        <v>1000</v>
      </c>
      <c r="K133" s="277">
        <f>_xlfn.XLOOKUP(Tabla14[[#This Row],[Codigo Finca]],Tabla4[Codigo Finca],Tabla4[Precio Rechazo],0)</f>
        <v>500</v>
      </c>
      <c r="L133" s="277">
        <f t="shared" si="141"/>
        <v>910</v>
      </c>
      <c r="M133" s="278">
        <f t="shared" si="142"/>
        <v>7.28</v>
      </c>
      <c r="N133" s="283"/>
      <c r="O133" s="279"/>
      <c r="P133" s="280">
        <f t="shared" si="143"/>
        <v>0</v>
      </c>
      <c r="Q133" s="281">
        <f t="shared" si="144"/>
        <v>0</v>
      </c>
      <c r="R133" s="282">
        <f t="shared" si="145"/>
        <v>0</v>
      </c>
      <c r="S133" s="283">
        <v>910</v>
      </c>
      <c r="T133" s="275">
        <v>10</v>
      </c>
      <c r="U133" s="280">
        <f t="shared" si="146"/>
        <v>125</v>
      </c>
      <c r="V133" s="281">
        <f t="shared" si="147"/>
        <v>12.5</v>
      </c>
      <c r="W133" s="282">
        <f t="shared" si="148"/>
        <v>18750</v>
      </c>
      <c r="X133" s="283"/>
      <c r="Y133" s="275"/>
      <c r="Z133" s="280">
        <f>Tabla14[[#This Row],[Cajas Segunda]]</f>
        <v>0</v>
      </c>
      <c r="AA133" s="281">
        <f t="shared" si="149"/>
        <v>0</v>
      </c>
      <c r="AB133" s="284">
        <f t="shared" si="150"/>
        <v>0</v>
      </c>
      <c r="AC133" s="285">
        <f>23.8+45</f>
        <v>68.8</v>
      </c>
      <c r="AD133" s="286"/>
      <c r="AE133" s="286"/>
      <c r="AF133" s="286"/>
      <c r="AG133" s="286">
        <v>10</v>
      </c>
      <c r="AH133" s="280">
        <f t="shared" si="151"/>
        <v>68.8</v>
      </c>
      <c r="AI133" s="281">
        <f t="shared" si="152"/>
        <v>6.88</v>
      </c>
      <c r="AJ133" s="282">
        <f t="shared" si="153"/>
        <v>3440</v>
      </c>
      <c r="AK133" s="287">
        <f>Tabla14[[#This Row],[Cajas por Personas]]</f>
        <v>0</v>
      </c>
      <c r="AL133" s="288">
        <f>Tabla14[[#This Row],[Valor Precorte Pesona]]</f>
        <v>0</v>
      </c>
      <c r="AM133" s="294">
        <f>Tabla14[[#This Row],[Personas Precorte]]</f>
        <v>0</v>
      </c>
      <c r="AN133" s="308">
        <f>Tabla14[[#This Row],[Valor Precorte Pesona Precorte]]*Tabla14[[#This Row],[Perzonas Precorte]]</f>
        <v>0</v>
      </c>
      <c r="AO133" s="287">
        <f>Tabla14[[#This Row],[Cajas por Personas2]]</f>
        <v>12.5</v>
      </c>
      <c r="AP133" s="288">
        <f>Tabla14[[#This Row],[Valor Embarque Pesona]]</f>
        <v>18750</v>
      </c>
      <c r="AQ133" s="295">
        <f>Tabla14[[#This Row],[Personas Precorte2]]</f>
        <v>10</v>
      </c>
      <c r="AR133" s="296">
        <f>Tabla14[[#This Row],[Valor Embarque Pesona3]]*Tabla14[[#This Row],[Perzona Primera]]</f>
        <v>187500</v>
      </c>
      <c r="AS133" s="287">
        <f>Tabla14[[#This Row],[Columna2]]</f>
        <v>0</v>
      </c>
      <c r="AT133" s="288">
        <f>Tabla14[[#This Row],[Columna1]]</f>
        <v>0</v>
      </c>
      <c r="AU133" s="302">
        <f>Tabla14[[#This Row],[Personas Intervienen]]</f>
        <v>0</v>
      </c>
      <c r="AV133" s="297">
        <f>Tabla14[[#This Row],[Valor Embarque Pesona5]]*Tabla14[[#This Row],[Presonas Segunda]]</f>
        <v>0</v>
      </c>
      <c r="AW133" s="287">
        <f>Tabla14[[#This Row],[Bolsas Por Personas]]</f>
        <v>6.88</v>
      </c>
      <c r="AX133" s="288">
        <f>Tabla14[[#This Row],[Valor bolsas Pesona]]</f>
        <v>3440</v>
      </c>
      <c r="AY133" s="309">
        <f>Tabla14[[#This Row],[Personas13]]</f>
        <v>10</v>
      </c>
      <c r="AZ133" s="310">
        <f>Tabla14[[#This Row],[Valor bolsas Pesona2]]*Tabla14[[#This Row],[Personas Rechazo]]</f>
        <v>34400</v>
      </c>
      <c r="BA133" s="311">
        <f>+Tabla14[[#This Row],[Total Valor Segunda]]+Tabla14[[#This Row],[Total Valor Primera]]+Tabla14[[#This Row],[Total Valor Precorte]]</f>
        <v>187500</v>
      </c>
      <c r="BB133" s="292">
        <f>Tabla14[[#This Row],[Valor bolsas Pesona2]]+Tabla14[[#This Row],[Valor Embarque Pesona3]]</f>
        <v>22190</v>
      </c>
      <c r="BC133" s="332">
        <v>30000</v>
      </c>
      <c r="BD133" s="292">
        <f>Tabla14[[#This Row],[VALOR GANADO]]-Tabla14[[#This Row],[REAJUSTADO]]</f>
        <v>-7810</v>
      </c>
      <c r="BE133" s="250">
        <f>Tabla14[[#This Row],[CUANTO SE REAJUSTA]]*Tabla14[[#This Row],[Personas Rechazo]]</f>
        <v>-78100</v>
      </c>
      <c r="BF133" s="250">
        <f>Tabla14[[#This Row],[REAJUSTADO]]/25000</f>
        <v>1.2</v>
      </c>
      <c r="BG133" s="302">
        <f>Tabla14[[#This Row],[REAJUSTADO]]*Tabla14[[#This Row],[Personas Rechazo]]</f>
        <v>300000</v>
      </c>
      <c r="BH133" s="292" t="str">
        <f>Tabla14[[#This Row],[Finca]]</f>
        <v>Damaquiel</v>
      </c>
      <c r="BI133" s="332">
        <v>7</v>
      </c>
      <c r="BJ133" s="332">
        <f>Tabla14[[#This Row],[Numero de Ocacionales]]*Tabla14[[#This Row],[REAJUSTADO]]</f>
        <v>210000</v>
      </c>
      <c r="BK133" s="332"/>
      <c r="BL133" s="332">
        <v>30000</v>
      </c>
      <c r="BM133" s="332">
        <f>+Tabla14[[#This Row],[CUANTO SE REAJUSTA]]*3</f>
        <v>-23430</v>
      </c>
      <c r="BN133" s="334"/>
      <c r="BO133" s="334"/>
      <c r="BP133" s="334"/>
    </row>
    <row r="134" spans="3:68" hidden="1" x14ac:dyDescent="0.25">
      <c r="C134" s="274">
        <v>44733</v>
      </c>
      <c r="D134" s="507">
        <f>YEAR(Tabla14[[#This Row],[Fecha]])</f>
        <v>2022</v>
      </c>
      <c r="E134" s="313">
        <f>IF(Tabla14[[#This Row],[Fecha]]&gt;0,_xlfn.ISOWEEKNUM(Tabla14[[#This Row],[Fecha]]),0)</f>
        <v>25</v>
      </c>
      <c r="F134" s="283">
        <v>289</v>
      </c>
      <c r="G134" s="275" t="s">
        <v>152</v>
      </c>
      <c r="H134" s="325" t="str">
        <f>_xlfn.XLOOKUP(Tabla14[[#This Row],[Codigo Finca]],Tabla4[Codigo Finca],Tabla4[Nombre Finca],"")</f>
        <v>San Pedro</v>
      </c>
      <c r="I134" s="277">
        <f>_xlfn.XLOOKUP(Tabla14[[#This Row],[Codigo Finca]],Tabla4[Codigo Finca],Tabla4[Precio Caja],0)</f>
        <v>1500</v>
      </c>
      <c r="J134" s="277">
        <f>_xlfn.XLOOKUP(Tabla14[[#This Row],[Codigo Finca]],Tabla4[Codigo Finca],Tabla4[Precio Caja Segunda],0)</f>
        <v>1000</v>
      </c>
      <c r="K134" s="277">
        <f>_xlfn.XLOOKUP(Tabla14[[#This Row],[Codigo Finca]],Tabla4[Codigo Finca],Tabla4[Precio Rechazo],0)</f>
        <v>500</v>
      </c>
      <c r="L134" s="277">
        <f t="shared" si="141"/>
        <v>1074</v>
      </c>
      <c r="M134" s="278">
        <f t="shared" si="142"/>
        <v>3.7162629757785468</v>
      </c>
      <c r="N134" s="283">
        <v>70</v>
      </c>
      <c r="O134" s="279">
        <v>3</v>
      </c>
      <c r="P134" s="280">
        <f t="shared" si="143"/>
        <v>9.4180633147113593</v>
      </c>
      <c r="Q134" s="281">
        <f t="shared" si="144"/>
        <v>3.1393544382371199</v>
      </c>
      <c r="R134" s="282">
        <f t="shared" si="145"/>
        <v>4709.0316573556802</v>
      </c>
      <c r="S134" s="283">
        <v>1004</v>
      </c>
      <c r="T134" s="275">
        <v>18</v>
      </c>
      <c r="U134" s="280">
        <f t="shared" si="146"/>
        <v>279.58193668528867</v>
      </c>
      <c r="V134" s="281">
        <f t="shared" si="147"/>
        <v>15.532329815849371</v>
      </c>
      <c r="W134" s="282">
        <f t="shared" si="148"/>
        <v>23298.494723774056</v>
      </c>
      <c r="X134" s="283"/>
      <c r="Y134" s="275"/>
      <c r="Z134" s="280">
        <f>Tabla14[[#This Row],[Cajas Segunda]]</f>
        <v>0</v>
      </c>
      <c r="AA134" s="281">
        <f t="shared" si="149"/>
        <v>0</v>
      </c>
      <c r="AB134" s="284">
        <f t="shared" si="150"/>
        <v>0</v>
      </c>
      <c r="AC134" s="285">
        <f>64+6.8</f>
        <v>70.8</v>
      </c>
      <c r="AD134" s="286"/>
      <c r="AE134" s="286"/>
      <c r="AF134" s="286"/>
      <c r="AG134" s="286">
        <v>18</v>
      </c>
      <c r="AH134" s="280">
        <f t="shared" si="151"/>
        <v>70.8</v>
      </c>
      <c r="AI134" s="281">
        <f t="shared" si="152"/>
        <v>3.9333333333333331</v>
      </c>
      <c r="AJ134" s="282">
        <f t="shared" si="153"/>
        <v>1966.6666666666665</v>
      </c>
      <c r="AK134" s="287">
        <f>Tabla14[[#This Row],[Cajas por Personas]]</f>
        <v>3.1393544382371199</v>
      </c>
      <c r="AL134" s="288">
        <f>Tabla14[[#This Row],[Valor Precorte Pesona]]</f>
        <v>4709.0316573556802</v>
      </c>
      <c r="AM134" s="294">
        <f>Tabla14[[#This Row],[Personas Precorte]]</f>
        <v>3</v>
      </c>
      <c r="AN134" s="308">
        <f>Tabla14[[#This Row],[Valor Precorte Pesona Precorte]]*Tabla14[[#This Row],[Perzonas Precorte]]</f>
        <v>14127.09497206704</v>
      </c>
      <c r="AO134" s="287">
        <f>Tabla14[[#This Row],[Cajas por Personas2]]</f>
        <v>15.532329815849371</v>
      </c>
      <c r="AP134" s="288">
        <f>Tabla14[[#This Row],[Valor Embarque Pesona]]</f>
        <v>23298.494723774056</v>
      </c>
      <c r="AQ134" s="295">
        <f>Tabla14[[#This Row],[Personas Precorte2]]</f>
        <v>18</v>
      </c>
      <c r="AR134" s="296">
        <f>Tabla14[[#This Row],[Valor Embarque Pesona3]]*Tabla14[[#This Row],[Perzona Primera]]</f>
        <v>419372.90502793301</v>
      </c>
      <c r="AS134" s="287">
        <f>Tabla14[[#This Row],[Columna2]]</f>
        <v>0</v>
      </c>
      <c r="AT134" s="288">
        <f>Tabla14[[#This Row],[Columna1]]</f>
        <v>0</v>
      </c>
      <c r="AU134" s="302">
        <f>Tabla14[[#This Row],[Personas Intervienen]]</f>
        <v>0</v>
      </c>
      <c r="AV134" s="297">
        <f>Tabla14[[#This Row],[Valor Embarque Pesona5]]*Tabla14[[#This Row],[Presonas Segunda]]</f>
        <v>0</v>
      </c>
      <c r="AW134" s="287">
        <f>Tabla14[[#This Row],[Bolsas Por Personas]]</f>
        <v>3.9333333333333331</v>
      </c>
      <c r="AX134" s="288">
        <f>Tabla14[[#This Row],[Valor bolsas Pesona]]</f>
        <v>1966.6666666666665</v>
      </c>
      <c r="AY134" s="309">
        <f>Tabla14[[#This Row],[Personas13]]</f>
        <v>18</v>
      </c>
      <c r="AZ134" s="310">
        <f>Tabla14[[#This Row],[Valor bolsas Pesona2]]*Tabla14[[#This Row],[Personas Rechazo]]</f>
        <v>35400</v>
      </c>
      <c r="BA134" s="311">
        <f>+Tabla14[[#This Row],[Total Valor Segunda]]+Tabla14[[#This Row],[Total Valor Primera]]+Tabla14[[#This Row],[Total Valor Precorte]]</f>
        <v>433500.00000000006</v>
      </c>
      <c r="BB134" s="292">
        <f>Tabla14[[#This Row],[Valor bolsas Pesona2]]+Tabla14[[#This Row],[Valor Embarque Pesona3]]</f>
        <v>25265.161390440724</v>
      </c>
      <c r="BC134" s="332">
        <v>30000</v>
      </c>
      <c r="BD134" s="292">
        <f>Tabla14[[#This Row],[VALOR GANADO]]-Tabla14[[#This Row],[REAJUSTADO]]</f>
        <v>-4734.8386095592759</v>
      </c>
      <c r="BE134" s="250">
        <f>Tabla14[[#This Row],[CUANTO SE REAJUSTA]]*Tabla14[[#This Row],[Personas Rechazo]]</f>
        <v>-85227.09497206696</v>
      </c>
      <c r="BF134" s="250">
        <f>Tabla14[[#This Row],[REAJUSTADO]]/25000</f>
        <v>1.2</v>
      </c>
      <c r="BG134" s="302">
        <f>Tabla14[[#This Row],[REAJUSTADO]]*Tabla14[[#This Row],[Personas Rechazo]]</f>
        <v>540000</v>
      </c>
      <c r="BH134" s="292" t="str">
        <f>Tabla14[[#This Row],[Finca]]</f>
        <v>San Pedro</v>
      </c>
      <c r="BI134" s="250">
        <v>12</v>
      </c>
      <c r="BJ134" s="332">
        <f>Tabla14[[#This Row],[Numero de Ocacionales]]*Tabla14[[#This Row],[REAJUSTADO]]</f>
        <v>360000</v>
      </c>
      <c r="BK134" s="332"/>
      <c r="BL134" s="332">
        <v>30000</v>
      </c>
      <c r="BM134" s="332">
        <f>+Tabla14[[#This Row],[CUANTO SE REAJUSTA]]*3</f>
        <v>-14204.515828677828</v>
      </c>
      <c r="BN134" s="334"/>
      <c r="BO134" s="334"/>
      <c r="BP134" s="334"/>
    </row>
    <row r="135" spans="3:68" hidden="1" x14ac:dyDescent="0.25">
      <c r="C135" s="274">
        <v>44734</v>
      </c>
      <c r="D135" s="507">
        <f>YEAR(Tabla14[[#This Row],[Fecha]])</f>
        <v>2022</v>
      </c>
      <c r="E135" s="313">
        <f>IF(Tabla14[[#This Row],[Fecha]]&gt;0,_xlfn.ISOWEEKNUM(Tabla14[[#This Row],[Fecha]]),0)</f>
        <v>25</v>
      </c>
      <c r="F135" s="283">
        <v>91</v>
      </c>
      <c r="G135" s="275" t="s">
        <v>153</v>
      </c>
      <c r="H135" s="325" t="str">
        <f>_xlfn.XLOOKUP(Tabla14[[#This Row],[Codigo Finca]],Tabla4[Codigo Finca],Tabla4[Nombre Finca],"")</f>
        <v>Uveros</v>
      </c>
      <c r="I135" s="277">
        <f>_xlfn.XLOOKUP(Tabla14[[#This Row],[Codigo Finca]],Tabla4[Codigo Finca],Tabla4[Precio Caja],0)</f>
        <v>1500</v>
      </c>
      <c r="J135" s="277">
        <f>_xlfn.XLOOKUP(Tabla14[[#This Row],[Codigo Finca]],Tabla4[Codigo Finca],Tabla4[Precio Caja Segunda],0)</f>
        <v>1000</v>
      </c>
      <c r="K135" s="277">
        <f>_xlfn.XLOOKUP(Tabla14[[#This Row],[Codigo Finca]],Tabla4[Codigo Finca],Tabla4[Precio Rechazo],0)</f>
        <v>500</v>
      </c>
      <c r="L135" s="277">
        <f t="shared" si="141"/>
        <v>624</v>
      </c>
      <c r="M135" s="278">
        <f t="shared" si="142"/>
        <v>6.8571428571428568</v>
      </c>
      <c r="N135" s="283"/>
      <c r="O135" s="279"/>
      <c r="P135" s="280">
        <f t="shared" si="143"/>
        <v>0</v>
      </c>
      <c r="Q135" s="281">
        <f t="shared" si="144"/>
        <v>0</v>
      </c>
      <c r="R135" s="282">
        <f t="shared" si="145"/>
        <v>0</v>
      </c>
      <c r="S135" s="283">
        <v>624</v>
      </c>
      <c r="T135" s="275">
        <v>9</v>
      </c>
      <c r="U135" s="280">
        <f t="shared" si="146"/>
        <v>91</v>
      </c>
      <c r="V135" s="281">
        <f t="shared" si="147"/>
        <v>10.111111111111111</v>
      </c>
      <c r="W135" s="282">
        <f t="shared" si="148"/>
        <v>15166.666666666666</v>
      </c>
      <c r="X135" s="283"/>
      <c r="Y135" s="275"/>
      <c r="Z135" s="280">
        <f>Tabla14[[#This Row],[Cajas Segunda]]</f>
        <v>0</v>
      </c>
      <c r="AA135" s="281">
        <f t="shared" si="149"/>
        <v>0</v>
      </c>
      <c r="AB135" s="284">
        <f t="shared" si="150"/>
        <v>0</v>
      </c>
      <c r="AC135" s="285">
        <f>78.2+31</f>
        <v>109.2</v>
      </c>
      <c r="AD135" s="286"/>
      <c r="AE135" s="286"/>
      <c r="AF135" s="286"/>
      <c r="AG135" s="286">
        <v>9</v>
      </c>
      <c r="AH135" s="280">
        <f t="shared" si="151"/>
        <v>109.2</v>
      </c>
      <c r="AI135" s="281">
        <f t="shared" si="152"/>
        <v>12.133333333333333</v>
      </c>
      <c r="AJ135" s="282">
        <f t="shared" si="153"/>
        <v>6066.6666666666661</v>
      </c>
      <c r="AK135" s="287">
        <f>Tabla14[[#This Row],[Cajas por Personas]]</f>
        <v>0</v>
      </c>
      <c r="AL135" s="288">
        <f>Tabla14[[#This Row],[Valor Precorte Pesona]]</f>
        <v>0</v>
      </c>
      <c r="AM135" s="294">
        <f>Tabla14[[#This Row],[Personas Precorte]]</f>
        <v>0</v>
      </c>
      <c r="AN135" s="308">
        <f>Tabla14[[#This Row],[Valor Precorte Pesona Precorte]]*Tabla14[[#This Row],[Perzonas Precorte]]</f>
        <v>0</v>
      </c>
      <c r="AO135" s="287">
        <f>Tabla14[[#This Row],[Cajas por Personas2]]</f>
        <v>10.111111111111111</v>
      </c>
      <c r="AP135" s="288">
        <f>Tabla14[[#This Row],[Valor Embarque Pesona]]</f>
        <v>15166.666666666666</v>
      </c>
      <c r="AQ135" s="295">
        <f>Tabla14[[#This Row],[Personas Precorte2]]</f>
        <v>9</v>
      </c>
      <c r="AR135" s="296">
        <f>Tabla14[[#This Row],[Valor Embarque Pesona3]]*Tabla14[[#This Row],[Perzona Primera]]</f>
        <v>136500</v>
      </c>
      <c r="AS135" s="287">
        <f>Tabla14[[#This Row],[Columna2]]</f>
        <v>0</v>
      </c>
      <c r="AT135" s="288">
        <f>Tabla14[[#This Row],[Columna1]]</f>
        <v>0</v>
      </c>
      <c r="AU135" s="302">
        <f>Tabla14[[#This Row],[Personas Intervienen]]</f>
        <v>0</v>
      </c>
      <c r="AV135" s="297">
        <f>Tabla14[[#This Row],[Valor Embarque Pesona5]]*Tabla14[[#This Row],[Presonas Segunda]]</f>
        <v>0</v>
      </c>
      <c r="AW135" s="287">
        <f>Tabla14[[#This Row],[Bolsas Por Personas]]</f>
        <v>12.133333333333333</v>
      </c>
      <c r="AX135" s="288">
        <f>Tabla14[[#This Row],[Valor bolsas Pesona]]</f>
        <v>6066.6666666666661</v>
      </c>
      <c r="AY135" s="309">
        <f>Tabla14[[#This Row],[Personas13]]</f>
        <v>9</v>
      </c>
      <c r="AZ135" s="310">
        <f>Tabla14[[#This Row],[Valor bolsas Pesona2]]*Tabla14[[#This Row],[Personas Rechazo]]</f>
        <v>54599.999999999993</v>
      </c>
      <c r="BA135" s="311">
        <f>+Tabla14[[#This Row],[Total Valor Segunda]]+Tabla14[[#This Row],[Total Valor Primera]]+Tabla14[[#This Row],[Total Valor Precorte]]</f>
        <v>136500</v>
      </c>
      <c r="BB135" s="292">
        <f>Tabla14[[#This Row],[Valor bolsas Pesona2]]+Tabla14[[#This Row],[Valor Embarque Pesona3]]</f>
        <v>21233.333333333332</v>
      </c>
      <c r="BC135" s="332">
        <v>30000</v>
      </c>
      <c r="BD135" s="292">
        <f>Tabla14[[#This Row],[VALOR GANADO]]-Tabla14[[#This Row],[REAJUSTADO]]</f>
        <v>-8766.6666666666679</v>
      </c>
      <c r="BE135" s="250">
        <f>Tabla14[[#This Row],[CUANTO SE REAJUSTA]]*Tabla14[[#This Row],[Personas Rechazo]]</f>
        <v>-78900.000000000015</v>
      </c>
      <c r="BF135" s="250">
        <f>Tabla14[[#This Row],[REAJUSTADO]]/25000</f>
        <v>1.2</v>
      </c>
      <c r="BG135" s="302">
        <f>Tabla14[[#This Row],[REAJUSTADO]]*Tabla14[[#This Row],[Personas Rechazo]]</f>
        <v>270000</v>
      </c>
      <c r="BH135" s="292" t="str">
        <f>Tabla14[[#This Row],[Finca]]</f>
        <v>Uveros</v>
      </c>
      <c r="BI135" s="250">
        <v>7</v>
      </c>
      <c r="BJ135" s="332">
        <f>Tabla14[[#This Row],[Numero de Ocacionales]]*Tabla14[[#This Row],[REAJUSTADO]]</f>
        <v>210000</v>
      </c>
      <c r="BK135" s="332"/>
      <c r="BL135" s="332">
        <v>30000</v>
      </c>
      <c r="BM135" s="332">
        <f>+Tabla14[[#This Row],[CUANTO SE REAJUSTA]]*3</f>
        <v>-26300.000000000004</v>
      </c>
      <c r="BN135" s="334"/>
      <c r="BO135" s="334"/>
      <c r="BP135" s="334"/>
    </row>
    <row r="136" spans="3:68" hidden="1" x14ac:dyDescent="0.25">
      <c r="C136" s="274">
        <v>44734</v>
      </c>
      <c r="D136" s="507">
        <f>YEAR(Tabla14[[#This Row],[Fecha]])</f>
        <v>2022</v>
      </c>
      <c r="E136" s="313">
        <f>IF(Tabla14[[#This Row],[Fecha]]&gt;0,_xlfn.ISOWEEKNUM(Tabla14[[#This Row],[Fecha]]),0)</f>
        <v>25</v>
      </c>
      <c r="F136" s="283">
        <v>370</v>
      </c>
      <c r="G136" s="275" t="s">
        <v>157</v>
      </c>
      <c r="H136" s="325" t="str">
        <f>_xlfn.XLOOKUP(Tabla14[[#This Row],[Codigo Finca]],Tabla4[Codigo Finca],Tabla4[Nombre Finca],"")</f>
        <v>Pedrito</v>
      </c>
      <c r="I136" s="277">
        <f>_xlfn.XLOOKUP(Tabla14[[#This Row],[Codigo Finca]],Tabla4[Codigo Finca],Tabla4[Precio Caja],0)</f>
        <v>2100</v>
      </c>
      <c r="J136" s="277">
        <f>_xlfn.XLOOKUP(Tabla14[[#This Row],[Codigo Finca]],Tabla4[Codigo Finca],Tabla4[Precio Caja Segunda],0)</f>
        <v>1000</v>
      </c>
      <c r="K136" s="277">
        <f>_xlfn.XLOOKUP(Tabla14[[#This Row],[Codigo Finca]],Tabla4[Codigo Finca],Tabla4[Precio Rechazo],0)</f>
        <v>500</v>
      </c>
      <c r="L136" s="277">
        <f t="shared" si="141"/>
        <v>1107</v>
      </c>
      <c r="M136" s="278">
        <f t="shared" si="142"/>
        <v>2.9918918918918918</v>
      </c>
      <c r="N136" s="283"/>
      <c r="O136" s="279"/>
      <c r="P136" s="280">
        <f t="shared" si="143"/>
        <v>0</v>
      </c>
      <c r="Q136" s="281">
        <f t="shared" si="144"/>
        <v>0</v>
      </c>
      <c r="R136" s="282">
        <f t="shared" si="145"/>
        <v>0</v>
      </c>
      <c r="S136" s="283">
        <v>1107</v>
      </c>
      <c r="T136" s="275">
        <v>17</v>
      </c>
      <c r="U136" s="280">
        <f t="shared" si="146"/>
        <v>370</v>
      </c>
      <c r="V136" s="281">
        <f t="shared" si="147"/>
        <v>21.764705882352942</v>
      </c>
      <c r="W136" s="282">
        <f t="shared" si="148"/>
        <v>45705.882352941175</v>
      </c>
      <c r="X136" s="283"/>
      <c r="Y136" s="275"/>
      <c r="Z136" s="280">
        <f>Tabla14[[#This Row],[Cajas Segunda]]</f>
        <v>0</v>
      </c>
      <c r="AA136" s="281">
        <f t="shared" si="149"/>
        <v>0</v>
      </c>
      <c r="AB136" s="284">
        <f t="shared" si="150"/>
        <v>0</v>
      </c>
      <c r="AC136" s="285">
        <f>22.1+114</f>
        <v>136.1</v>
      </c>
      <c r="AD136" s="286"/>
      <c r="AE136" s="286"/>
      <c r="AF136" s="286"/>
      <c r="AG136" s="286">
        <v>17</v>
      </c>
      <c r="AH136" s="280">
        <f t="shared" si="151"/>
        <v>136.1</v>
      </c>
      <c r="AI136" s="281">
        <f t="shared" si="152"/>
        <v>8.0058823529411764</v>
      </c>
      <c r="AJ136" s="282">
        <f t="shared" si="153"/>
        <v>4002.9411764705883</v>
      </c>
      <c r="AK136" s="287">
        <f>Tabla14[[#This Row],[Cajas por Personas]]</f>
        <v>0</v>
      </c>
      <c r="AL136" s="288">
        <f>Tabla14[[#This Row],[Valor Precorte Pesona]]</f>
        <v>0</v>
      </c>
      <c r="AM136" s="294">
        <f>Tabla14[[#This Row],[Personas Precorte]]</f>
        <v>0</v>
      </c>
      <c r="AN136" s="308">
        <f>Tabla14[[#This Row],[Valor Precorte Pesona Precorte]]*Tabla14[[#This Row],[Perzonas Precorte]]</f>
        <v>0</v>
      </c>
      <c r="AO136" s="287">
        <f>Tabla14[[#This Row],[Cajas por Personas2]]</f>
        <v>21.764705882352942</v>
      </c>
      <c r="AP136" s="288">
        <f>Tabla14[[#This Row],[Valor Embarque Pesona]]</f>
        <v>45705.882352941175</v>
      </c>
      <c r="AQ136" s="295">
        <f>Tabla14[[#This Row],[Personas Precorte2]]</f>
        <v>17</v>
      </c>
      <c r="AR136" s="296">
        <f>Tabla14[[#This Row],[Valor Embarque Pesona3]]*Tabla14[[#This Row],[Perzona Primera]]</f>
        <v>777000</v>
      </c>
      <c r="AS136" s="287">
        <f>Tabla14[[#This Row],[Columna2]]</f>
        <v>0</v>
      </c>
      <c r="AT136" s="288">
        <f>Tabla14[[#This Row],[Columna1]]</f>
        <v>0</v>
      </c>
      <c r="AU136" s="302">
        <f>Tabla14[[#This Row],[Personas Intervienen]]</f>
        <v>0</v>
      </c>
      <c r="AV136" s="297">
        <f>Tabla14[[#This Row],[Valor Embarque Pesona5]]*Tabla14[[#This Row],[Presonas Segunda]]</f>
        <v>0</v>
      </c>
      <c r="AW136" s="287">
        <f>Tabla14[[#This Row],[Bolsas Por Personas]]</f>
        <v>8.0058823529411764</v>
      </c>
      <c r="AX136" s="288">
        <f>Tabla14[[#This Row],[Valor bolsas Pesona]]</f>
        <v>4002.9411764705883</v>
      </c>
      <c r="AY136" s="309">
        <f>Tabla14[[#This Row],[Personas13]]</f>
        <v>17</v>
      </c>
      <c r="AZ136" s="310">
        <f>Tabla14[[#This Row],[Valor bolsas Pesona2]]*Tabla14[[#This Row],[Personas Rechazo]]</f>
        <v>68050</v>
      </c>
      <c r="BA136" s="311">
        <f>+Tabla14[[#This Row],[Total Valor Segunda]]+Tabla14[[#This Row],[Total Valor Primera]]+Tabla14[[#This Row],[Total Valor Precorte]]</f>
        <v>777000</v>
      </c>
      <c r="BB136" s="292">
        <f>Tabla14[[#This Row],[Valor bolsas Pesona2]]+Tabla14[[#This Row],[Valor Embarque Pesona3]]</f>
        <v>49708.823529411762</v>
      </c>
      <c r="BC136" s="332">
        <v>50000</v>
      </c>
      <c r="BD136" s="292">
        <f>Tabla14[[#This Row],[VALOR GANADO]]-Tabla14[[#This Row],[REAJUSTADO]]</f>
        <v>-291.17647058823786</v>
      </c>
      <c r="BE136" s="250">
        <f>Tabla14[[#This Row],[CUANTO SE REAJUSTA]]*Tabla14[[#This Row],[Personas Rechazo]]</f>
        <v>-4950.0000000000437</v>
      </c>
      <c r="BF136" s="250">
        <f>Tabla14[[#This Row],[REAJUSTADO]]/25000</f>
        <v>2</v>
      </c>
      <c r="BG136" s="302">
        <f>Tabla14[[#This Row],[REAJUSTADO]]*Tabla14[[#This Row],[Personas Rechazo]]</f>
        <v>850000</v>
      </c>
      <c r="BH136" s="292" t="str">
        <f>Tabla14[[#This Row],[Finca]]</f>
        <v>Pedrito</v>
      </c>
      <c r="BI136" s="250">
        <v>5</v>
      </c>
      <c r="BJ136" s="332">
        <f>Tabla14[[#This Row],[Numero de Ocacionales]]*Tabla14[[#This Row],[REAJUSTADO]]</f>
        <v>250000</v>
      </c>
      <c r="BK136" s="332"/>
      <c r="BL136" s="332">
        <v>30000</v>
      </c>
      <c r="BM136" s="332">
        <f>+Tabla14[[#This Row],[CUANTO SE REAJUSTA]]*3</f>
        <v>-873.52941176471359</v>
      </c>
      <c r="BN136" s="334"/>
      <c r="BO136" s="334"/>
      <c r="BP136" s="334"/>
    </row>
    <row r="137" spans="3:68" hidden="1" x14ac:dyDescent="0.25">
      <c r="C137" s="274">
        <v>44735</v>
      </c>
      <c r="D137" s="507">
        <f>YEAR(Tabla14[[#This Row],[Fecha]])</f>
        <v>2022</v>
      </c>
      <c r="E137" s="313">
        <f>IF(Tabla14[[#This Row],[Fecha]]&gt;0,_xlfn.ISOWEEKNUM(Tabla14[[#This Row],[Fecha]]),0)</f>
        <v>25</v>
      </c>
      <c r="F137" s="283">
        <v>106</v>
      </c>
      <c r="G137" s="275" t="s">
        <v>157</v>
      </c>
      <c r="H137" s="325" t="str">
        <f>_xlfn.XLOOKUP(Tabla14[[#This Row],[Codigo Finca]],Tabla4[Codigo Finca],Tabla4[Nombre Finca],"")</f>
        <v>Pedrito</v>
      </c>
      <c r="I137" s="277">
        <f>_xlfn.XLOOKUP(Tabla14[[#This Row],[Codigo Finca]],Tabla4[Codigo Finca],Tabla4[Precio Caja],0)</f>
        <v>2100</v>
      </c>
      <c r="J137" s="277">
        <f>_xlfn.XLOOKUP(Tabla14[[#This Row],[Codigo Finca]],Tabla4[Codigo Finca],Tabla4[Precio Caja Segunda],0)</f>
        <v>1000</v>
      </c>
      <c r="K137" s="277">
        <f>_xlfn.XLOOKUP(Tabla14[[#This Row],[Codigo Finca]],Tabla4[Codigo Finca],Tabla4[Precio Rechazo],0)</f>
        <v>500</v>
      </c>
      <c r="L137" s="277">
        <f t="shared" ref="L137:L142" si="154">S137+N137</f>
        <v>332</v>
      </c>
      <c r="M137" s="278">
        <f t="shared" ref="M137:M142" si="155">IF(F137&gt;0,L137/F137,0)</f>
        <v>3.1320754716981134</v>
      </c>
      <c r="N137" s="283"/>
      <c r="O137" s="279"/>
      <c r="P137" s="280">
        <f t="shared" ref="P137:P142" si="156">IF(N137&gt;0,(N137/M137)/2,0)</f>
        <v>0</v>
      </c>
      <c r="Q137" s="281">
        <f t="shared" ref="Q137:Q142" si="157">IF(O137&gt;0,P137/O137,0)</f>
        <v>0</v>
      </c>
      <c r="R137" s="282">
        <f t="shared" ref="R137:R142" si="158">IF(I137&gt;0,Q137*I137,)</f>
        <v>0</v>
      </c>
      <c r="S137" s="283">
        <v>332</v>
      </c>
      <c r="T137" s="275">
        <v>6</v>
      </c>
      <c r="U137" s="280">
        <f t="shared" ref="U137:U142" si="159">F137-P137</f>
        <v>106</v>
      </c>
      <c r="V137" s="281">
        <f t="shared" ref="V137:V142" si="160">IF(T137&gt;0,U137/T137,0)</f>
        <v>17.666666666666668</v>
      </c>
      <c r="W137" s="282">
        <f t="shared" ref="W137:W142" si="161">IF(T137&gt;0,(U137*I137)/T137,0)</f>
        <v>37100</v>
      </c>
      <c r="X137" s="283"/>
      <c r="Y137" s="275"/>
      <c r="Z137" s="280">
        <f>Tabla14[[#This Row],[Cajas Segunda]]</f>
        <v>0</v>
      </c>
      <c r="AA137" s="281">
        <f t="shared" ref="AA137:AA142" si="162">IF(Y137&gt;0,Z137/Y137,0)</f>
        <v>0</v>
      </c>
      <c r="AB137" s="284">
        <f t="shared" ref="AB137:AB142" si="163">IF(Y137&gt;0,(Z137*J137)/Y137,0)</f>
        <v>0</v>
      </c>
      <c r="AC137" s="285">
        <v>25</v>
      </c>
      <c r="AD137" s="286"/>
      <c r="AE137" s="286"/>
      <c r="AF137" s="286"/>
      <c r="AG137" s="286">
        <v>6</v>
      </c>
      <c r="AH137" s="280">
        <f t="shared" ref="AH137:AH142" si="164">IF(AND(AC137&gt;0,AE137=0,AF137=0,AD137=0),AC137,IF(AND(AC137=0,AE137&gt;0,AF137&gt;0,AD137=0),AE137*AF137/25,IF(AND(AC137=0,AE137=0,AF137=0,AD137&gt;0),AD137/25,0)))</f>
        <v>25</v>
      </c>
      <c r="AI137" s="281">
        <f t="shared" ref="AI137:AI142" si="165">IF(AG137&gt;0,AH137/AG137,0)</f>
        <v>4.166666666666667</v>
      </c>
      <c r="AJ137" s="282">
        <f t="shared" ref="AJ137:AJ142" si="166">AI137*K137</f>
        <v>2083.3333333333335</v>
      </c>
      <c r="AK137" s="287">
        <f>Tabla14[[#This Row],[Cajas por Personas]]</f>
        <v>0</v>
      </c>
      <c r="AL137" s="288">
        <f>Tabla14[[#This Row],[Valor Precorte Pesona]]</f>
        <v>0</v>
      </c>
      <c r="AM137" s="294">
        <f>Tabla14[[#This Row],[Personas Precorte]]</f>
        <v>0</v>
      </c>
      <c r="AN137" s="308">
        <f>Tabla14[[#This Row],[Valor Precorte Pesona Precorte]]*Tabla14[[#This Row],[Perzonas Precorte]]</f>
        <v>0</v>
      </c>
      <c r="AO137" s="287">
        <f>Tabla14[[#This Row],[Cajas por Personas2]]</f>
        <v>17.666666666666668</v>
      </c>
      <c r="AP137" s="288">
        <f>Tabla14[[#This Row],[Valor Embarque Pesona]]</f>
        <v>37100</v>
      </c>
      <c r="AQ137" s="295">
        <f>Tabla14[[#This Row],[Personas Precorte2]]</f>
        <v>6</v>
      </c>
      <c r="AR137" s="296">
        <f>Tabla14[[#This Row],[Valor Embarque Pesona3]]*Tabla14[[#This Row],[Perzona Primera]]</f>
        <v>222600</v>
      </c>
      <c r="AS137" s="287">
        <f>Tabla14[[#This Row],[Columna2]]</f>
        <v>0</v>
      </c>
      <c r="AT137" s="288">
        <f>Tabla14[[#This Row],[Columna1]]</f>
        <v>0</v>
      </c>
      <c r="AU137" s="302">
        <f>Tabla14[[#This Row],[Personas Intervienen]]</f>
        <v>0</v>
      </c>
      <c r="AV137" s="297">
        <f>Tabla14[[#This Row],[Valor Embarque Pesona5]]*Tabla14[[#This Row],[Presonas Segunda]]</f>
        <v>0</v>
      </c>
      <c r="AW137" s="287">
        <f>Tabla14[[#This Row],[Bolsas Por Personas]]</f>
        <v>4.166666666666667</v>
      </c>
      <c r="AX137" s="288">
        <f>Tabla14[[#This Row],[Valor bolsas Pesona]]</f>
        <v>2083.3333333333335</v>
      </c>
      <c r="AY137" s="309">
        <f>Tabla14[[#This Row],[Personas13]]</f>
        <v>6</v>
      </c>
      <c r="AZ137" s="310">
        <f>Tabla14[[#This Row],[Valor bolsas Pesona2]]*Tabla14[[#This Row],[Personas Rechazo]]</f>
        <v>12500</v>
      </c>
      <c r="BA137" s="311">
        <f>+Tabla14[[#This Row],[Total Valor Segunda]]+Tabla14[[#This Row],[Total Valor Primera]]+Tabla14[[#This Row],[Total Valor Precorte]]</f>
        <v>222600</v>
      </c>
      <c r="BB137" s="292">
        <f>Tabla14[[#This Row],[Valor bolsas Pesona2]]+Tabla14[[#This Row],[Valor Embarque Pesona3]]</f>
        <v>39183.333333333336</v>
      </c>
      <c r="BD137" s="292">
        <f>Tabla14[[#This Row],[VALOR GANADO]]-Tabla14[[#This Row],[REAJUSTADO]]</f>
        <v>39183.333333333336</v>
      </c>
      <c r="BE137" s="250">
        <f>Tabla14[[#This Row],[CUANTO SE REAJUSTA]]*Tabla14[[#This Row],[Personas Rechazo]]</f>
        <v>235100</v>
      </c>
      <c r="BF137" s="250">
        <f>Tabla14[[#This Row],[REAJUSTADO]]/25000</f>
        <v>0</v>
      </c>
      <c r="BG137" s="302">
        <f>Tabla14[[#This Row],[REAJUSTADO]]*Tabla14[[#This Row],[Personas Rechazo]]</f>
        <v>0</v>
      </c>
      <c r="BH137" s="292" t="str">
        <f>Tabla14[[#This Row],[Finca]]</f>
        <v>Pedrito</v>
      </c>
      <c r="BJ137" s="332">
        <f>Tabla14[[#This Row],[Numero de Ocacionales]]*Tabla14[[#This Row],[REAJUSTADO]]</f>
        <v>0</v>
      </c>
      <c r="BK137" s="332"/>
      <c r="BL137" s="332">
        <v>30000</v>
      </c>
      <c r="BM137" s="332">
        <f>+Tabla14[[#This Row],[CUANTO SE REAJUSTA]]*3</f>
        <v>117550</v>
      </c>
      <c r="BN137" s="334"/>
      <c r="BO137" s="334"/>
      <c r="BP137" s="334"/>
    </row>
    <row r="138" spans="3:68" hidden="1" x14ac:dyDescent="0.25">
      <c r="C138" s="274">
        <v>44740</v>
      </c>
      <c r="D138" s="507">
        <f>YEAR(Tabla14[[#This Row],[Fecha]])</f>
        <v>2022</v>
      </c>
      <c r="E138" s="313">
        <f>IF(Tabla14[[#This Row],[Fecha]]&gt;0,_xlfn.ISOWEEKNUM(Tabla14[[#This Row],[Fecha]]),0)</f>
        <v>26</v>
      </c>
      <c r="F138" s="283">
        <v>274</v>
      </c>
      <c r="G138" s="275" t="s">
        <v>152</v>
      </c>
      <c r="H138" s="325" t="str">
        <f>_xlfn.XLOOKUP(Tabla14[[#This Row],[Codigo Finca]],Tabla4[Codigo Finca],Tabla4[Nombre Finca],"")</f>
        <v>San Pedro</v>
      </c>
      <c r="I138" s="277">
        <f>_xlfn.XLOOKUP(Tabla14[[#This Row],[Codigo Finca]],Tabla4[Codigo Finca],Tabla4[Precio Caja],0)</f>
        <v>1500</v>
      </c>
      <c r="J138" s="277">
        <f>_xlfn.XLOOKUP(Tabla14[[#This Row],[Codigo Finca]],Tabla4[Codigo Finca],Tabla4[Precio Caja Segunda],0)</f>
        <v>1000</v>
      </c>
      <c r="K138" s="277">
        <f>_xlfn.XLOOKUP(Tabla14[[#This Row],[Codigo Finca]],Tabla4[Codigo Finca],Tabla4[Precio Rechazo],0)</f>
        <v>500</v>
      </c>
      <c r="L138" s="277">
        <f t="shared" si="154"/>
        <v>1029</v>
      </c>
      <c r="M138" s="278">
        <f t="shared" si="155"/>
        <v>3.7554744525547443</v>
      </c>
      <c r="N138" s="283">
        <v>70</v>
      </c>
      <c r="O138" s="279">
        <v>2</v>
      </c>
      <c r="P138" s="280">
        <f t="shared" si="156"/>
        <v>9.3197278911564627</v>
      </c>
      <c r="Q138" s="281">
        <f t="shared" si="157"/>
        <v>4.6598639455782314</v>
      </c>
      <c r="R138" s="282">
        <f t="shared" si="158"/>
        <v>6989.7959183673474</v>
      </c>
      <c r="S138" s="283">
        <f>1029-70</f>
        <v>959</v>
      </c>
      <c r="T138" s="275">
        <v>17</v>
      </c>
      <c r="U138" s="280">
        <f t="shared" si="159"/>
        <v>264.68027210884355</v>
      </c>
      <c r="V138" s="281">
        <f t="shared" si="160"/>
        <v>15.569427771108444</v>
      </c>
      <c r="W138" s="282">
        <f t="shared" si="161"/>
        <v>23354.141656662665</v>
      </c>
      <c r="X138" s="283"/>
      <c r="Y138" s="275"/>
      <c r="Z138" s="280">
        <f>Tabla14[[#This Row],[Cajas Segunda]]</f>
        <v>0</v>
      </c>
      <c r="AA138" s="281">
        <f t="shared" si="162"/>
        <v>0</v>
      </c>
      <c r="AB138" s="284">
        <f t="shared" si="163"/>
        <v>0</v>
      </c>
      <c r="AC138" s="285">
        <f>9.52+65</f>
        <v>74.52</v>
      </c>
      <c r="AD138" s="286"/>
      <c r="AE138" s="286"/>
      <c r="AF138" s="286"/>
      <c r="AG138" s="286">
        <v>17</v>
      </c>
      <c r="AH138" s="280">
        <f t="shared" si="164"/>
        <v>74.52</v>
      </c>
      <c r="AI138" s="281">
        <f t="shared" si="165"/>
        <v>4.3835294117647052</v>
      </c>
      <c r="AJ138" s="282">
        <f t="shared" si="166"/>
        <v>2191.7647058823527</v>
      </c>
      <c r="AK138" s="287">
        <f>Tabla14[[#This Row],[Cajas por Personas]]</f>
        <v>4.6598639455782314</v>
      </c>
      <c r="AL138" s="288">
        <f>Tabla14[[#This Row],[Valor Precorte Pesona]]</f>
        <v>6989.7959183673474</v>
      </c>
      <c r="AM138" s="294">
        <f>Tabla14[[#This Row],[Personas Precorte]]</f>
        <v>2</v>
      </c>
      <c r="AN138" s="308">
        <f>Tabla14[[#This Row],[Valor Precorte Pesona Precorte]]*Tabla14[[#This Row],[Perzonas Precorte]]</f>
        <v>13979.591836734695</v>
      </c>
      <c r="AO138" s="287">
        <f>Tabla14[[#This Row],[Cajas por Personas2]]</f>
        <v>15.569427771108444</v>
      </c>
      <c r="AP138" s="288">
        <f>Tabla14[[#This Row],[Valor Embarque Pesona]]</f>
        <v>23354.141656662665</v>
      </c>
      <c r="AQ138" s="295">
        <f>Tabla14[[#This Row],[Personas Precorte2]]</f>
        <v>17</v>
      </c>
      <c r="AR138" s="296">
        <f>Tabla14[[#This Row],[Valor Embarque Pesona3]]*Tabla14[[#This Row],[Perzona Primera]]</f>
        <v>397020.40816326533</v>
      </c>
      <c r="AS138" s="287">
        <f>Tabla14[[#This Row],[Columna2]]</f>
        <v>0</v>
      </c>
      <c r="AT138" s="288">
        <f>Tabla14[[#This Row],[Columna1]]</f>
        <v>0</v>
      </c>
      <c r="AU138" s="302">
        <f>Tabla14[[#This Row],[Personas Intervienen]]</f>
        <v>0</v>
      </c>
      <c r="AV138" s="297">
        <f>Tabla14[[#This Row],[Valor Embarque Pesona5]]*Tabla14[[#This Row],[Presonas Segunda]]</f>
        <v>0</v>
      </c>
      <c r="AW138" s="287">
        <f>Tabla14[[#This Row],[Bolsas Por Personas]]</f>
        <v>4.3835294117647052</v>
      </c>
      <c r="AX138" s="288">
        <f>Tabla14[[#This Row],[Valor bolsas Pesona]]</f>
        <v>2191.7647058823527</v>
      </c>
      <c r="AY138" s="309">
        <f>Tabla14[[#This Row],[Personas13]]</f>
        <v>17</v>
      </c>
      <c r="AZ138" s="310">
        <f>Tabla14[[#This Row],[Valor bolsas Pesona2]]*Tabla14[[#This Row],[Personas Rechazo]]</f>
        <v>37259.999999999993</v>
      </c>
      <c r="BA138" s="311">
        <f>+Tabla14[[#This Row],[Total Valor Segunda]]+Tabla14[[#This Row],[Total Valor Primera]]+Tabla14[[#This Row],[Total Valor Precorte]]</f>
        <v>411000</v>
      </c>
      <c r="BB138" s="292">
        <f>Tabla14[[#This Row],[Valor bolsas Pesona2]]+Tabla14[[#This Row],[Valor Embarque Pesona3]]</f>
        <v>25545.906362545018</v>
      </c>
      <c r="BC138" s="332">
        <v>30000</v>
      </c>
      <c r="BD138" s="292">
        <f>Tabla14[[#This Row],[VALOR GANADO]]-Tabla14[[#This Row],[REAJUSTADO]]</f>
        <v>-4454.0936374549819</v>
      </c>
      <c r="BE138" s="250">
        <f>Tabla14[[#This Row],[CUANTO SE REAJUSTA]]*Tabla14[[#This Row],[Personas Rechazo]]</f>
        <v>-75719.591836734689</v>
      </c>
      <c r="BF138" s="250">
        <f>Tabla14[[#This Row],[REAJUSTADO]]/25000</f>
        <v>1.2</v>
      </c>
      <c r="BG138" s="302">
        <f>Tabla14[[#This Row],[REAJUSTADO]]*Tabla14[[#This Row],[Personas Rechazo]]</f>
        <v>510000</v>
      </c>
      <c r="BH138" s="292" t="str">
        <f>Tabla14[[#This Row],[Finca]]</f>
        <v>San Pedro</v>
      </c>
      <c r="BI138" s="250">
        <v>12</v>
      </c>
      <c r="BJ138" s="332">
        <f>Tabla14[[#This Row],[Numero de Ocacionales]]*Tabla14[[#This Row],[REAJUSTADO]]</f>
        <v>360000</v>
      </c>
      <c r="BK138" s="332"/>
      <c r="BL138" s="332">
        <v>30000</v>
      </c>
      <c r="BM138" s="332">
        <f>+Tabla14[[#This Row],[CUANTO SE REAJUSTA]]*3</f>
        <v>-13362.280912364946</v>
      </c>
      <c r="BN138" s="334"/>
      <c r="BO138" s="334"/>
      <c r="BP138" s="334"/>
    </row>
    <row r="139" spans="3:68" hidden="1" x14ac:dyDescent="0.25">
      <c r="C139" s="274">
        <v>44740</v>
      </c>
      <c r="D139" s="507">
        <f>YEAR(Tabla14[[#This Row],[Fecha]])</f>
        <v>2022</v>
      </c>
      <c r="E139" s="313">
        <f>IF(Tabla14[[#This Row],[Fecha]]&gt;0,_xlfn.ISOWEEKNUM(Tabla14[[#This Row],[Fecha]]),0)</f>
        <v>26</v>
      </c>
      <c r="F139" s="283">
        <v>118</v>
      </c>
      <c r="G139" s="275" t="s">
        <v>155</v>
      </c>
      <c r="H139" s="325" t="str">
        <f>_xlfn.XLOOKUP(Tabla14[[#This Row],[Codigo Finca]],Tabla4[Codigo Finca],Tabla4[Nombre Finca],"")</f>
        <v>Damaquiel</v>
      </c>
      <c r="I139" s="277">
        <f>_xlfn.XLOOKUP(Tabla14[[#This Row],[Codigo Finca]],Tabla4[Codigo Finca],Tabla4[Precio Caja],0)</f>
        <v>1500</v>
      </c>
      <c r="J139" s="277">
        <f>_xlfn.XLOOKUP(Tabla14[[#This Row],[Codigo Finca]],Tabla4[Codigo Finca],Tabla4[Precio Caja Segunda],0)</f>
        <v>1000</v>
      </c>
      <c r="K139" s="277">
        <f>_xlfn.XLOOKUP(Tabla14[[#This Row],[Codigo Finca]],Tabla4[Codigo Finca],Tabla4[Precio Rechazo],0)</f>
        <v>500</v>
      </c>
      <c r="L139" s="277">
        <f t="shared" si="154"/>
        <v>340</v>
      </c>
      <c r="M139" s="278">
        <f t="shared" si="155"/>
        <v>2.8813559322033897</v>
      </c>
      <c r="N139" s="283"/>
      <c r="O139" s="279"/>
      <c r="P139" s="280">
        <f t="shared" si="156"/>
        <v>0</v>
      </c>
      <c r="Q139" s="281">
        <f t="shared" si="157"/>
        <v>0</v>
      </c>
      <c r="R139" s="282">
        <f t="shared" si="158"/>
        <v>0</v>
      </c>
      <c r="S139" s="283">
        <v>340</v>
      </c>
      <c r="T139" s="275">
        <v>9</v>
      </c>
      <c r="U139" s="280">
        <f t="shared" si="159"/>
        <v>118</v>
      </c>
      <c r="V139" s="281">
        <f t="shared" si="160"/>
        <v>13.111111111111111</v>
      </c>
      <c r="W139" s="282">
        <f t="shared" si="161"/>
        <v>19666.666666666668</v>
      </c>
      <c r="X139" s="283"/>
      <c r="Y139" s="275"/>
      <c r="Z139" s="280">
        <f>Tabla14[[#This Row],[Cajas Segunda]]</f>
        <v>0</v>
      </c>
      <c r="AA139" s="281">
        <f t="shared" si="162"/>
        <v>0</v>
      </c>
      <c r="AB139" s="284">
        <f t="shared" si="163"/>
        <v>0</v>
      </c>
      <c r="AC139" s="285">
        <v>45</v>
      </c>
      <c r="AD139" s="286"/>
      <c r="AE139" s="286"/>
      <c r="AF139" s="286"/>
      <c r="AG139" s="286">
        <v>9</v>
      </c>
      <c r="AH139" s="280">
        <f t="shared" si="164"/>
        <v>45</v>
      </c>
      <c r="AI139" s="281">
        <f t="shared" si="165"/>
        <v>5</v>
      </c>
      <c r="AJ139" s="282">
        <f t="shared" si="166"/>
        <v>2500</v>
      </c>
      <c r="AK139" s="287">
        <f>Tabla14[[#This Row],[Cajas por Personas]]</f>
        <v>0</v>
      </c>
      <c r="AL139" s="288">
        <f>Tabla14[[#This Row],[Valor Precorte Pesona]]</f>
        <v>0</v>
      </c>
      <c r="AM139" s="294">
        <f>Tabla14[[#This Row],[Personas Precorte]]</f>
        <v>0</v>
      </c>
      <c r="AN139" s="308">
        <f>Tabla14[[#This Row],[Valor Precorte Pesona Precorte]]*Tabla14[[#This Row],[Perzonas Precorte]]</f>
        <v>0</v>
      </c>
      <c r="AO139" s="287">
        <f>Tabla14[[#This Row],[Cajas por Personas2]]</f>
        <v>13.111111111111111</v>
      </c>
      <c r="AP139" s="288">
        <f>Tabla14[[#This Row],[Valor Embarque Pesona]]</f>
        <v>19666.666666666668</v>
      </c>
      <c r="AQ139" s="295">
        <f>Tabla14[[#This Row],[Personas Precorte2]]</f>
        <v>9</v>
      </c>
      <c r="AR139" s="296">
        <f>Tabla14[[#This Row],[Valor Embarque Pesona3]]*Tabla14[[#This Row],[Perzona Primera]]</f>
        <v>177000</v>
      </c>
      <c r="AS139" s="287">
        <f>Tabla14[[#This Row],[Columna2]]</f>
        <v>0</v>
      </c>
      <c r="AT139" s="288">
        <f>Tabla14[[#This Row],[Columna1]]</f>
        <v>0</v>
      </c>
      <c r="AU139" s="302">
        <f>Tabla14[[#This Row],[Personas Intervienen]]</f>
        <v>0</v>
      </c>
      <c r="AV139" s="297">
        <f>Tabla14[[#This Row],[Valor Embarque Pesona5]]*Tabla14[[#This Row],[Presonas Segunda]]</f>
        <v>0</v>
      </c>
      <c r="AW139" s="287">
        <f>Tabla14[[#This Row],[Bolsas Por Personas]]</f>
        <v>5</v>
      </c>
      <c r="AX139" s="288">
        <f>Tabla14[[#This Row],[Valor bolsas Pesona]]</f>
        <v>2500</v>
      </c>
      <c r="AY139" s="309">
        <f>Tabla14[[#This Row],[Personas13]]</f>
        <v>9</v>
      </c>
      <c r="AZ139" s="310">
        <f>Tabla14[[#This Row],[Valor bolsas Pesona2]]*Tabla14[[#This Row],[Personas Rechazo]]</f>
        <v>22500</v>
      </c>
      <c r="BA139" s="311">
        <f>+Tabla14[[#This Row],[Total Valor Segunda]]+Tabla14[[#This Row],[Total Valor Primera]]+Tabla14[[#This Row],[Total Valor Precorte]]</f>
        <v>177000</v>
      </c>
      <c r="BB139" s="292">
        <f>Tabla14[[#This Row],[Valor bolsas Pesona2]]+Tabla14[[#This Row],[Valor Embarque Pesona3]]</f>
        <v>22166.666666666668</v>
      </c>
      <c r="BC139" s="332">
        <v>30000</v>
      </c>
      <c r="BD139" s="292">
        <f>Tabla14[[#This Row],[VALOR GANADO]]-Tabla14[[#This Row],[REAJUSTADO]]</f>
        <v>-7833.3333333333321</v>
      </c>
      <c r="BE139" s="250">
        <f>Tabla14[[#This Row],[CUANTO SE REAJUSTA]]*Tabla14[[#This Row],[Personas Rechazo]]</f>
        <v>-70499.999999999985</v>
      </c>
      <c r="BF139" s="250">
        <f>Tabla14[[#This Row],[REAJUSTADO]]/25000</f>
        <v>1.2</v>
      </c>
      <c r="BG139" s="302">
        <f>Tabla14[[#This Row],[REAJUSTADO]]*Tabla14[[#This Row],[Personas Rechazo]]</f>
        <v>270000</v>
      </c>
      <c r="BH139" s="292" t="str">
        <f>Tabla14[[#This Row],[Finca]]</f>
        <v>Damaquiel</v>
      </c>
      <c r="BI139" s="250">
        <f>9-3</f>
        <v>6</v>
      </c>
      <c r="BJ139" s="332">
        <f>Tabla14[[#This Row],[Numero de Ocacionales]]*Tabla14[[#This Row],[REAJUSTADO]]</f>
        <v>180000</v>
      </c>
      <c r="BK139" s="332"/>
      <c r="BL139" s="332">
        <v>0</v>
      </c>
      <c r="BM139" s="332">
        <f>+Tabla14[[#This Row],[CUANTO SE REAJUSTA]]*3</f>
        <v>-23499.999999999996</v>
      </c>
      <c r="BN139" s="334"/>
      <c r="BO139" s="334"/>
      <c r="BP139" s="334"/>
    </row>
    <row r="140" spans="3:68" hidden="1" x14ac:dyDescent="0.25">
      <c r="C140" s="274">
        <v>44741</v>
      </c>
      <c r="D140" s="507">
        <f>YEAR(Tabla14[[#This Row],[Fecha]])</f>
        <v>2022</v>
      </c>
      <c r="E140" s="313">
        <f>IF(Tabla14[[#This Row],[Fecha]]&gt;0,_xlfn.ISOWEEKNUM(Tabla14[[#This Row],[Fecha]]),0)</f>
        <v>26</v>
      </c>
      <c r="F140" s="283">
        <v>410</v>
      </c>
      <c r="G140" s="275" t="s">
        <v>157</v>
      </c>
      <c r="H140" s="325" t="str">
        <f>_xlfn.XLOOKUP(Tabla14[[#This Row],[Codigo Finca]],Tabla4[Codigo Finca],Tabla4[Nombre Finca],"")</f>
        <v>Pedrito</v>
      </c>
      <c r="I140" s="277">
        <f>_xlfn.XLOOKUP(Tabla14[[#This Row],[Codigo Finca]],Tabla4[Codigo Finca],Tabla4[Precio Caja],0)</f>
        <v>2100</v>
      </c>
      <c r="J140" s="277">
        <f>_xlfn.XLOOKUP(Tabla14[[#This Row],[Codigo Finca]],Tabla4[Codigo Finca],Tabla4[Precio Caja Segunda],0)</f>
        <v>1000</v>
      </c>
      <c r="K140" s="277">
        <f>_xlfn.XLOOKUP(Tabla14[[#This Row],[Codigo Finca]],Tabla4[Codigo Finca],Tabla4[Precio Rechazo],0)</f>
        <v>500</v>
      </c>
      <c r="L140" s="277">
        <f t="shared" si="154"/>
        <v>1227</v>
      </c>
      <c r="M140" s="278">
        <f t="shared" si="155"/>
        <v>2.9926829268292683</v>
      </c>
      <c r="N140" s="283"/>
      <c r="O140" s="279"/>
      <c r="P140" s="280">
        <f t="shared" si="156"/>
        <v>0</v>
      </c>
      <c r="Q140" s="281">
        <f t="shared" si="157"/>
        <v>0</v>
      </c>
      <c r="R140" s="282">
        <f t="shared" si="158"/>
        <v>0</v>
      </c>
      <c r="S140" s="283">
        <v>1227</v>
      </c>
      <c r="T140" s="275">
        <v>19</v>
      </c>
      <c r="U140" s="280">
        <f t="shared" si="159"/>
        <v>410</v>
      </c>
      <c r="V140" s="281">
        <f t="shared" si="160"/>
        <v>21.578947368421051</v>
      </c>
      <c r="W140" s="282">
        <f t="shared" si="161"/>
        <v>45315.789473684214</v>
      </c>
      <c r="X140" s="283"/>
      <c r="Y140" s="275"/>
      <c r="Z140" s="280">
        <f>Tabla14[[#This Row],[Cajas Segunda]]</f>
        <v>0</v>
      </c>
      <c r="AA140" s="281">
        <f t="shared" si="162"/>
        <v>0</v>
      </c>
      <c r="AB140" s="284">
        <f t="shared" si="163"/>
        <v>0</v>
      </c>
      <c r="AC140" s="285">
        <f>119+6.8</f>
        <v>125.8</v>
      </c>
      <c r="AD140" s="286"/>
      <c r="AE140" s="286"/>
      <c r="AF140" s="286"/>
      <c r="AG140" s="286">
        <v>19</v>
      </c>
      <c r="AH140" s="280">
        <f t="shared" si="164"/>
        <v>125.8</v>
      </c>
      <c r="AI140" s="281">
        <f t="shared" si="165"/>
        <v>6.6210526315789471</v>
      </c>
      <c r="AJ140" s="282">
        <f t="shared" si="166"/>
        <v>3310.5263157894738</v>
      </c>
      <c r="AK140" s="287">
        <f>Tabla14[[#This Row],[Cajas por Personas]]</f>
        <v>0</v>
      </c>
      <c r="AL140" s="288">
        <f>Tabla14[[#This Row],[Valor Precorte Pesona]]</f>
        <v>0</v>
      </c>
      <c r="AM140" s="294">
        <f>Tabla14[[#This Row],[Personas Precorte]]</f>
        <v>0</v>
      </c>
      <c r="AN140" s="308">
        <f>Tabla14[[#This Row],[Valor Precorte Pesona Precorte]]*Tabla14[[#This Row],[Perzonas Precorte]]</f>
        <v>0</v>
      </c>
      <c r="AO140" s="287">
        <f>Tabla14[[#This Row],[Cajas por Personas2]]</f>
        <v>21.578947368421051</v>
      </c>
      <c r="AP140" s="288">
        <f>Tabla14[[#This Row],[Valor Embarque Pesona]]</f>
        <v>45315.789473684214</v>
      </c>
      <c r="AQ140" s="295">
        <f>Tabla14[[#This Row],[Personas Precorte2]]</f>
        <v>19</v>
      </c>
      <c r="AR140" s="296">
        <f>Tabla14[[#This Row],[Valor Embarque Pesona3]]*Tabla14[[#This Row],[Perzona Primera]]</f>
        <v>861000</v>
      </c>
      <c r="AS140" s="287">
        <f>Tabla14[[#This Row],[Columna2]]</f>
        <v>0</v>
      </c>
      <c r="AT140" s="288">
        <f>Tabla14[[#This Row],[Columna1]]</f>
        <v>0</v>
      </c>
      <c r="AU140" s="302">
        <f>Tabla14[[#This Row],[Personas Intervienen]]</f>
        <v>0</v>
      </c>
      <c r="AV140" s="297">
        <f>Tabla14[[#This Row],[Valor Embarque Pesona5]]*Tabla14[[#This Row],[Presonas Segunda]]</f>
        <v>0</v>
      </c>
      <c r="AW140" s="287">
        <f>Tabla14[[#This Row],[Bolsas Por Personas]]</f>
        <v>6.6210526315789471</v>
      </c>
      <c r="AX140" s="288">
        <f>Tabla14[[#This Row],[Valor bolsas Pesona]]</f>
        <v>3310.5263157894738</v>
      </c>
      <c r="AY140" s="309">
        <f>Tabla14[[#This Row],[Personas13]]</f>
        <v>19</v>
      </c>
      <c r="AZ140" s="310">
        <f>Tabla14[[#This Row],[Valor bolsas Pesona2]]*Tabla14[[#This Row],[Personas Rechazo]]</f>
        <v>62900</v>
      </c>
      <c r="BA140" s="311">
        <f>+Tabla14[[#This Row],[Total Valor Segunda]]+Tabla14[[#This Row],[Total Valor Primera]]+Tabla14[[#This Row],[Total Valor Precorte]]</f>
        <v>861000</v>
      </c>
      <c r="BB140" s="292">
        <f>Tabla14[[#This Row],[Valor bolsas Pesona2]]+Tabla14[[#This Row],[Valor Embarque Pesona3]]</f>
        <v>48626.315789473687</v>
      </c>
      <c r="BC140" s="332">
        <v>49000</v>
      </c>
      <c r="BD140" s="292">
        <f>Tabla14[[#This Row],[VALOR GANADO]]-Tabla14[[#This Row],[REAJUSTADO]]</f>
        <v>-373.68421052631311</v>
      </c>
      <c r="BE140" s="250">
        <f>Tabla14[[#This Row],[CUANTO SE REAJUSTA]]*Tabla14[[#This Row],[Personas Rechazo]]</f>
        <v>-7099.9999999999491</v>
      </c>
      <c r="BF140" s="250">
        <f>Tabla14[[#This Row],[REAJUSTADO]]/25000</f>
        <v>1.96</v>
      </c>
      <c r="BG140" s="302">
        <f>Tabla14[[#This Row],[REAJUSTADO]]*Tabla14[[#This Row],[Personas Rechazo]]</f>
        <v>931000</v>
      </c>
      <c r="BH140" s="292" t="str">
        <f>Tabla14[[#This Row],[Finca]]</f>
        <v>Pedrito</v>
      </c>
      <c r="BI140" s="250">
        <v>5</v>
      </c>
      <c r="BJ140" s="332">
        <f>Tabla14[[#This Row],[Numero de Ocacionales]]*Tabla14[[#This Row],[REAJUSTADO]]</f>
        <v>245000</v>
      </c>
      <c r="BK140" s="332"/>
      <c r="BL140" s="332">
        <v>30000</v>
      </c>
      <c r="BM140" s="332">
        <f>+Tabla14[[#This Row],[CUANTO SE REAJUSTA]]*3</f>
        <v>-1121.0526315789393</v>
      </c>
      <c r="BN140" s="334"/>
      <c r="BO140" s="334"/>
      <c r="BP140" s="334"/>
    </row>
    <row r="141" spans="3:68" hidden="1" x14ac:dyDescent="0.25">
      <c r="C141" s="274">
        <v>44741</v>
      </c>
      <c r="D141" s="507">
        <f>YEAR(Tabla14[[#This Row],[Fecha]])</f>
        <v>2022</v>
      </c>
      <c r="E141" s="313">
        <f>IF(Tabla14[[#This Row],[Fecha]]&gt;0,_xlfn.ISOWEEKNUM(Tabla14[[#This Row],[Fecha]]),0)</f>
        <v>26</v>
      </c>
      <c r="F141" s="283">
        <v>51</v>
      </c>
      <c r="G141" s="275" t="s">
        <v>153</v>
      </c>
      <c r="H141" s="325" t="str">
        <f>_xlfn.XLOOKUP(Tabla14[[#This Row],[Codigo Finca]],Tabla4[Codigo Finca],Tabla4[Nombre Finca],"")</f>
        <v>Uveros</v>
      </c>
      <c r="I141" s="277">
        <f>_xlfn.XLOOKUP(Tabla14[[#This Row],[Codigo Finca]],Tabla4[Codigo Finca],Tabla4[Precio Caja],0)</f>
        <v>1500</v>
      </c>
      <c r="J141" s="277">
        <f>_xlfn.XLOOKUP(Tabla14[[#This Row],[Codigo Finca]],Tabla4[Codigo Finca],Tabla4[Precio Caja Segunda],0)</f>
        <v>1000</v>
      </c>
      <c r="K141" s="277">
        <f>_xlfn.XLOOKUP(Tabla14[[#This Row],[Codigo Finca]],Tabla4[Codigo Finca],Tabla4[Precio Rechazo],0)</f>
        <v>500</v>
      </c>
      <c r="L141" s="277">
        <f t="shared" si="154"/>
        <v>230</v>
      </c>
      <c r="M141" s="278">
        <f t="shared" si="155"/>
        <v>4.5098039215686274</v>
      </c>
      <c r="N141" s="283"/>
      <c r="O141" s="279"/>
      <c r="P141" s="280">
        <f t="shared" si="156"/>
        <v>0</v>
      </c>
      <c r="Q141" s="281">
        <f t="shared" si="157"/>
        <v>0</v>
      </c>
      <c r="R141" s="282">
        <f t="shared" si="158"/>
        <v>0</v>
      </c>
      <c r="S141" s="283">
        <v>230</v>
      </c>
      <c r="T141" s="275">
        <v>7</v>
      </c>
      <c r="U141" s="280">
        <f t="shared" si="159"/>
        <v>51</v>
      </c>
      <c r="V141" s="281">
        <f t="shared" si="160"/>
        <v>7.2857142857142856</v>
      </c>
      <c r="W141" s="282">
        <f t="shared" si="161"/>
        <v>10928.571428571429</v>
      </c>
      <c r="X141" s="283"/>
      <c r="Y141" s="275"/>
      <c r="Z141" s="280">
        <f>Tabla14[[#This Row],[Cajas Segunda]]</f>
        <v>0</v>
      </c>
      <c r="AA141" s="281">
        <f t="shared" si="162"/>
        <v>0</v>
      </c>
      <c r="AB141" s="284">
        <f t="shared" si="163"/>
        <v>0</v>
      </c>
      <c r="AC141" s="285">
        <v>32</v>
      </c>
      <c r="AD141" s="286"/>
      <c r="AE141" s="286"/>
      <c r="AF141" s="286"/>
      <c r="AG141" s="286">
        <v>7</v>
      </c>
      <c r="AH141" s="280">
        <f t="shared" si="164"/>
        <v>32</v>
      </c>
      <c r="AI141" s="281">
        <f t="shared" si="165"/>
        <v>4.5714285714285712</v>
      </c>
      <c r="AJ141" s="282">
        <f t="shared" si="166"/>
        <v>2285.7142857142858</v>
      </c>
      <c r="AK141" s="287">
        <f>Tabla14[[#This Row],[Cajas por Personas]]</f>
        <v>0</v>
      </c>
      <c r="AL141" s="288">
        <f>Tabla14[[#This Row],[Valor Precorte Pesona]]</f>
        <v>0</v>
      </c>
      <c r="AM141" s="294">
        <f>Tabla14[[#This Row],[Personas Precorte]]</f>
        <v>0</v>
      </c>
      <c r="AN141" s="308">
        <f>Tabla14[[#This Row],[Valor Precorte Pesona Precorte]]*Tabla14[[#This Row],[Perzonas Precorte]]</f>
        <v>0</v>
      </c>
      <c r="AO141" s="287">
        <f>Tabla14[[#This Row],[Cajas por Personas2]]</f>
        <v>7.2857142857142856</v>
      </c>
      <c r="AP141" s="288">
        <f>Tabla14[[#This Row],[Valor Embarque Pesona]]</f>
        <v>10928.571428571429</v>
      </c>
      <c r="AQ141" s="295">
        <f>Tabla14[[#This Row],[Personas Precorte2]]</f>
        <v>7</v>
      </c>
      <c r="AR141" s="296">
        <f>Tabla14[[#This Row],[Valor Embarque Pesona3]]*Tabla14[[#This Row],[Perzona Primera]]</f>
        <v>76500</v>
      </c>
      <c r="AS141" s="287">
        <f>Tabla14[[#This Row],[Columna2]]</f>
        <v>0</v>
      </c>
      <c r="AT141" s="288">
        <f>Tabla14[[#This Row],[Columna1]]</f>
        <v>0</v>
      </c>
      <c r="AU141" s="302">
        <f>Tabla14[[#This Row],[Personas Intervienen]]</f>
        <v>0</v>
      </c>
      <c r="AV141" s="297">
        <f>Tabla14[[#This Row],[Valor Embarque Pesona5]]*Tabla14[[#This Row],[Presonas Segunda]]</f>
        <v>0</v>
      </c>
      <c r="AW141" s="287">
        <f>Tabla14[[#This Row],[Bolsas Por Personas]]</f>
        <v>4.5714285714285712</v>
      </c>
      <c r="AX141" s="288">
        <f>Tabla14[[#This Row],[Valor bolsas Pesona]]</f>
        <v>2285.7142857142858</v>
      </c>
      <c r="AY141" s="309">
        <f>Tabla14[[#This Row],[Personas13]]</f>
        <v>7</v>
      </c>
      <c r="AZ141" s="310">
        <f>Tabla14[[#This Row],[Valor bolsas Pesona2]]*Tabla14[[#This Row],[Personas Rechazo]]</f>
        <v>16000</v>
      </c>
      <c r="BA141" s="311">
        <f>+Tabla14[[#This Row],[Total Valor Segunda]]+Tabla14[[#This Row],[Total Valor Primera]]+Tabla14[[#This Row],[Total Valor Precorte]]</f>
        <v>76500</v>
      </c>
      <c r="BB141" s="292">
        <f>Tabla14[[#This Row],[Valor bolsas Pesona2]]+Tabla14[[#This Row],[Valor Embarque Pesona3]]</f>
        <v>13214.285714285716</v>
      </c>
      <c r="BC141" s="332">
        <v>30000</v>
      </c>
      <c r="BD141" s="292">
        <f>Tabla14[[#This Row],[VALOR GANADO]]-Tabla14[[#This Row],[REAJUSTADO]]</f>
        <v>-16785.714285714283</v>
      </c>
      <c r="BE141" s="250">
        <f>Tabla14[[#This Row],[CUANTO SE REAJUSTA]]*Tabla14[[#This Row],[Personas Rechazo]]</f>
        <v>-117499.99999999997</v>
      </c>
      <c r="BF141" s="250">
        <f>Tabla14[[#This Row],[REAJUSTADO]]/25000</f>
        <v>1.2</v>
      </c>
      <c r="BG141" s="302">
        <f>Tabla14[[#This Row],[REAJUSTADO]]*Tabla14[[#This Row],[Personas Rechazo]]</f>
        <v>210000</v>
      </c>
      <c r="BH141" s="292" t="str">
        <f>Tabla14[[#This Row],[Finca]]</f>
        <v>Uveros</v>
      </c>
      <c r="BI141" s="250">
        <v>6</v>
      </c>
      <c r="BJ141" s="332">
        <f>Tabla14[[#This Row],[Numero de Ocacionales]]*Tabla14[[#This Row],[REAJUSTADO]]</f>
        <v>180000</v>
      </c>
      <c r="BK141" s="332"/>
      <c r="BL141" s="332">
        <v>0</v>
      </c>
      <c r="BM141" s="332">
        <f>+Tabla14[[#This Row],[CUANTO SE REAJUSTA]]*3</f>
        <v>-50357.142857142848</v>
      </c>
      <c r="BN141" s="334"/>
      <c r="BO141" s="334"/>
      <c r="BP141" s="334"/>
    </row>
    <row r="142" spans="3:68" hidden="1" x14ac:dyDescent="0.25">
      <c r="C142" s="274">
        <v>44741</v>
      </c>
      <c r="D142" s="507">
        <f>YEAR(Tabla14[[#This Row],[Fecha]])</f>
        <v>2022</v>
      </c>
      <c r="E142" s="313">
        <f>IF(Tabla14[[#This Row],[Fecha]]&gt;0,_xlfn.ISOWEEKNUM(Tabla14[[#This Row],[Fecha]]),0)</f>
        <v>26</v>
      </c>
      <c r="F142" s="283">
        <v>27</v>
      </c>
      <c r="G142" s="275" t="s">
        <v>152</v>
      </c>
      <c r="H142" s="325" t="str">
        <f>_xlfn.XLOOKUP(Tabla14[[#This Row],[Codigo Finca]],Tabla4[Codigo Finca],Tabla4[Nombre Finca],"")</f>
        <v>San Pedro</v>
      </c>
      <c r="I142" s="277">
        <f>_xlfn.XLOOKUP(Tabla14[[#This Row],[Codigo Finca]],Tabla4[Codigo Finca],Tabla4[Precio Caja],0)</f>
        <v>1500</v>
      </c>
      <c r="J142" s="277">
        <f>_xlfn.XLOOKUP(Tabla14[[#This Row],[Codigo Finca]],Tabla4[Codigo Finca],Tabla4[Precio Caja Segunda],0)</f>
        <v>1000</v>
      </c>
      <c r="K142" s="277">
        <f>_xlfn.XLOOKUP(Tabla14[[#This Row],[Codigo Finca]],Tabla4[Codigo Finca],Tabla4[Precio Rechazo],0)</f>
        <v>500</v>
      </c>
      <c r="L142" s="277">
        <f t="shared" si="154"/>
        <v>75</v>
      </c>
      <c r="M142" s="278">
        <f t="shared" si="155"/>
        <v>2.7777777777777777</v>
      </c>
      <c r="N142" s="283"/>
      <c r="O142" s="279"/>
      <c r="P142" s="280">
        <f t="shared" si="156"/>
        <v>0</v>
      </c>
      <c r="Q142" s="281">
        <f t="shared" si="157"/>
        <v>0</v>
      </c>
      <c r="R142" s="282">
        <f t="shared" si="158"/>
        <v>0</v>
      </c>
      <c r="S142" s="283">
        <v>75</v>
      </c>
      <c r="T142" s="275">
        <v>2</v>
      </c>
      <c r="U142" s="280">
        <f t="shared" si="159"/>
        <v>27</v>
      </c>
      <c r="V142" s="281">
        <f t="shared" si="160"/>
        <v>13.5</v>
      </c>
      <c r="W142" s="282">
        <f t="shared" si="161"/>
        <v>20250</v>
      </c>
      <c r="X142" s="283"/>
      <c r="Y142" s="275"/>
      <c r="Z142" s="280">
        <f>Tabla14[[#This Row],[Cajas Segunda]]</f>
        <v>0</v>
      </c>
      <c r="AA142" s="281">
        <f t="shared" si="162"/>
        <v>0</v>
      </c>
      <c r="AB142" s="284">
        <f t="shared" si="163"/>
        <v>0</v>
      </c>
      <c r="AC142" s="285">
        <v>4</v>
      </c>
      <c r="AD142" s="286"/>
      <c r="AE142" s="286"/>
      <c r="AF142" s="286"/>
      <c r="AG142" s="286">
        <v>2</v>
      </c>
      <c r="AH142" s="280">
        <f t="shared" si="164"/>
        <v>4</v>
      </c>
      <c r="AI142" s="281">
        <f t="shared" si="165"/>
        <v>2</v>
      </c>
      <c r="AJ142" s="282">
        <f t="shared" si="166"/>
        <v>1000</v>
      </c>
      <c r="AK142" s="287">
        <f>Tabla14[[#This Row],[Cajas por Personas]]</f>
        <v>0</v>
      </c>
      <c r="AL142" s="288">
        <f>Tabla14[[#This Row],[Valor Precorte Pesona]]</f>
        <v>0</v>
      </c>
      <c r="AM142" s="294">
        <f>Tabla14[[#This Row],[Personas Precorte]]</f>
        <v>0</v>
      </c>
      <c r="AN142" s="308">
        <f>Tabla14[[#This Row],[Valor Precorte Pesona Precorte]]*Tabla14[[#This Row],[Perzonas Precorte]]</f>
        <v>0</v>
      </c>
      <c r="AO142" s="287">
        <f>Tabla14[[#This Row],[Cajas por Personas2]]</f>
        <v>13.5</v>
      </c>
      <c r="AP142" s="288">
        <f>Tabla14[[#This Row],[Valor Embarque Pesona]]</f>
        <v>20250</v>
      </c>
      <c r="AQ142" s="295">
        <f>Tabla14[[#This Row],[Personas Precorte2]]</f>
        <v>2</v>
      </c>
      <c r="AR142" s="296">
        <f>Tabla14[[#This Row],[Valor Embarque Pesona3]]*Tabla14[[#This Row],[Perzona Primera]]</f>
        <v>40500</v>
      </c>
      <c r="AS142" s="287">
        <f>Tabla14[[#This Row],[Columna2]]</f>
        <v>0</v>
      </c>
      <c r="AT142" s="288">
        <f>Tabla14[[#This Row],[Columna1]]</f>
        <v>0</v>
      </c>
      <c r="AU142" s="302">
        <f>Tabla14[[#This Row],[Personas Intervienen]]</f>
        <v>0</v>
      </c>
      <c r="AV142" s="297">
        <f>Tabla14[[#This Row],[Valor Embarque Pesona5]]*Tabla14[[#This Row],[Presonas Segunda]]</f>
        <v>0</v>
      </c>
      <c r="AW142" s="287">
        <f>Tabla14[[#This Row],[Bolsas Por Personas]]</f>
        <v>2</v>
      </c>
      <c r="AX142" s="288">
        <f>Tabla14[[#This Row],[Valor bolsas Pesona]]</f>
        <v>1000</v>
      </c>
      <c r="AY142" s="309">
        <f>Tabla14[[#This Row],[Personas13]]</f>
        <v>2</v>
      </c>
      <c r="AZ142" s="310">
        <f>Tabla14[[#This Row],[Valor bolsas Pesona2]]*Tabla14[[#This Row],[Personas Rechazo]]</f>
        <v>2000</v>
      </c>
      <c r="BA142" s="311">
        <f>+Tabla14[[#This Row],[Total Valor Segunda]]+Tabla14[[#This Row],[Total Valor Primera]]+Tabla14[[#This Row],[Total Valor Precorte]]</f>
        <v>40500</v>
      </c>
      <c r="BB142" s="292">
        <f>Tabla14[[#This Row],[Valor bolsas Pesona2]]+Tabla14[[#This Row],[Valor Embarque Pesona3]]</f>
        <v>21250</v>
      </c>
      <c r="BC142" s="332">
        <v>25000</v>
      </c>
      <c r="BD142" s="292">
        <f>Tabla14[[#This Row],[VALOR GANADO]]-Tabla14[[#This Row],[REAJUSTADO]]</f>
        <v>-3750</v>
      </c>
      <c r="BE142" s="250">
        <f>Tabla14[[#This Row],[CUANTO SE REAJUSTA]]*Tabla14[[#This Row],[Personas Rechazo]]</f>
        <v>-7500</v>
      </c>
      <c r="BF142" s="250">
        <f>Tabla14[[#This Row],[REAJUSTADO]]/25000</f>
        <v>1</v>
      </c>
      <c r="BG142" s="302">
        <f>Tabla14[[#This Row],[REAJUSTADO]]*Tabla14[[#This Row],[Personas Rechazo]]</f>
        <v>50000</v>
      </c>
      <c r="BH142" s="292" t="str">
        <f>Tabla14[[#This Row],[Finca]]</f>
        <v>San Pedro</v>
      </c>
      <c r="BJ142" s="332">
        <f>Tabla14[[#This Row],[Numero de Ocacionales]]*Tabla14[[#This Row],[REAJUSTADO]]</f>
        <v>0</v>
      </c>
      <c r="BK142" s="332"/>
      <c r="BL142" s="332">
        <v>0</v>
      </c>
      <c r="BM142" s="332">
        <f>+Tabla14[[#This Row],[CUANTO SE REAJUSTA]]*3</f>
        <v>-11250</v>
      </c>
      <c r="BN142" s="334"/>
      <c r="BO142" s="334"/>
      <c r="BP142" s="334"/>
    </row>
    <row r="143" spans="3:68" hidden="1" x14ac:dyDescent="0.25">
      <c r="C143" s="274">
        <v>44747</v>
      </c>
      <c r="D143" s="507">
        <f>YEAR(Tabla14[[#This Row],[Fecha]])</f>
        <v>2022</v>
      </c>
      <c r="E143" s="313">
        <f>IF(Tabla14[[#This Row],[Fecha]]&gt;0,_xlfn.ISOWEEKNUM(Tabla14[[#This Row],[Fecha]]),0)</f>
        <v>27</v>
      </c>
      <c r="F143" s="283">
        <v>250</v>
      </c>
      <c r="G143" s="275" t="s">
        <v>152</v>
      </c>
      <c r="H143" s="325" t="str">
        <f>_xlfn.XLOOKUP(Tabla14[[#This Row],[Codigo Finca]],Tabla4[Codigo Finca],Tabla4[Nombre Finca],"")</f>
        <v>San Pedro</v>
      </c>
      <c r="I143" s="277">
        <f>_xlfn.XLOOKUP(Tabla14[[#This Row],[Codigo Finca]],Tabla4[Codigo Finca],Tabla4[Precio Caja],0)</f>
        <v>1500</v>
      </c>
      <c r="J143" s="277">
        <f>_xlfn.XLOOKUP(Tabla14[[#This Row],[Codigo Finca]],Tabla4[Codigo Finca],Tabla4[Precio Caja Segunda],0)</f>
        <v>1000</v>
      </c>
      <c r="K143" s="277">
        <f>_xlfn.XLOOKUP(Tabla14[[#This Row],[Codigo Finca]],Tabla4[Codigo Finca],Tabla4[Precio Rechazo],0)</f>
        <v>500</v>
      </c>
      <c r="L143" s="277">
        <f t="shared" ref="L143:L150" si="167">S143+N143</f>
        <v>915</v>
      </c>
      <c r="M143" s="278">
        <f t="shared" ref="M143:M150" si="168">IF(F143&gt;0,L143/F143,0)</f>
        <v>3.66</v>
      </c>
      <c r="N143" s="283"/>
      <c r="O143" s="279"/>
      <c r="P143" s="280">
        <f t="shared" ref="P143:P150" si="169">IF(N143&gt;0,(N143/M143)/2,0)</f>
        <v>0</v>
      </c>
      <c r="Q143" s="281">
        <f t="shared" ref="Q143:Q150" si="170">IF(O143&gt;0,P143/O143,0)</f>
        <v>0</v>
      </c>
      <c r="R143" s="282">
        <f t="shared" ref="R143:R150" si="171">IF(I143&gt;0,Q143*I143,)</f>
        <v>0</v>
      </c>
      <c r="S143" s="283">
        <v>915</v>
      </c>
      <c r="T143" s="275">
        <v>17</v>
      </c>
      <c r="U143" s="280">
        <f t="shared" ref="U143:U150" si="172">F143-P143</f>
        <v>250</v>
      </c>
      <c r="V143" s="281">
        <f t="shared" ref="V143:V150" si="173">IF(T143&gt;0,U143/T143,0)</f>
        <v>14.705882352941176</v>
      </c>
      <c r="W143" s="282">
        <f t="shared" ref="W143:W150" si="174">IF(T143&gt;0,(U143*I143)/T143,0)</f>
        <v>22058.823529411766</v>
      </c>
      <c r="X143" s="283"/>
      <c r="Y143" s="275"/>
      <c r="Z143" s="280">
        <f>Tabla14[[#This Row],[Cajas Segunda]]</f>
        <v>0</v>
      </c>
      <c r="AA143" s="281">
        <f t="shared" ref="AA143:AA150" si="175">IF(Y143&gt;0,Z143/Y143,0)</f>
        <v>0</v>
      </c>
      <c r="AB143" s="284">
        <f t="shared" ref="AB143:AB150" si="176">IF(Y143&gt;0,(Z143*J143)/Y143,0)</f>
        <v>0</v>
      </c>
      <c r="AC143" s="285">
        <f>46+5.1</f>
        <v>51.1</v>
      </c>
      <c r="AD143" s="286"/>
      <c r="AE143" s="286"/>
      <c r="AF143" s="286"/>
      <c r="AG143" s="286">
        <v>17</v>
      </c>
      <c r="AH143" s="280">
        <f t="shared" ref="AH143:AH150" si="177">IF(AND(AC143&gt;0,AE143=0,AF143=0,AD143=0),AC143,IF(AND(AC143=0,AE143&gt;0,AF143&gt;0,AD143=0),AE143*AF143/25,IF(AND(AC143=0,AE143=0,AF143=0,AD143&gt;0),AD143/25,0)))</f>
        <v>51.1</v>
      </c>
      <c r="AI143" s="281">
        <f t="shared" ref="AI143:AI150" si="178">IF(AG143&gt;0,AH143/AG143,0)</f>
        <v>3.0058823529411764</v>
      </c>
      <c r="AJ143" s="282">
        <f t="shared" ref="AJ143:AJ150" si="179">AI143*K143</f>
        <v>1502.9411764705883</v>
      </c>
      <c r="AK143" s="287">
        <f>Tabla14[[#This Row],[Cajas por Personas]]</f>
        <v>0</v>
      </c>
      <c r="AL143" s="288">
        <f>Tabla14[[#This Row],[Valor Precorte Pesona]]</f>
        <v>0</v>
      </c>
      <c r="AM143" s="294">
        <f>Tabla14[[#This Row],[Personas Precorte]]</f>
        <v>0</v>
      </c>
      <c r="AN143" s="308">
        <f>Tabla14[[#This Row],[Valor Precorte Pesona Precorte]]*Tabla14[[#This Row],[Perzonas Precorte]]</f>
        <v>0</v>
      </c>
      <c r="AO143" s="287">
        <f>Tabla14[[#This Row],[Cajas por Personas2]]</f>
        <v>14.705882352941176</v>
      </c>
      <c r="AP143" s="288">
        <f>Tabla14[[#This Row],[Valor Embarque Pesona]]</f>
        <v>22058.823529411766</v>
      </c>
      <c r="AQ143" s="295">
        <f>Tabla14[[#This Row],[Personas Precorte2]]</f>
        <v>17</v>
      </c>
      <c r="AR143" s="296">
        <f>Tabla14[[#This Row],[Valor Embarque Pesona3]]*Tabla14[[#This Row],[Perzona Primera]]</f>
        <v>375000</v>
      </c>
      <c r="AS143" s="287">
        <f>Tabla14[[#This Row],[Columna2]]</f>
        <v>0</v>
      </c>
      <c r="AT143" s="288">
        <f>Tabla14[[#This Row],[Columna1]]</f>
        <v>0</v>
      </c>
      <c r="AU143" s="302">
        <f>Tabla14[[#This Row],[Personas Intervienen]]</f>
        <v>0</v>
      </c>
      <c r="AV143" s="297">
        <f>Tabla14[[#This Row],[Valor Embarque Pesona5]]*Tabla14[[#This Row],[Presonas Segunda]]</f>
        <v>0</v>
      </c>
      <c r="AW143" s="287">
        <f>Tabla14[[#This Row],[Bolsas Por Personas]]</f>
        <v>3.0058823529411764</v>
      </c>
      <c r="AX143" s="288">
        <f>Tabla14[[#This Row],[Valor bolsas Pesona]]</f>
        <v>1502.9411764705883</v>
      </c>
      <c r="AY143" s="309">
        <f>Tabla14[[#This Row],[Personas13]]</f>
        <v>17</v>
      </c>
      <c r="AZ143" s="310">
        <f>Tabla14[[#This Row],[Valor bolsas Pesona2]]*Tabla14[[#This Row],[Personas Rechazo]]</f>
        <v>25550</v>
      </c>
      <c r="BA143" s="311">
        <f>+Tabla14[[#This Row],[Total Valor Segunda]]+Tabla14[[#This Row],[Total Valor Primera]]+Tabla14[[#This Row],[Total Valor Precorte]]</f>
        <v>375000</v>
      </c>
      <c r="BB143" s="292">
        <f>Tabla14[[#This Row],[Valor bolsas Pesona2]]+Tabla14[[#This Row],[Valor Embarque Pesona3]]</f>
        <v>23561.764705882353</v>
      </c>
      <c r="BC143" s="332">
        <v>30000</v>
      </c>
      <c r="BD143" s="292">
        <f>Tabla14[[#This Row],[VALOR GANADO]]-Tabla14[[#This Row],[REAJUSTADO]]</f>
        <v>-6438.2352941176468</v>
      </c>
      <c r="BE143" s="250">
        <f>Tabla14[[#This Row],[CUANTO SE REAJUSTA]]*Tabla14[[#This Row],[Personas Rechazo]]</f>
        <v>-109450</v>
      </c>
      <c r="BF143" s="250">
        <f>Tabla14[[#This Row],[REAJUSTADO]]/25000</f>
        <v>1.2</v>
      </c>
      <c r="BG143" s="302">
        <f>Tabla14[[#This Row],[REAJUSTADO]]*Tabla14[[#This Row],[Personas Rechazo]]</f>
        <v>510000</v>
      </c>
      <c r="BH143" s="292" t="str">
        <f>Tabla14[[#This Row],[Finca]]</f>
        <v>San Pedro</v>
      </c>
      <c r="BI143" s="250">
        <v>12</v>
      </c>
      <c r="BJ143" s="332">
        <f>Tabla14[[#This Row],[Numero de Ocacionales]]*Tabla14[[#This Row],[REAJUSTADO]]</f>
        <v>360000</v>
      </c>
      <c r="BK143" s="332"/>
      <c r="BL143" s="332"/>
      <c r="BM143" s="332">
        <f>+Tabla14[[#This Row],[CUANTO SE REAJUSTA]]*3</f>
        <v>-19314.705882352941</v>
      </c>
      <c r="BN143" s="334"/>
      <c r="BO143" s="334"/>
      <c r="BP143" s="334"/>
    </row>
    <row r="144" spans="3:68" hidden="1" x14ac:dyDescent="0.25">
      <c r="C144" s="274">
        <v>44747</v>
      </c>
      <c r="D144" s="507">
        <f>YEAR(Tabla14[[#This Row],[Fecha]])</f>
        <v>2022</v>
      </c>
      <c r="E144" s="313">
        <f>IF(Tabla14[[#This Row],[Fecha]]&gt;0,_xlfn.ISOWEEKNUM(Tabla14[[#This Row],[Fecha]]),0)</f>
        <v>27</v>
      </c>
      <c r="F144" s="283">
        <v>110</v>
      </c>
      <c r="G144" s="275" t="s">
        <v>155</v>
      </c>
      <c r="H144" s="325" t="str">
        <f>_xlfn.XLOOKUP(Tabla14[[#This Row],[Codigo Finca]],Tabla4[Codigo Finca],Tabla4[Nombre Finca],"")</f>
        <v>Damaquiel</v>
      </c>
      <c r="I144" s="277">
        <f>_xlfn.XLOOKUP(Tabla14[[#This Row],[Codigo Finca]],Tabla4[Codigo Finca],Tabla4[Precio Caja],0)</f>
        <v>1500</v>
      </c>
      <c r="J144" s="277">
        <f>_xlfn.XLOOKUP(Tabla14[[#This Row],[Codigo Finca]],Tabla4[Codigo Finca],Tabla4[Precio Caja Segunda],0)</f>
        <v>1000</v>
      </c>
      <c r="K144" s="277">
        <f>_xlfn.XLOOKUP(Tabla14[[#This Row],[Codigo Finca]],Tabla4[Codigo Finca],Tabla4[Precio Rechazo],0)</f>
        <v>500</v>
      </c>
      <c r="L144" s="277">
        <f t="shared" si="167"/>
        <v>362</v>
      </c>
      <c r="M144" s="278">
        <f t="shared" si="168"/>
        <v>3.290909090909091</v>
      </c>
      <c r="N144" s="283"/>
      <c r="O144" s="279"/>
      <c r="P144" s="280">
        <f t="shared" si="169"/>
        <v>0</v>
      </c>
      <c r="Q144" s="281">
        <f t="shared" si="170"/>
        <v>0</v>
      </c>
      <c r="R144" s="282">
        <f t="shared" si="171"/>
        <v>0</v>
      </c>
      <c r="S144" s="283">
        <f>300+52+10</f>
        <v>362</v>
      </c>
      <c r="T144" s="275">
        <v>8</v>
      </c>
      <c r="U144" s="280">
        <f t="shared" si="172"/>
        <v>110</v>
      </c>
      <c r="V144" s="281">
        <f t="shared" si="173"/>
        <v>13.75</v>
      </c>
      <c r="W144" s="282">
        <f t="shared" si="174"/>
        <v>20625</v>
      </c>
      <c r="X144" s="283"/>
      <c r="Y144" s="275"/>
      <c r="Z144" s="280">
        <f>Tabla14[[#This Row],[Cajas Segunda]]</f>
        <v>0</v>
      </c>
      <c r="AA144" s="281">
        <f t="shared" si="175"/>
        <v>0</v>
      </c>
      <c r="AB144" s="284">
        <f t="shared" si="176"/>
        <v>0</v>
      </c>
      <c r="AC144" s="285">
        <v>35</v>
      </c>
      <c r="AD144" s="286"/>
      <c r="AE144" s="286"/>
      <c r="AF144" s="286"/>
      <c r="AG144" s="286">
        <v>8</v>
      </c>
      <c r="AH144" s="280">
        <f t="shared" si="177"/>
        <v>35</v>
      </c>
      <c r="AI144" s="281">
        <f t="shared" si="178"/>
        <v>4.375</v>
      </c>
      <c r="AJ144" s="282">
        <f t="shared" si="179"/>
        <v>2187.5</v>
      </c>
      <c r="AK144" s="287">
        <f>Tabla14[[#This Row],[Cajas por Personas]]</f>
        <v>0</v>
      </c>
      <c r="AL144" s="288">
        <f>Tabla14[[#This Row],[Valor Precorte Pesona]]</f>
        <v>0</v>
      </c>
      <c r="AM144" s="294">
        <f>Tabla14[[#This Row],[Personas Precorte]]</f>
        <v>0</v>
      </c>
      <c r="AN144" s="308">
        <f>Tabla14[[#This Row],[Valor Precorte Pesona Precorte]]*Tabla14[[#This Row],[Perzonas Precorte]]</f>
        <v>0</v>
      </c>
      <c r="AO144" s="287">
        <f>Tabla14[[#This Row],[Cajas por Personas2]]</f>
        <v>13.75</v>
      </c>
      <c r="AP144" s="288">
        <f>Tabla14[[#This Row],[Valor Embarque Pesona]]</f>
        <v>20625</v>
      </c>
      <c r="AQ144" s="295">
        <f>Tabla14[[#This Row],[Personas Precorte2]]</f>
        <v>8</v>
      </c>
      <c r="AR144" s="296">
        <f>Tabla14[[#This Row],[Valor Embarque Pesona3]]*Tabla14[[#This Row],[Perzona Primera]]</f>
        <v>165000</v>
      </c>
      <c r="AS144" s="287">
        <f>Tabla14[[#This Row],[Columna2]]</f>
        <v>0</v>
      </c>
      <c r="AT144" s="288">
        <f>Tabla14[[#This Row],[Columna1]]</f>
        <v>0</v>
      </c>
      <c r="AU144" s="302">
        <f>Tabla14[[#This Row],[Personas Intervienen]]</f>
        <v>0</v>
      </c>
      <c r="AV144" s="297">
        <f>Tabla14[[#This Row],[Valor Embarque Pesona5]]*Tabla14[[#This Row],[Presonas Segunda]]</f>
        <v>0</v>
      </c>
      <c r="AW144" s="287">
        <f>Tabla14[[#This Row],[Bolsas Por Personas]]</f>
        <v>4.375</v>
      </c>
      <c r="AX144" s="288">
        <f>Tabla14[[#This Row],[Valor bolsas Pesona]]</f>
        <v>2187.5</v>
      </c>
      <c r="AY144" s="309">
        <f>Tabla14[[#This Row],[Personas13]]</f>
        <v>8</v>
      </c>
      <c r="AZ144" s="310">
        <f>Tabla14[[#This Row],[Valor bolsas Pesona2]]*Tabla14[[#This Row],[Personas Rechazo]]</f>
        <v>17500</v>
      </c>
      <c r="BA144" s="311">
        <f>+Tabla14[[#This Row],[Total Valor Segunda]]+Tabla14[[#This Row],[Total Valor Primera]]+Tabla14[[#This Row],[Total Valor Precorte]]</f>
        <v>165000</v>
      </c>
      <c r="BB144" s="292">
        <f>Tabla14[[#This Row],[Valor bolsas Pesona2]]+Tabla14[[#This Row],[Valor Embarque Pesona3]]</f>
        <v>22812.5</v>
      </c>
      <c r="BC144" s="332">
        <v>30000</v>
      </c>
      <c r="BD144" s="292">
        <f>Tabla14[[#This Row],[VALOR GANADO]]-Tabla14[[#This Row],[REAJUSTADO]]</f>
        <v>-7187.5</v>
      </c>
      <c r="BE144" s="250">
        <f>Tabla14[[#This Row],[CUANTO SE REAJUSTA]]*Tabla14[[#This Row],[Personas Rechazo]]</f>
        <v>-57500</v>
      </c>
      <c r="BF144" s="250">
        <f>Tabla14[[#This Row],[REAJUSTADO]]/25000</f>
        <v>1.2</v>
      </c>
      <c r="BG144" s="302">
        <f>Tabla14[[#This Row],[REAJUSTADO]]*Tabla14[[#This Row],[Personas Rechazo]]</f>
        <v>240000</v>
      </c>
      <c r="BH144" s="292" t="str">
        <f>Tabla14[[#This Row],[Finca]]</f>
        <v>Damaquiel</v>
      </c>
      <c r="BI144" s="250">
        <v>6</v>
      </c>
      <c r="BJ144" s="332">
        <f>Tabla14[[#This Row],[Numero de Ocacionales]]*Tabla14[[#This Row],[REAJUSTADO]]</f>
        <v>180000</v>
      </c>
      <c r="BK144" s="332"/>
      <c r="BL144" s="332"/>
      <c r="BM144" s="332">
        <f>+Tabla14[[#This Row],[CUANTO SE REAJUSTA]]*3</f>
        <v>-21562.5</v>
      </c>
      <c r="BN144" s="334"/>
      <c r="BO144" s="334"/>
      <c r="BP144" s="334"/>
    </row>
    <row r="145" spans="3:68" hidden="1" x14ac:dyDescent="0.25">
      <c r="C145" s="274">
        <v>44748</v>
      </c>
      <c r="D145" s="507">
        <f>YEAR(Tabla14[[#This Row],[Fecha]])</f>
        <v>2022</v>
      </c>
      <c r="E145" s="313">
        <f>IF(Tabla14[[#This Row],[Fecha]]&gt;0,_xlfn.ISOWEEKNUM(Tabla14[[#This Row],[Fecha]]),0)</f>
        <v>27</v>
      </c>
      <c r="F145" s="283">
        <v>417</v>
      </c>
      <c r="G145" s="275" t="s">
        <v>157</v>
      </c>
      <c r="H145" s="325" t="str">
        <f>_xlfn.XLOOKUP(Tabla14[[#This Row],[Codigo Finca]],Tabla4[Codigo Finca],Tabla4[Nombre Finca],"")</f>
        <v>Pedrito</v>
      </c>
      <c r="I145" s="277">
        <f>_xlfn.XLOOKUP(Tabla14[[#This Row],[Codigo Finca]],Tabla4[Codigo Finca],Tabla4[Precio Caja],0)</f>
        <v>2100</v>
      </c>
      <c r="J145" s="277">
        <f>_xlfn.XLOOKUP(Tabla14[[#This Row],[Codigo Finca]],Tabla4[Codigo Finca],Tabla4[Precio Caja Segunda],0)</f>
        <v>1000</v>
      </c>
      <c r="K145" s="277">
        <f>_xlfn.XLOOKUP(Tabla14[[#This Row],[Codigo Finca]],Tabla4[Codigo Finca],Tabla4[Precio Rechazo],0)</f>
        <v>500</v>
      </c>
      <c r="L145" s="277">
        <f t="shared" si="167"/>
        <v>1450</v>
      </c>
      <c r="M145" s="278">
        <f t="shared" si="168"/>
        <v>3.4772182254196644</v>
      </c>
      <c r="N145" s="283"/>
      <c r="O145" s="279"/>
      <c r="P145" s="280">
        <f t="shared" si="169"/>
        <v>0</v>
      </c>
      <c r="Q145" s="281">
        <f t="shared" si="170"/>
        <v>0</v>
      </c>
      <c r="R145" s="282">
        <f t="shared" si="171"/>
        <v>0</v>
      </c>
      <c r="S145" s="283">
        <v>1450</v>
      </c>
      <c r="T145" s="275">
        <v>20</v>
      </c>
      <c r="U145" s="280">
        <f t="shared" si="172"/>
        <v>417</v>
      </c>
      <c r="V145" s="281">
        <f t="shared" si="173"/>
        <v>20.85</v>
      </c>
      <c r="W145" s="282">
        <f t="shared" si="174"/>
        <v>43785</v>
      </c>
      <c r="X145" s="283"/>
      <c r="Y145" s="275"/>
      <c r="Z145" s="280">
        <f>Tabla14[[#This Row],[Cajas Segunda]]</f>
        <v>0</v>
      </c>
      <c r="AA145" s="281">
        <f t="shared" si="175"/>
        <v>0</v>
      </c>
      <c r="AB145" s="284">
        <f t="shared" si="176"/>
        <v>0</v>
      </c>
      <c r="AC145" s="285">
        <f>121+20.4</f>
        <v>141.4</v>
      </c>
      <c r="AD145" s="286"/>
      <c r="AE145" s="286"/>
      <c r="AF145" s="286"/>
      <c r="AG145" s="286">
        <v>20</v>
      </c>
      <c r="AH145" s="280">
        <f t="shared" si="177"/>
        <v>141.4</v>
      </c>
      <c r="AI145" s="281">
        <f t="shared" si="178"/>
        <v>7.07</v>
      </c>
      <c r="AJ145" s="282">
        <f t="shared" si="179"/>
        <v>3535</v>
      </c>
      <c r="AK145" s="287">
        <f>Tabla14[[#This Row],[Cajas por Personas]]</f>
        <v>0</v>
      </c>
      <c r="AL145" s="288">
        <f>Tabla14[[#This Row],[Valor Precorte Pesona]]</f>
        <v>0</v>
      </c>
      <c r="AM145" s="294">
        <f>Tabla14[[#This Row],[Personas Precorte]]</f>
        <v>0</v>
      </c>
      <c r="AN145" s="308">
        <f>Tabla14[[#This Row],[Valor Precorte Pesona Precorte]]*Tabla14[[#This Row],[Perzonas Precorte]]</f>
        <v>0</v>
      </c>
      <c r="AO145" s="287">
        <f>Tabla14[[#This Row],[Cajas por Personas2]]</f>
        <v>20.85</v>
      </c>
      <c r="AP145" s="288">
        <f>Tabla14[[#This Row],[Valor Embarque Pesona]]</f>
        <v>43785</v>
      </c>
      <c r="AQ145" s="295">
        <f>Tabla14[[#This Row],[Personas Precorte2]]</f>
        <v>20</v>
      </c>
      <c r="AR145" s="296">
        <f>Tabla14[[#This Row],[Valor Embarque Pesona3]]*Tabla14[[#This Row],[Perzona Primera]]</f>
        <v>875700</v>
      </c>
      <c r="AS145" s="287">
        <f>Tabla14[[#This Row],[Columna2]]</f>
        <v>0</v>
      </c>
      <c r="AT145" s="288">
        <f>Tabla14[[#This Row],[Columna1]]</f>
        <v>0</v>
      </c>
      <c r="AU145" s="302">
        <f>Tabla14[[#This Row],[Personas Intervienen]]</f>
        <v>0</v>
      </c>
      <c r="AV145" s="297">
        <f>Tabla14[[#This Row],[Valor Embarque Pesona5]]*Tabla14[[#This Row],[Presonas Segunda]]</f>
        <v>0</v>
      </c>
      <c r="AW145" s="287">
        <f>Tabla14[[#This Row],[Bolsas Por Personas]]</f>
        <v>7.07</v>
      </c>
      <c r="AX145" s="288">
        <f>Tabla14[[#This Row],[Valor bolsas Pesona]]</f>
        <v>3535</v>
      </c>
      <c r="AY145" s="309">
        <f>Tabla14[[#This Row],[Personas13]]</f>
        <v>20</v>
      </c>
      <c r="AZ145" s="310">
        <f>Tabla14[[#This Row],[Valor bolsas Pesona2]]*Tabla14[[#This Row],[Personas Rechazo]]</f>
        <v>70700</v>
      </c>
      <c r="BA145" s="311">
        <f>+Tabla14[[#This Row],[Total Valor Segunda]]+Tabla14[[#This Row],[Total Valor Primera]]+Tabla14[[#This Row],[Total Valor Precorte]]</f>
        <v>875700</v>
      </c>
      <c r="BB145" s="292">
        <f>Tabla14[[#This Row],[Valor bolsas Pesona2]]+Tabla14[[#This Row],[Valor Embarque Pesona3]]</f>
        <v>47320</v>
      </c>
      <c r="BC145" s="332">
        <v>48000</v>
      </c>
      <c r="BD145" s="292">
        <f>Tabla14[[#This Row],[VALOR GANADO]]-Tabla14[[#This Row],[REAJUSTADO]]</f>
        <v>-680</v>
      </c>
      <c r="BE145" s="250">
        <f>Tabla14[[#This Row],[CUANTO SE REAJUSTA]]*Tabla14[[#This Row],[Personas Rechazo]]</f>
        <v>-13600</v>
      </c>
      <c r="BF145" s="250">
        <f>Tabla14[[#This Row],[REAJUSTADO]]/25000</f>
        <v>1.92</v>
      </c>
      <c r="BG145" s="302">
        <f>Tabla14[[#This Row],[REAJUSTADO]]*Tabla14[[#This Row],[Personas Rechazo]]</f>
        <v>960000</v>
      </c>
      <c r="BH145" s="292" t="str">
        <f>Tabla14[[#This Row],[Finca]]</f>
        <v>Pedrito</v>
      </c>
      <c r="BI145" s="250">
        <v>4</v>
      </c>
      <c r="BJ145" s="332">
        <f>Tabla14[[#This Row],[Numero de Ocacionales]]*Tabla14[[#This Row],[REAJUSTADO]]</f>
        <v>192000</v>
      </c>
      <c r="BK145" s="332"/>
      <c r="BL145" s="332"/>
      <c r="BM145" s="332">
        <f>+Tabla14[[#This Row],[CUANTO SE REAJUSTA]]*3</f>
        <v>-2040</v>
      </c>
      <c r="BN145" s="334"/>
      <c r="BO145" s="334"/>
      <c r="BP145" s="334"/>
    </row>
    <row r="146" spans="3:68" hidden="1" x14ac:dyDescent="0.25">
      <c r="C146" s="274">
        <v>44748</v>
      </c>
      <c r="D146" s="507">
        <f>YEAR(Tabla14[[#This Row],[Fecha]])</f>
        <v>2022</v>
      </c>
      <c r="E146" s="313">
        <f>IF(Tabla14[[#This Row],[Fecha]]&gt;0,_xlfn.ISOWEEKNUM(Tabla14[[#This Row],[Fecha]]),0)</f>
        <v>27</v>
      </c>
      <c r="F146" s="283">
        <f>123+45</f>
        <v>168</v>
      </c>
      <c r="G146" s="275" t="s">
        <v>152</v>
      </c>
      <c r="H146" s="325" t="str">
        <f>_xlfn.XLOOKUP(Tabla14[[#This Row],[Codigo Finca]],Tabla4[Codigo Finca],Tabla4[Nombre Finca],"")</f>
        <v>San Pedro</v>
      </c>
      <c r="I146" s="277">
        <f>_xlfn.XLOOKUP(Tabla14[[#This Row],[Codigo Finca]],Tabla4[Codigo Finca],Tabla4[Precio Caja],0)</f>
        <v>1500</v>
      </c>
      <c r="J146" s="277">
        <f>_xlfn.XLOOKUP(Tabla14[[#This Row],[Codigo Finca]],Tabla4[Codigo Finca],Tabla4[Precio Caja Segunda],0)</f>
        <v>1000</v>
      </c>
      <c r="K146" s="277">
        <f>_xlfn.XLOOKUP(Tabla14[[#This Row],[Codigo Finca]],Tabla4[Codigo Finca],Tabla4[Precio Rechazo],0)</f>
        <v>500</v>
      </c>
      <c r="L146" s="277">
        <f t="shared" si="167"/>
        <v>510</v>
      </c>
      <c r="M146" s="278">
        <f t="shared" si="168"/>
        <v>3.0357142857142856</v>
      </c>
      <c r="N146" s="283"/>
      <c r="O146" s="279"/>
      <c r="P146" s="280">
        <f t="shared" si="169"/>
        <v>0</v>
      </c>
      <c r="Q146" s="281">
        <f t="shared" si="170"/>
        <v>0</v>
      </c>
      <c r="R146" s="282">
        <f t="shared" si="171"/>
        <v>0</v>
      </c>
      <c r="S146" s="283">
        <f>10+260+120+120</f>
        <v>510</v>
      </c>
      <c r="T146" s="275">
        <v>11</v>
      </c>
      <c r="U146" s="280">
        <f t="shared" si="172"/>
        <v>168</v>
      </c>
      <c r="V146" s="281">
        <f t="shared" si="173"/>
        <v>15.272727272727273</v>
      </c>
      <c r="W146" s="282">
        <f t="shared" si="174"/>
        <v>22909.090909090908</v>
      </c>
      <c r="X146" s="283"/>
      <c r="Y146" s="275"/>
      <c r="Z146" s="280">
        <f>Tabla14[[#This Row],[Cajas Segunda]]</f>
        <v>0</v>
      </c>
      <c r="AA146" s="281">
        <f t="shared" si="175"/>
        <v>0</v>
      </c>
      <c r="AB146" s="284">
        <f t="shared" si="176"/>
        <v>0</v>
      </c>
      <c r="AC146" s="285">
        <v>33</v>
      </c>
      <c r="AD146" s="286"/>
      <c r="AE146" s="286"/>
      <c r="AF146" s="286"/>
      <c r="AG146" s="286">
        <v>11</v>
      </c>
      <c r="AH146" s="280">
        <f t="shared" si="177"/>
        <v>33</v>
      </c>
      <c r="AI146" s="281">
        <f t="shared" si="178"/>
        <v>3</v>
      </c>
      <c r="AJ146" s="282">
        <f t="shared" si="179"/>
        <v>1500</v>
      </c>
      <c r="AK146" s="287">
        <f>Tabla14[[#This Row],[Cajas por Personas]]</f>
        <v>0</v>
      </c>
      <c r="AL146" s="288">
        <f>Tabla14[[#This Row],[Valor Precorte Pesona]]</f>
        <v>0</v>
      </c>
      <c r="AM146" s="294">
        <f>Tabla14[[#This Row],[Personas Precorte]]</f>
        <v>0</v>
      </c>
      <c r="AN146" s="308">
        <f>Tabla14[[#This Row],[Valor Precorte Pesona Precorte]]*Tabla14[[#This Row],[Perzonas Precorte]]</f>
        <v>0</v>
      </c>
      <c r="AO146" s="287">
        <f>Tabla14[[#This Row],[Cajas por Personas2]]</f>
        <v>15.272727272727273</v>
      </c>
      <c r="AP146" s="288">
        <f>Tabla14[[#This Row],[Valor Embarque Pesona]]</f>
        <v>22909.090909090908</v>
      </c>
      <c r="AQ146" s="295">
        <f>Tabla14[[#This Row],[Personas Precorte2]]</f>
        <v>11</v>
      </c>
      <c r="AR146" s="296">
        <f>Tabla14[[#This Row],[Valor Embarque Pesona3]]*Tabla14[[#This Row],[Perzona Primera]]</f>
        <v>252000</v>
      </c>
      <c r="AS146" s="287">
        <f>Tabla14[[#This Row],[Columna2]]</f>
        <v>0</v>
      </c>
      <c r="AT146" s="288">
        <f>Tabla14[[#This Row],[Columna1]]</f>
        <v>0</v>
      </c>
      <c r="AU146" s="302">
        <f>Tabla14[[#This Row],[Personas Intervienen]]</f>
        <v>0</v>
      </c>
      <c r="AV146" s="297">
        <f>Tabla14[[#This Row],[Valor Embarque Pesona5]]*Tabla14[[#This Row],[Presonas Segunda]]</f>
        <v>0</v>
      </c>
      <c r="AW146" s="287">
        <f>Tabla14[[#This Row],[Bolsas Por Personas]]</f>
        <v>3</v>
      </c>
      <c r="AX146" s="288">
        <f>Tabla14[[#This Row],[Valor bolsas Pesona]]</f>
        <v>1500</v>
      </c>
      <c r="AY146" s="309">
        <f>Tabla14[[#This Row],[Personas13]]</f>
        <v>11</v>
      </c>
      <c r="AZ146" s="310">
        <f>Tabla14[[#This Row],[Valor bolsas Pesona2]]*Tabla14[[#This Row],[Personas Rechazo]]</f>
        <v>16500</v>
      </c>
      <c r="BA146" s="311">
        <f>+Tabla14[[#This Row],[Total Valor Segunda]]+Tabla14[[#This Row],[Total Valor Primera]]+Tabla14[[#This Row],[Total Valor Precorte]]</f>
        <v>252000</v>
      </c>
      <c r="BB146" s="292">
        <f>Tabla14[[#This Row],[Valor bolsas Pesona2]]+Tabla14[[#This Row],[Valor Embarque Pesona3]]</f>
        <v>24409.090909090908</v>
      </c>
      <c r="BC146" s="332">
        <v>30000</v>
      </c>
      <c r="BD146" s="292">
        <f>Tabla14[[#This Row],[VALOR GANADO]]-Tabla14[[#This Row],[REAJUSTADO]]</f>
        <v>-5590.9090909090919</v>
      </c>
      <c r="BE146" s="250">
        <f>Tabla14[[#This Row],[CUANTO SE REAJUSTA]]*Tabla14[[#This Row],[Personas Rechazo]]</f>
        <v>-61500.000000000015</v>
      </c>
      <c r="BF146" s="250">
        <f>Tabla14[[#This Row],[REAJUSTADO]]/25000</f>
        <v>1.2</v>
      </c>
      <c r="BG146" s="302">
        <f>Tabla14[[#This Row],[REAJUSTADO]]*Tabla14[[#This Row],[Personas Rechazo]]</f>
        <v>330000</v>
      </c>
      <c r="BH146" s="292" t="str">
        <f>Tabla14[[#This Row],[Finca]]</f>
        <v>San Pedro</v>
      </c>
      <c r="BI146" s="250">
        <v>7</v>
      </c>
      <c r="BJ146" s="332">
        <f>Tabla14[[#This Row],[Numero de Ocacionales]]*Tabla14[[#This Row],[REAJUSTADO]]</f>
        <v>210000</v>
      </c>
      <c r="BK146" s="332"/>
      <c r="BL146" s="332"/>
      <c r="BM146" s="332">
        <f>+Tabla14[[#This Row],[CUANTO SE REAJUSTA]]*3</f>
        <v>-16772.727272727276</v>
      </c>
      <c r="BN146" s="334"/>
      <c r="BO146" s="334"/>
      <c r="BP146" s="334"/>
    </row>
    <row r="147" spans="3:68" hidden="1" x14ac:dyDescent="0.25">
      <c r="C147" s="274">
        <v>44748</v>
      </c>
      <c r="D147" s="507">
        <f>YEAR(Tabla14[[#This Row],[Fecha]])</f>
        <v>2022</v>
      </c>
      <c r="E147" s="313">
        <f>IF(Tabla14[[#This Row],[Fecha]]&gt;0,_xlfn.ISOWEEKNUM(Tabla14[[#This Row],[Fecha]]),0)</f>
        <v>27</v>
      </c>
      <c r="F147" s="283">
        <v>43</v>
      </c>
      <c r="G147" s="275" t="s">
        <v>153</v>
      </c>
      <c r="H147" s="325" t="str">
        <f>_xlfn.XLOOKUP(Tabla14[[#This Row],[Codigo Finca]],Tabla4[Codigo Finca],Tabla4[Nombre Finca],"")</f>
        <v>Uveros</v>
      </c>
      <c r="I147" s="277">
        <f>_xlfn.XLOOKUP(Tabla14[[#This Row],[Codigo Finca]],Tabla4[Codigo Finca],Tabla4[Precio Caja],0)</f>
        <v>1500</v>
      </c>
      <c r="J147" s="277">
        <f>_xlfn.XLOOKUP(Tabla14[[#This Row],[Codigo Finca]],Tabla4[Codigo Finca],Tabla4[Precio Caja Segunda],0)</f>
        <v>1000</v>
      </c>
      <c r="K147" s="277">
        <f>_xlfn.XLOOKUP(Tabla14[[#This Row],[Codigo Finca]],Tabla4[Codigo Finca],Tabla4[Precio Rechazo],0)</f>
        <v>500</v>
      </c>
      <c r="L147" s="277">
        <f t="shared" si="167"/>
        <v>139</v>
      </c>
      <c r="M147" s="278">
        <f t="shared" si="168"/>
        <v>3.2325581395348837</v>
      </c>
      <c r="N147" s="283"/>
      <c r="O147" s="279"/>
      <c r="P147" s="280">
        <f t="shared" si="169"/>
        <v>0</v>
      </c>
      <c r="Q147" s="281">
        <f t="shared" si="170"/>
        <v>0</v>
      </c>
      <c r="R147" s="282">
        <f t="shared" si="171"/>
        <v>0</v>
      </c>
      <c r="S147" s="283">
        <f>125+9+5</f>
        <v>139</v>
      </c>
      <c r="T147" s="275">
        <v>6</v>
      </c>
      <c r="U147" s="280">
        <f t="shared" si="172"/>
        <v>43</v>
      </c>
      <c r="V147" s="281">
        <f t="shared" si="173"/>
        <v>7.166666666666667</v>
      </c>
      <c r="W147" s="282">
        <f t="shared" si="174"/>
        <v>10750</v>
      </c>
      <c r="X147" s="283"/>
      <c r="Y147" s="275"/>
      <c r="Z147" s="280">
        <f>Tabla14[[#This Row],[Cajas Segunda]]</f>
        <v>0</v>
      </c>
      <c r="AA147" s="281">
        <f t="shared" si="175"/>
        <v>0</v>
      </c>
      <c r="AB147" s="284">
        <f t="shared" si="176"/>
        <v>0</v>
      </c>
      <c r="AC147" s="285">
        <v>32</v>
      </c>
      <c r="AD147" s="286"/>
      <c r="AE147" s="286"/>
      <c r="AF147" s="286"/>
      <c r="AG147" s="286">
        <v>6</v>
      </c>
      <c r="AH147" s="280">
        <f t="shared" si="177"/>
        <v>32</v>
      </c>
      <c r="AI147" s="281">
        <f t="shared" si="178"/>
        <v>5.333333333333333</v>
      </c>
      <c r="AJ147" s="282">
        <f t="shared" si="179"/>
        <v>2666.6666666666665</v>
      </c>
      <c r="AK147" s="287">
        <f>Tabla14[[#This Row],[Cajas por Personas]]</f>
        <v>0</v>
      </c>
      <c r="AL147" s="288">
        <f>Tabla14[[#This Row],[Valor Precorte Pesona]]</f>
        <v>0</v>
      </c>
      <c r="AM147" s="294">
        <f>Tabla14[[#This Row],[Personas Precorte]]</f>
        <v>0</v>
      </c>
      <c r="AN147" s="308">
        <f>Tabla14[[#This Row],[Valor Precorte Pesona Precorte]]*Tabla14[[#This Row],[Perzonas Precorte]]</f>
        <v>0</v>
      </c>
      <c r="AO147" s="287">
        <f>Tabla14[[#This Row],[Cajas por Personas2]]</f>
        <v>7.166666666666667</v>
      </c>
      <c r="AP147" s="288">
        <f>Tabla14[[#This Row],[Valor Embarque Pesona]]</f>
        <v>10750</v>
      </c>
      <c r="AQ147" s="295">
        <f>Tabla14[[#This Row],[Personas Precorte2]]</f>
        <v>6</v>
      </c>
      <c r="AR147" s="296">
        <f>Tabla14[[#This Row],[Valor Embarque Pesona3]]*Tabla14[[#This Row],[Perzona Primera]]</f>
        <v>64500</v>
      </c>
      <c r="AS147" s="287">
        <f>Tabla14[[#This Row],[Columna2]]</f>
        <v>0</v>
      </c>
      <c r="AT147" s="288">
        <f>Tabla14[[#This Row],[Columna1]]</f>
        <v>0</v>
      </c>
      <c r="AU147" s="302">
        <f>Tabla14[[#This Row],[Personas Intervienen]]</f>
        <v>0</v>
      </c>
      <c r="AV147" s="297">
        <f>Tabla14[[#This Row],[Valor Embarque Pesona5]]*Tabla14[[#This Row],[Presonas Segunda]]</f>
        <v>0</v>
      </c>
      <c r="AW147" s="287">
        <f>Tabla14[[#This Row],[Bolsas Por Personas]]</f>
        <v>5.333333333333333</v>
      </c>
      <c r="AX147" s="288">
        <f>Tabla14[[#This Row],[Valor bolsas Pesona]]</f>
        <v>2666.6666666666665</v>
      </c>
      <c r="AY147" s="309">
        <f>Tabla14[[#This Row],[Personas13]]</f>
        <v>6</v>
      </c>
      <c r="AZ147" s="310">
        <f>Tabla14[[#This Row],[Valor bolsas Pesona2]]*Tabla14[[#This Row],[Personas Rechazo]]</f>
        <v>16000</v>
      </c>
      <c r="BA147" s="311">
        <f>+Tabla14[[#This Row],[Total Valor Segunda]]+Tabla14[[#This Row],[Total Valor Primera]]+Tabla14[[#This Row],[Total Valor Precorte]]</f>
        <v>64500</v>
      </c>
      <c r="BB147" s="292">
        <f>Tabla14[[#This Row],[Valor bolsas Pesona2]]+Tabla14[[#This Row],[Valor Embarque Pesona3]]</f>
        <v>13416.666666666666</v>
      </c>
      <c r="BC147" s="332">
        <v>30000</v>
      </c>
      <c r="BD147" s="292">
        <f>Tabla14[[#This Row],[VALOR GANADO]]-Tabla14[[#This Row],[REAJUSTADO]]</f>
        <v>-16583.333333333336</v>
      </c>
      <c r="BE147" s="250">
        <f>Tabla14[[#This Row],[CUANTO SE REAJUSTA]]*Tabla14[[#This Row],[Personas Rechazo]]</f>
        <v>-99500.000000000015</v>
      </c>
      <c r="BF147" s="250">
        <f>Tabla14[[#This Row],[REAJUSTADO]]/25000</f>
        <v>1.2</v>
      </c>
      <c r="BG147" s="302">
        <f>Tabla14[[#This Row],[REAJUSTADO]]*Tabla14[[#This Row],[Personas Rechazo]]</f>
        <v>180000</v>
      </c>
      <c r="BH147" s="292" t="str">
        <f>Tabla14[[#This Row],[Finca]]</f>
        <v>Uveros</v>
      </c>
      <c r="BI147" s="250">
        <v>5</v>
      </c>
      <c r="BJ147" s="332">
        <f>Tabla14[[#This Row],[Numero de Ocacionales]]*Tabla14[[#This Row],[REAJUSTADO]]</f>
        <v>150000</v>
      </c>
      <c r="BK147" s="332"/>
      <c r="BL147" s="332"/>
      <c r="BM147" s="332">
        <f>+Tabla14[[#This Row],[CUANTO SE REAJUSTA]]*3</f>
        <v>-49750.000000000007</v>
      </c>
      <c r="BN147" s="334"/>
      <c r="BO147" s="334"/>
      <c r="BP147" s="334"/>
    </row>
    <row r="148" spans="3:68" hidden="1" x14ac:dyDescent="0.25">
      <c r="C148" s="274">
        <v>44754</v>
      </c>
      <c r="D148" s="507">
        <f>YEAR(Tabla14[[#This Row],[Fecha]])</f>
        <v>2022</v>
      </c>
      <c r="E148" s="313">
        <f>IF(Tabla14[[#This Row],[Fecha]]&gt;0,_xlfn.ISOWEEKNUM(Tabla14[[#This Row],[Fecha]]),0)</f>
        <v>28</v>
      </c>
      <c r="F148" s="283">
        <v>79</v>
      </c>
      <c r="G148" s="275" t="s">
        <v>155</v>
      </c>
      <c r="H148" s="325" t="str">
        <f>_xlfn.XLOOKUP(Tabla14[[#This Row],[Codigo Finca]],Tabla4[Codigo Finca],Tabla4[Nombre Finca],"")</f>
        <v>Damaquiel</v>
      </c>
      <c r="I148" s="277">
        <f>_xlfn.XLOOKUP(Tabla14[[#This Row],[Codigo Finca]],Tabla4[Codigo Finca],Tabla4[Precio Caja],0)</f>
        <v>1500</v>
      </c>
      <c r="J148" s="277">
        <f>_xlfn.XLOOKUP(Tabla14[[#This Row],[Codigo Finca]],Tabla4[Codigo Finca],Tabla4[Precio Caja Segunda],0)</f>
        <v>1000</v>
      </c>
      <c r="K148" s="277">
        <f>_xlfn.XLOOKUP(Tabla14[[#This Row],[Codigo Finca]],Tabla4[Codigo Finca],Tabla4[Precio Rechazo],0)</f>
        <v>500</v>
      </c>
      <c r="L148" s="277">
        <f t="shared" si="167"/>
        <v>0</v>
      </c>
      <c r="M148" s="278">
        <f t="shared" si="168"/>
        <v>0</v>
      </c>
      <c r="N148" s="283"/>
      <c r="O148" s="279"/>
      <c r="P148" s="280">
        <f t="shared" si="169"/>
        <v>0</v>
      </c>
      <c r="Q148" s="281">
        <f t="shared" si="170"/>
        <v>0</v>
      </c>
      <c r="R148" s="282">
        <f t="shared" si="171"/>
        <v>0</v>
      </c>
      <c r="S148" s="283"/>
      <c r="T148" s="275">
        <v>8</v>
      </c>
      <c r="U148" s="280">
        <f t="shared" si="172"/>
        <v>79</v>
      </c>
      <c r="V148" s="281">
        <f t="shared" si="173"/>
        <v>9.875</v>
      </c>
      <c r="W148" s="282">
        <f t="shared" si="174"/>
        <v>14812.5</v>
      </c>
      <c r="X148" s="283"/>
      <c r="Y148" s="275"/>
      <c r="Z148" s="280">
        <f>Tabla14[[#This Row],[Cajas Segunda]]</f>
        <v>0</v>
      </c>
      <c r="AA148" s="281">
        <f t="shared" si="175"/>
        <v>0</v>
      </c>
      <c r="AB148" s="284">
        <f t="shared" si="176"/>
        <v>0</v>
      </c>
      <c r="AC148" s="285">
        <v>25</v>
      </c>
      <c r="AD148" s="286"/>
      <c r="AE148" s="286"/>
      <c r="AF148" s="286"/>
      <c r="AG148" s="286">
        <v>8</v>
      </c>
      <c r="AH148" s="280">
        <f t="shared" si="177"/>
        <v>25</v>
      </c>
      <c r="AI148" s="281">
        <f t="shared" si="178"/>
        <v>3.125</v>
      </c>
      <c r="AJ148" s="282">
        <f t="shared" si="179"/>
        <v>1562.5</v>
      </c>
      <c r="AK148" s="287">
        <f>Tabla14[[#This Row],[Cajas por Personas]]</f>
        <v>0</v>
      </c>
      <c r="AL148" s="288">
        <f>Tabla14[[#This Row],[Valor Precorte Pesona]]</f>
        <v>0</v>
      </c>
      <c r="AM148" s="294">
        <f>Tabla14[[#This Row],[Personas Precorte]]</f>
        <v>0</v>
      </c>
      <c r="AN148" s="308">
        <f>Tabla14[[#This Row],[Valor Precorte Pesona Precorte]]*Tabla14[[#This Row],[Perzonas Precorte]]</f>
        <v>0</v>
      </c>
      <c r="AO148" s="287">
        <f>Tabla14[[#This Row],[Cajas por Personas2]]</f>
        <v>9.875</v>
      </c>
      <c r="AP148" s="288">
        <f>Tabla14[[#This Row],[Valor Embarque Pesona]]</f>
        <v>14812.5</v>
      </c>
      <c r="AQ148" s="295">
        <f>Tabla14[[#This Row],[Personas Precorte2]]</f>
        <v>8</v>
      </c>
      <c r="AR148" s="296">
        <f>Tabla14[[#This Row],[Valor Embarque Pesona3]]*Tabla14[[#This Row],[Perzona Primera]]</f>
        <v>118500</v>
      </c>
      <c r="AS148" s="287">
        <f>Tabla14[[#This Row],[Columna2]]</f>
        <v>0</v>
      </c>
      <c r="AT148" s="288">
        <f>Tabla14[[#This Row],[Columna1]]</f>
        <v>0</v>
      </c>
      <c r="AU148" s="302">
        <f>Tabla14[[#This Row],[Personas Intervienen]]</f>
        <v>0</v>
      </c>
      <c r="AV148" s="297">
        <f>Tabla14[[#This Row],[Valor Embarque Pesona5]]*Tabla14[[#This Row],[Presonas Segunda]]</f>
        <v>0</v>
      </c>
      <c r="AW148" s="287">
        <f>Tabla14[[#This Row],[Bolsas Por Personas]]</f>
        <v>3.125</v>
      </c>
      <c r="AX148" s="288">
        <f>Tabla14[[#This Row],[Valor bolsas Pesona]]</f>
        <v>1562.5</v>
      </c>
      <c r="AY148" s="309">
        <f>Tabla14[[#This Row],[Personas13]]</f>
        <v>8</v>
      </c>
      <c r="AZ148" s="310">
        <f>Tabla14[[#This Row],[Valor bolsas Pesona2]]*Tabla14[[#This Row],[Personas Rechazo]]</f>
        <v>12500</v>
      </c>
      <c r="BA148" s="311">
        <f>+Tabla14[[#This Row],[Total Valor Segunda]]+Tabla14[[#This Row],[Total Valor Primera]]+Tabla14[[#This Row],[Total Valor Precorte]]</f>
        <v>118500</v>
      </c>
      <c r="BB148" s="292">
        <f>Tabla14[[#This Row],[Valor bolsas Pesona2]]+Tabla14[[#This Row],[Valor Embarque Pesona3]]</f>
        <v>16375</v>
      </c>
      <c r="BC148" s="332">
        <v>30000</v>
      </c>
      <c r="BD148" s="292">
        <f>Tabla14[[#This Row],[VALOR GANADO]]-Tabla14[[#This Row],[REAJUSTADO]]</f>
        <v>-13625</v>
      </c>
      <c r="BE148" s="250">
        <f>Tabla14[[#This Row],[CUANTO SE REAJUSTA]]*Tabla14[[#This Row],[Personas Rechazo]]</f>
        <v>-109000</v>
      </c>
      <c r="BF148" s="250">
        <f>Tabla14[[#This Row],[REAJUSTADO]]/25000</f>
        <v>1.2</v>
      </c>
      <c r="BG148" s="302">
        <f>Tabla14[[#This Row],[REAJUSTADO]]*Tabla14[[#This Row],[Personas Rechazo]]</f>
        <v>240000</v>
      </c>
      <c r="BH148" s="292" t="str">
        <f>Tabla14[[#This Row],[Finca]]</f>
        <v>Damaquiel</v>
      </c>
      <c r="BI148" s="250">
        <v>5</v>
      </c>
      <c r="BJ148" s="332">
        <f>Tabla14[[#This Row],[Numero de Ocacionales]]*Tabla14[[#This Row],[REAJUSTADO]]</f>
        <v>150000</v>
      </c>
      <c r="BK148" s="332"/>
      <c r="BL148" s="332"/>
      <c r="BM148" s="332">
        <f>+Tabla14[[#This Row],[CUANTO SE REAJUSTA]]*3</f>
        <v>-40875</v>
      </c>
      <c r="BN148" s="334"/>
      <c r="BO148" s="334"/>
      <c r="BP148" s="334"/>
    </row>
    <row r="149" spans="3:68" hidden="1" x14ac:dyDescent="0.25">
      <c r="C149" s="274">
        <v>44754</v>
      </c>
      <c r="D149" s="507">
        <f>YEAR(Tabla14[[#This Row],[Fecha]])</f>
        <v>2022</v>
      </c>
      <c r="E149" s="313">
        <f>IF(Tabla14[[#This Row],[Fecha]]&gt;0,_xlfn.ISOWEEKNUM(Tabla14[[#This Row],[Fecha]]),0)</f>
        <v>28</v>
      </c>
      <c r="F149" s="283">
        <v>216</v>
      </c>
      <c r="G149" s="275" t="s">
        <v>152</v>
      </c>
      <c r="H149" s="325" t="str">
        <f>_xlfn.XLOOKUP(Tabla14[[#This Row],[Codigo Finca]],Tabla4[Codigo Finca],Tabla4[Nombre Finca],"")</f>
        <v>San Pedro</v>
      </c>
      <c r="I149" s="277">
        <f>_xlfn.XLOOKUP(Tabla14[[#This Row],[Codigo Finca]],Tabla4[Codigo Finca],Tabla4[Precio Caja],0)</f>
        <v>1500</v>
      </c>
      <c r="J149" s="277">
        <f>_xlfn.XLOOKUP(Tabla14[[#This Row],[Codigo Finca]],Tabla4[Codigo Finca],Tabla4[Precio Caja Segunda],0)</f>
        <v>1000</v>
      </c>
      <c r="K149" s="277">
        <f>_xlfn.XLOOKUP(Tabla14[[#This Row],[Codigo Finca]],Tabla4[Codigo Finca],Tabla4[Precio Rechazo],0)</f>
        <v>500</v>
      </c>
      <c r="L149" s="277">
        <f t="shared" si="167"/>
        <v>88</v>
      </c>
      <c r="M149" s="278">
        <f t="shared" si="168"/>
        <v>0.40740740740740738</v>
      </c>
      <c r="N149" s="283">
        <v>88</v>
      </c>
      <c r="O149" s="279">
        <v>3</v>
      </c>
      <c r="P149" s="280">
        <f t="shared" si="169"/>
        <v>108</v>
      </c>
      <c r="Q149" s="281">
        <f t="shared" si="170"/>
        <v>36</v>
      </c>
      <c r="R149" s="282">
        <f t="shared" si="171"/>
        <v>54000</v>
      </c>
      <c r="S149" s="283"/>
      <c r="T149" s="275">
        <v>14</v>
      </c>
      <c r="U149" s="280">
        <f t="shared" si="172"/>
        <v>108</v>
      </c>
      <c r="V149" s="281">
        <f t="shared" si="173"/>
        <v>7.7142857142857144</v>
      </c>
      <c r="W149" s="282">
        <f t="shared" si="174"/>
        <v>11571.428571428571</v>
      </c>
      <c r="X149" s="283"/>
      <c r="Y149" s="275"/>
      <c r="Z149" s="280">
        <f>Tabla14[[#This Row],[Cajas Segunda]]</f>
        <v>0</v>
      </c>
      <c r="AA149" s="281">
        <f t="shared" si="175"/>
        <v>0</v>
      </c>
      <c r="AB149" s="284">
        <f t="shared" si="176"/>
        <v>0</v>
      </c>
      <c r="AC149" s="285">
        <v>52</v>
      </c>
      <c r="AD149" s="286"/>
      <c r="AE149" s="286"/>
      <c r="AF149" s="286"/>
      <c r="AG149" s="286">
        <v>14</v>
      </c>
      <c r="AH149" s="280">
        <f t="shared" si="177"/>
        <v>52</v>
      </c>
      <c r="AI149" s="281">
        <f t="shared" si="178"/>
        <v>3.7142857142857144</v>
      </c>
      <c r="AJ149" s="282">
        <f t="shared" si="179"/>
        <v>1857.1428571428571</v>
      </c>
      <c r="AK149" s="287">
        <f>Tabla14[[#This Row],[Cajas por Personas]]</f>
        <v>36</v>
      </c>
      <c r="AL149" s="288">
        <f>Tabla14[[#This Row],[Valor Precorte Pesona]]</f>
        <v>54000</v>
      </c>
      <c r="AM149" s="294">
        <f>Tabla14[[#This Row],[Personas Precorte]]</f>
        <v>3</v>
      </c>
      <c r="AN149" s="308">
        <f>Tabla14[[#This Row],[Valor Precorte Pesona Precorte]]*Tabla14[[#This Row],[Perzonas Precorte]]</f>
        <v>162000</v>
      </c>
      <c r="AO149" s="287">
        <f>Tabla14[[#This Row],[Cajas por Personas2]]</f>
        <v>7.7142857142857144</v>
      </c>
      <c r="AP149" s="288">
        <f>Tabla14[[#This Row],[Valor Embarque Pesona]]</f>
        <v>11571.428571428571</v>
      </c>
      <c r="AQ149" s="295">
        <f>Tabla14[[#This Row],[Personas Precorte2]]</f>
        <v>14</v>
      </c>
      <c r="AR149" s="296">
        <f>Tabla14[[#This Row],[Valor Embarque Pesona3]]*Tabla14[[#This Row],[Perzona Primera]]</f>
        <v>162000</v>
      </c>
      <c r="AS149" s="287">
        <f>Tabla14[[#This Row],[Columna2]]</f>
        <v>0</v>
      </c>
      <c r="AT149" s="288">
        <f>Tabla14[[#This Row],[Columna1]]</f>
        <v>0</v>
      </c>
      <c r="AU149" s="302">
        <f>Tabla14[[#This Row],[Personas Intervienen]]</f>
        <v>0</v>
      </c>
      <c r="AV149" s="297">
        <f>Tabla14[[#This Row],[Valor Embarque Pesona5]]*Tabla14[[#This Row],[Presonas Segunda]]</f>
        <v>0</v>
      </c>
      <c r="AW149" s="287">
        <f>Tabla14[[#This Row],[Bolsas Por Personas]]</f>
        <v>3.7142857142857144</v>
      </c>
      <c r="AX149" s="288">
        <f>Tabla14[[#This Row],[Valor bolsas Pesona]]</f>
        <v>1857.1428571428571</v>
      </c>
      <c r="AY149" s="309">
        <f>Tabla14[[#This Row],[Personas13]]</f>
        <v>14</v>
      </c>
      <c r="AZ149" s="310">
        <f>Tabla14[[#This Row],[Valor bolsas Pesona2]]*Tabla14[[#This Row],[Personas Rechazo]]</f>
        <v>26000</v>
      </c>
      <c r="BA149" s="311">
        <f>+Tabla14[[#This Row],[Total Valor Segunda]]+Tabla14[[#This Row],[Total Valor Primera]]+Tabla14[[#This Row],[Total Valor Precorte]]</f>
        <v>324000</v>
      </c>
      <c r="BB149" s="292">
        <f>Tabla14[[#This Row],[Valor bolsas Pesona2]]+Tabla14[[#This Row],[Valor Embarque Pesona3]]</f>
        <v>13428.571428571428</v>
      </c>
      <c r="BC149" s="332">
        <v>30000</v>
      </c>
      <c r="BD149" s="292">
        <f>Tabla14[[#This Row],[VALOR GANADO]]-Tabla14[[#This Row],[REAJUSTADO]]</f>
        <v>-16571.428571428572</v>
      </c>
      <c r="BE149" s="250">
        <f>Tabla14[[#This Row],[CUANTO SE REAJUSTA]]*Tabla14[[#This Row],[Personas Rechazo]]</f>
        <v>-232000</v>
      </c>
      <c r="BF149" s="250">
        <f>Tabla14[[#This Row],[REAJUSTADO]]/25000</f>
        <v>1.2</v>
      </c>
      <c r="BG149" s="302">
        <f>Tabla14[[#This Row],[REAJUSTADO]]*Tabla14[[#This Row],[Personas Rechazo]]</f>
        <v>420000</v>
      </c>
      <c r="BH149" s="292" t="str">
        <f>Tabla14[[#This Row],[Finca]]</f>
        <v>San Pedro</v>
      </c>
      <c r="BI149" s="250">
        <v>9</v>
      </c>
      <c r="BJ149" s="332">
        <f>Tabla14[[#This Row],[Numero de Ocacionales]]*Tabla14[[#This Row],[REAJUSTADO]]</f>
        <v>270000</v>
      </c>
      <c r="BK149" s="332"/>
      <c r="BL149" s="332"/>
      <c r="BM149" s="332">
        <f>+Tabla14[[#This Row],[CUANTO SE REAJUSTA]]*3</f>
        <v>-49714.285714285717</v>
      </c>
      <c r="BN149" s="334"/>
      <c r="BO149" s="334"/>
      <c r="BP149" s="334"/>
    </row>
    <row r="150" spans="3:68" hidden="1" x14ac:dyDescent="0.25">
      <c r="C150" s="274">
        <v>44754</v>
      </c>
      <c r="D150" s="507">
        <f>YEAR(Tabla14[[#This Row],[Fecha]])</f>
        <v>2022</v>
      </c>
      <c r="E150" s="313">
        <f>IF(Tabla14[[#This Row],[Fecha]]&gt;0,_xlfn.ISOWEEKNUM(Tabla14[[#This Row],[Fecha]]),0)</f>
        <v>28</v>
      </c>
      <c r="F150" s="283">
        <v>234</v>
      </c>
      <c r="G150" s="275" t="s">
        <v>157</v>
      </c>
      <c r="H150" s="325" t="str">
        <f>_xlfn.XLOOKUP(Tabla14[[#This Row],[Codigo Finca]],Tabla4[Codigo Finca],Tabla4[Nombre Finca],"")</f>
        <v>Pedrito</v>
      </c>
      <c r="I150" s="277">
        <f>_xlfn.XLOOKUP(Tabla14[[#This Row],[Codigo Finca]],Tabla4[Codigo Finca],Tabla4[Precio Caja],0)</f>
        <v>2100</v>
      </c>
      <c r="J150" s="277">
        <f>_xlfn.XLOOKUP(Tabla14[[#This Row],[Codigo Finca]],Tabla4[Codigo Finca],Tabla4[Precio Caja Segunda],0)</f>
        <v>1000</v>
      </c>
      <c r="K150" s="277">
        <f>_xlfn.XLOOKUP(Tabla14[[#This Row],[Codigo Finca]],Tabla4[Codigo Finca],Tabla4[Precio Rechazo],0)</f>
        <v>500</v>
      </c>
      <c r="L150" s="277">
        <f t="shared" si="167"/>
        <v>2046</v>
      </c>
      <c r="M150" s="278">
        <f t="shared" si="168"/>
        <v>8.7435897435897427</v>
      </c>
      <c r="N150" s="283">
        <v>1000</v>
      </c>
      <c r="O150" s="279"/>
      <c r="P150" s="280">
        <f t="shared" si="169"/>
        <v>57.184750733137832</v>
      </c>
      <c r="Q150" s="281">
        <f t="shared" si="170"/>
        <v>0</v>
      </c>
      <c r="R150" s="282">
        <f t="shared" si="171"/>
        <v>0</v>
      </c>
      <c r="S150" s="283">
        <v>1046</v>
      </c>
      <c r="T150" s="275">
        <v>21</v>
      </c>
      <c r="U150" s="280">
        <f t="shared" si="172"/>
        <v>176.81524926686217</v>
      </c>
      <c r="V150" s="281">
        <f t="shared" si="173"/>
        <v>8.4197737746124837</v>
      </c>
      <c r="W150" s="282">
        <f t="shared" si="174"/>
        <v>17681.524926686216</v>
      </c>
      <c r="X150" s="283"/>
      <c r="Y150" s="275"/>
      <c r="Z150" s="280">
        <f>Tabla14[[#This Row],[Cajas Segunda]]</f>
        <v>0</v>
      </c>
      <c r="AA150" s="281">
        <f t="shared" si="175"/>
        <v>0</v>
      </c>
      <c r="AB150" s="284">
        <f t="shared" si="176"/>
        <v>0</v>
      </c>
      <c r="AC150" s="285">
        <v>125</v>
      </c>
      <c r="AD150" s="286"/>
      <c r="AE150" s="286"/>
      <c r="AF150" s="286"/>
      <c r="AG150" s="286">
        <v>21</v>
      </c>
      <c r="AH150" s="280">
        <f t="shared" si="177"/>
        <v>125</v>
      </c>
      <c r="AI150" s="281">
        <f t="shared" si="178"/>
        <v>5.9523809523809526</v>
      </c>
      <c r="AJ150" s="282">
        <f t="shared" si="179"/>
        <v>2976.1904761904761</v>
      </c>
      <c r="AK150" s="287">
        <f>Tabla14[[#This Row],[Cajas por Personas]]</f>
        <v>0</v>
      </c>
      <c r="AL150" s="288">
        <f>Tabla14[[#This Row],[Valor Precorte Pesona]]</f>
        <v>0</v>
      </c>
      <c r="AM150" s="294">
        <f>Tabla14[[#This Row],[Personas Precorte]]</f>
        <v>0</v>
      </c>
      <c r="AN150" s="308">
        <f>Tabla14[[#This Row],[Valor Precorte Pesona Precorte]]*Tabla14[[#This Row],[Perzonas Precorte]]</f>
        <v>0</v>
      </c>
      <c r="AO150" s="287">
        <f>Tabla14[[#This Row],[Cajas por Personas2]]</f>
        <v>8.4197737746124837</v>
      </c>
      <c r="AP150" s="288">
        <f>Tabla14[[#This Row],[Valor Embarque Pesona]]</f>
        <v>17681.524926686216</v>
      </c>
      <c r="AQ150" s="295">
        <f>Tabla14[[#This Row],[Personas Precorte2]]</f>
        <v>21</v>
      </c>
      <c r="AR150" s="296">
        <f>Tabla14[[#This Row],[Valor Embarque Pesona3]]*Tabla14[[#This Row],[Perzona Primera]]</f>
        <v>371312.02346041054</v>
      </c>
      <c r="AS150" s="287">
        <f>Tabla14[[#This Row],[Columna2]]</f>
        <v>0</v>
      </c>
      <c r="AT150" s="288">
        <f>Tabla14[[#This Row],[Columna1]]</f>
        <v>0</v>
      </c>
      <c r="AU150" s="302">
        <f>Tabla14[[#This Row],[Personas Intervienen]]</f>
        <v>0</v>
      </c>
      <c r="AV150" s="297">
        <f>Tabla14[[#This Row],[Valor Embarque Pesona5]]*Tabla14[[#This Row],[Presonas Segunda]]</f>
        <v>0</v>
      </c>
      <c r="AW150" s="287">
        <f>Tabla14[[#This Row],[Bolsas Por Personas]]</f>
        <v>5.9523809523809526</v>
      </c>
      <c r="AX150" s="288">
        <f>Tabla14[[#This Row],[Valor bolsas Pesona]]</f>
        <v>2976.1904761904761</v>
      </c>
      <c r="AY150" s="309">
        <f>Tabla14[[#This Row],[Personas13]]</f>
        <v>21</v>
      </c>
      <c r="AZ150" s="310">
        <f>Tabla14[[#This Row],[Valor bolsas Pesona2]]*Tabla14[[#This Row],[Personas Rechazo]]</f>
        <v>62500</v>
      </c>
      <c r="BA150" s="311">
        <f>+Tabla14[[#This Row],[Total Valor Segunda]]+Tabla14[[#This Row],[Total Valor Primera]]+Tabla14[[#This Row],[Total Valor Precorte]]</f>
        <v>371312.02346041054</v>
      </c>
      <c r="BB150" s="292">
        <f>Tabla14[[#This Row],[Valor bolsas Pesona2]]+Tabla14[[#This Row],[Valor Embarque Pesona3]]</f>
        <v>20657.715402876693</v>
      </c>
      <c r="BC150" s="332">
        <v>40000</v>
      </c>
      <c r="BD150" s="292">
        <f>Tabla14[[#This Row],[VALOR GANADO]]-Tabla14[[#This Row],[REAJUSTADO]]</f>
        <v>-19342.284597123307</v>
      </c>
      <c r="BE150" s="250">
        <f>Tabla14[[#This Row],[CUANTO SE REAJUSTA]]*Tabla14[[#This Row],[Personas Rechazo]]</f>
        <v>-406187.97653958946</v>
      </c>
      <c r="BF150" s="250">
        <f>Tabla14[[#This Row],[REAJUSTADO]]/25000</f>
        <v>1.6</v>
      </c>
      <c r="BG150" s="302">
        <f>Tabla14[[#This Row],[REAJUSTADO]]*Tabla14[[#This Row],[Personas Rechazo]]</f>
        <v>840000</v>
      </c>
      <c r="BH150" s="292" t="str">
        <f>Tabla14[[#This Row],[Finca]]</f>
        <v>Pedrito</v>
      </c>
      <c r="BI150" s="250">
        <v>3</v>
      </c>
      <c r="BJ150" s="332">
        <f>Tabla14[[#This Row],[Numero de Ocacionales]]*Tabla14[[#This Row],[REAJUSTADO]]</f>
        <v>120000</v>
      </c>
      <c r="BK150" s="332"/>
      <c r="BL150" s="332"/>
      <c r="BM150" s="332">
        <f>+Tabla14[[#This Row],[CUANTO SE REAJUSTA]]*3</f>
        <v>-58026.853791369926</v>
      </c>
      <c r="BN150" s="334"/>
      <c r="BO150" s="334"/>
      <c r="BP150" s="334"/>
    </row>
    <row r="151" spans="3:68" hidden="1" x14ac:dyDescent="0.25">
      <c r="C151" s="274">
        <v>44756</v>
      </c>
      <c r="D151" s="507">
        <f>YEAR(Tabla14[[#This Row],[Fecha]])</f>
        <v>2022</v>
      </c>
      <c r="E151" s="313">
        <f>IF(Tabla14[[#This Row],[Fecha]]&gt;0,_xlfn.ISOWEEKNUM(Tabla14[[#This Row],[Fecha]]),0)</f>
        <v>28</v>
      </c>
      <c r="F151" s="283">
        <v>169</v>
      </c>
      <c r="G151" s="275" t="s">
        <v>152</v>
      </c>
      <c r="H151" s="325" t="str">
        <f>_xlfn.XLOOKUP(Tabla14[[#This Row],[Codigo Finca]],Tabla4[Codigo Finca],Tabla4[Nombre Finca],"")</f>
        <v>San Pedro</v>
      </c>
      <c r="I151" s="277">
        <f>_xlfn.XLOOKUP(Tabla14[[#This Row],[Codigo Finca]],Tabla4[Codigo Finca],Tabla4[Precio Caja],0)</f>
        <v>1500</v>
      </c>
      <c r="J151" s="277">
        <f>_xlfn.XLOOKUP(Tabla14[[#This Row],[Codigo Finca]],Tabla4[Codigo Finca],Tabla4[Precio Caja Segunda],0)</f>
        <v>1000</v>
      </c>
      <c r="K151" s="277">
        <f>_xlfn.XLOOKUP(Tabla14[[#This Row],[Codigo Finca]],Tabla4[Codigo Finca],Tabla4[Precio Rechazo],0)</f>
        <v>500</v>
      </c>
      <c r="L151" s="277">
        <f t="shared" ref="L151:L156" si="180">S151+N151</f>
        <v>70</v>
      </c>
      <c r="M151" s="278">
        <f t="shared" ref="M151:M156" si="181">IF(F151&gt;0,L151/F151,0)</f>
        <v>0.41420118343195267</v>
      </c>
      <c r="N151" s="283">
        <v>70</v>
      </c>
      <c r="O151" s="279">
        <v>2</v>
      </c>
      <c r="P151" s="280">
        <f t="shared" ref="P151:P156" si="182">IF(N151&gt;0,(N151/M151)/2,0)</f>
        <v>84.5</v>
      </c>
      <c r="Q151" s="281">
        <f>IF(O151&gt;0,P151/O151,0)</f>
        <v>42.25</v>
      </c>
      <c r="R151" s="282">
        <f t="shared" ref="R151:R156" si="183">IF(I151&gt;0,Q151*I151,)</f>
        <v>63375</v>
      </c>
      <c r="S151" s="283"/>
      <c r="T151" s="275">
        <v>11</v>
      </c>
      <c r="U151" s="280">
        <f t="shared" ref="U151:U156" si="184">F151-P151</f>
        <v>84.5</v>
      </c>
      <c r="V151" s="281">
        <f t="shared" ref="V151:V156" si="185">IF(T151&gt;0,U151/T151,0)</f>
        <v>7.6818181818181817</v>
      </c>
      <c r="W151" s="282">
        <f t="shared" ref="W151:W156" si="186">IF(T151&gt;0,(U151*I151)/T151,0)</f>
        <v>11522.727272727272</v>
      </c>
      <c r="X151" s="283"/>
      <c r="Y151" s="275"/>
      <c r="Z151" s="280">
        <f>Tabla14[[#This Row],[Cajas Segunda]]</f>
        <v>0</v>
      </c>
      <c r="AA151" s="281">
        <f t="shared" ref="AA151:AA156" si="187">IF(Y151&gt;0,Z151/Y151,0)</f>
        <v>0</v>
      </c>
      <c r="AB151" s="284">
        <f t="shared" ref="AB151:AB156" si="188">IF(Y151&gt;0,(Z151*J151)/Y151,0)</f>
        <v>0</v>
      </c>
      <c r="AC151" s="285">
        <v>29</v>
      </c>
      <c r="AD151" s="286"/>
      <c r="AE151" s="286"/>
      <c r="AF151" s="286"/>
      <c r="AG151" s="286">
        <v>11</v>
      </c>
      <c r="AH151" s="280">
        <f t="shared" ref="AH151:AH156" si="189">IF(AND(AC151&gt;0,AE151=0,AF151=0,AD151=0),AC151,IF(AND(AC151=0,AE151&gt;0,AF151&gt;0,AD151=0),AE151*AF151/25,IF(AND(AC151=0,AE151=0,AF151=0,AD151&gt;0),AD151/25,0)))</f>
        <v>29</v>
      </c>
      <c r="AI151" s="281">
        <f t="shared" ref="AI151:AI156" si="190">IF(AG151&gt;0,AH151/AG151,0)</f>
        <v>2.6363636363636362</v>
      </c>
      <c r="AJ151" s="282">
        <f t="shared" ref="AJ151:AJ156" si="191">AI151*K151</f>
        <v>1318.181818181818</v>
      </c>
      <c r="AK151" s="287">
        <f>Tabla14[[#This Row],[Cajas por Personas]]</f>
        <v>42.25</v>
      </c>
      <c r="AL151" s="288">
        <f>Tabla14[[#This Row],[Valor Precorte Pesona]]</f>
        <v>63375</v>
      </c>
      <c r="AM151" s="294">
        <f>Tabla14[[#This Row],[Personas Precorte]]</f>
        <v>2</v>
      </c>
      <c r="AN151" s="308">
        <f>Tabla14[[#This Row],[Valor Precorte Pesona Precorte]]*Tabla14[[#This Row],[Perzonas Precorte]]</f>
        <v>126750</v>
      </c>
      <c r="AO151" s="287">
        <f>Tabla14[[#This Row],[Cajas por Personas2]]</f>
        <v>7.6818181818181817</v>
      </c>
      <c r="AP151" s="288">
        <f>Tabla14[[#This Row],[Valor Embarque Pesona]]</f>
        <v>11522.727272727272</v>
      </c>
      <c r="AQ151" s="295">
        <f>Tabla14[[#This Row],[Personas Precorte2]]</f>
        <v>11</v>
      </c>
      <c r="AR151" s="296">
        <f>Tabla14[[#This Row],[Valor Embarque Pesona3]]*Tabla14[[#This Row],[Perzona Primera]]</f>
        <v>126750</v>
      </c>
      <c r="AS151" s="287">
        <f>Tabla14[[#This Row],[Columna2]]</f>
        <v>0</v>
      </c>
      <c r="AT151" s="288">
        <f>Tabla14[[#This Row],[Columna1]]</f>
        <v>0</v>
      </c>
      <c r="AU151" s="302">
        <f>Tabla14[[#This Row],[Personas Intervienen]]</f>
        <v>0</v>
      </c>
      <c r="AV151" s="297">
        <f>Tabla14[[#This Row],[Valor Embarque Pesona5]]*Tabla14[[#This Row],[Presonas Segunda]]</f>
        <v>0</v>
      </c>
      <c r="AW151" s="287">
        <f>Tabla14[[#This Row],[Bolsas Por Personas]]</f>
        <v>2.6363636363636362</v>
      </c>
      <c r="AX151" s="288">
        <f>Tabla14[[#This Row],[Valor bolsas Pesona]]</f>
        <v>1318.181818181818</v>
      </c>
      <c r="AY151" s="309">
        <f>Tabla14[[#This Row],[Personas13]]</f>
        <v>11</v>
      </c>
      <c r="AZ151" s="310">
        <f>Tabla14[[#This Row],[Valor bolsas Pesona2]]*Tabla14[[#This Row],[Personas Rechazo]]</f>
        <v>14499.999999999998</v>
      </c>
      <c r="BA151" s="311">
        <f>+Tabla14[[#This Row],[Total Valor Segunda]]+Tabla14[[#This Row],[Total Valor Primera]]+Tabla14[[#This Row],[Total Valor Precorte]]</f>
        <v>253500</v>
      </c>
      <c r="BB151" s="292">
        <f>Tabla14[[#This Row],[Valor bolsas Pesona2]]+Tabla14[[#This Row],[Valor Embarque Pesona3]]</f>
        <v>12840.90909090909</v>
      </c>
      <c r="BC151" s="332">
        <v>30000</v>
      </c>
      <c r="BD151" s="292">
        <f>Tabla14[[#This Row],[VALOR GANADO]]-Tabla14[[#This Row],[REAJUSTADO]]</f>
        <v>-17159.090909090912</v>
      </c>
      <c r="BE151" s="250">
        <f>Tabla14[[#This Row],[CUANTO SE REAJUSTA]]*Tabla14[[#This Row],[Personas Rechazo]]</f>
        <v>-188750.00000000003</v>
      </c>
      <c r="BF151" s="250">
        <f>Tabla14[[#This Row],[REAJUSTADO]]/25000</f>
        <v>1.2</v>
      </c>
      <c r="BG151" s="302">
        <f>Tabla14[[#This Row],[REAJUSTADO]]*Tabla14[[#This Row],[Personas Rechazo]]</f>
        <v>330000</v>
      </c>
      <c r="BH151" s="292" t="str">
        <f>Tabla14[[#This Row],[Finca]]</f>
        <v>San Pedro</v>
      </c>
      <c r="BI151" s="250">
        <v>6</v>
      </c>
      <c r="BJ151" s="332">
        <f>Tabla14[[#This Row],[Numero de Ocacionales]]*Tabla14[[#This Row],[REAJUSTADO]]</f>
        <v>180000</v>
      </c>
      <c r="BK151" s="332"/>
      <c r="BL151" s="332"/>
      <c r="BM151" s="332">
        <f>+Tabla14[[#This Row],[CUANTO SE REAJUSTA]]*3</f>
        <v>-51477.272727272735</v>
      </c>
      <c r="BN151" s="334"/>
      <c r="BO151" s="334"/>
      <c r="BP151" s="334"/>
    </row>
    <row r="152" spans="3:68" hidden="1" x14ac:dyDescent="0.25">
      <c r="C152" s="274">
        <v>44756</v>
      </c>
      <c r="D152" s="507">
        <f>YEAR(Tabla14[[#This Row],[Fecha]])</f>
        <v>2022</v>
      </c>
      <c r="E152" s="313">
        <f>IF(Tabla14[[#This Row],[Fecha]]&gt;0,_xlfn.ISOWEEKNUM(Tabla14[[#This Row],[Fecha]]),0)</f>
        <v>28</v>
      </c>
      <c r="F152" s="283">
        <v>51</v>
      </c>
      <c r="G152" s="275" t="s">
        <v>153</v>
      </c>
      <c r="H152" s="325" t="str">
        <f>_xlfn.XLOOKUP(Tabla14[[#This Row],[Codigo Finca]],Tabla4[Codigo Finca],Tabla4[Nombre Finca],"")</f>
        <v>Uveros</v>
      </c>
      <c r="I152" s="277">
        <f>_xlfn.XLOOKUP(Tabla14[[#This Row],[Codigo Finca]],Tabla4[Codigo Finca],Tabla4[Precio Caja],0)</f>
        <v>1500</v>
      </c>
      <c r="J152" s="277">
        <f>_xlfn.XLOOKUP(Tabla14[[#This Row],[Codigo Finca]],Tabla4[Codigo Finca],Tabla4[Precio Caja Segunda],0)</f>
        <v>1000</v>
      </c>
      <c r="K152" s="277">
        <f>_xlfn.XLOOKUP(Tabla14[[#This Row],[Codigo Finca]],Tabla4[Codigo Finca],Tabla4[Precio Rechazo],0)</f>
        <v>500</v>
      </c>
      <c r="L152" s="277">
        <f t="shared" si="180"/>
        <v>0</v>
      </c>
      <c r="M152" s="278">
        <f t="shared" si="181"/>
        <v>0</v>
      </c>
      <c r="N152" s="283"/>
      <c r="O152" s="279"/>
      <c r="P152" s="280">
        <f t="shared" si="182"/>
        <v>0</v>
      </c>
      <c r="Q152" s="281">
        <f>IF(O152&gt;0,P152/O152,0)</f>
        <v>0</v>
      </c>
      <c r="R152" s="282">
        <f t="shared" si="183"/>
        <v>0</v>
      </c>
      <c r="S152" s="283"/>
      <c r="T152" s="275">
        <v>6</v>
      </c>
      <c r="U152" s="280">
        <f t="shared" si="184"/>
        <v>51</v>
      </c>
      <c r="V152" s="281">
        <f t="shared" si="185"/>
        <v>8.5</v>
      </c>
      <c r="W152" s="282">
        <f t="shared" si="186"/>
        <v>12750</v>
      </c>
      <c r="X152" s="283"/>
      <c r="Y152" s="275"/>
      <c r="Z152" s="280">
        <f>Tabla14[[#This Row],[Cajas Segunda]]</f>
        <v>0</v>
      </c>
      <c r="AA152" s="281">
        <f t="shared" si="187"/>
        <v>0</v>
      </c>
      <c r="AB152" s="284">
        <f t="shared" si="188"/>
        <v>0</v>
      </c>
      <c r="AC152" s="285">
        <v>39</v>
      </c>
      <c r="AD152" s="286"/>
      <c r="AE152" s="286"/>
      <c r="AF152" s="286"/>
      <c r="AG152" s="286">
        <v>6</v>
      </c>
      <c r="AH152" s="280">
        <f t="shared" si="189"/>
        <v>39</v>
      </c>
      <c r="AI152" s="281">
        <f t="shared" si="190"/>
        <v>6.5</v>
      </c>
      <c r="AJ152" s="282">
        <f t="shared" si="191"/>
        <v>3250</v>
      </c>
      <c r="AK152" s="287">
        <f>Tabla14[[#This Row],[Cajas por Personas]]</f>
        <v>0</v>
      </c>
      <c r="AL152" s="288">
        <f>Tabla14[[#This Row],[Valor Precorte Pesona]]</f>
        <v>0</v>
      </c>
      <c r="AM152" s="294">
        <f>Tabla14[[#This Row],[Personas Precorte]]</f>
        <v>0</v>
      </c>
      <c r="AN152" s="308">
        <f>Tabla14[[#This Row],[Valor Precorte Pesona Precorte]]*Tabla14[[#This Row],[Perzonas Precorte]]</f>
        <v>0</v>
      </c>
      <c r="AO152" s="287">
        <f>Tabla14[[#This Row],[Cajas por Personas2]]</f>
        <v>8.5</v>
      </c>
      <c r="AP152" s="288">
        <f>Tabla14[[#This Row],[Valor Embarque Pesona]]</f>
        <v>12750</v>
      </c>
      <c r="AQ152" s="295">
        <f>Tabla14[[#This Row],[Personas Precorte2]]</f>
        <v>6</v>
      </c>
      <c r="AR152" s="296">
        <f>Tabla14[[#This Row],[Valor Embarque Pesona3]]*Tabla14[[#This Row],[Perzona Primera]]</f>
        <v>76500</v>
      </c>
      <c r="AS152" s="287">
        <f>Tabla14[[#This Row],[Columna2]]</f>
        <v>0</v>
      </c>
      <c r="AT152" s="288">
        <f>Tabla14[[#This Row],[Columna1]]</f>
        <v>0</v>
      </c>
      <c r="AU152" s="302">
        <f>Tabla14[[#This Row],[Personas Intervienen]]</f>
        <v>0</v>
      </c>
      <c r="AV152" s="297">
        <f>Tabla14[[#This Row],[Valor Embarque Pesona5]]*Tabla14[[#This Row],[Presonas Segunda]]</f>
        <v>0</v>
      </c>
      <c r="AW152" s="287">
        <f>Tabla14[[#This Row],[Bolsas Por Personas]]</f>
        <v>6.5</v>
      </c>
      <c r="AX152" s="288">
        <f>Tabla14[[#This Row],[Valor bolsas Pesona]]</f>
        <v>3250</v>
      </c>
      <c r="AY152" s="309">
        <f>Tabla14[[#This Row],[Personas13]]</f>
        <v>6</v>
      </c>
      <c r="AZ152" s="310">
        <f>Tabla14[[#This Row],[Valor bolsas Pesona2]]*Tabla14[[#This Row],[Personas Rechazo]]</f>
        <v>19500</v>
      </c>
      <c r="BA152" s="311">
        <f>+Tabla14[[#This Row],[Total Valor Segunda]]+Tabla14[[#This Row],[Total Valor Primera]]+Tabla14[[#This Row],[Total Valor Precorte]]</f>
        <v>76500</v>
      </c>
      <c r="BB152" s="292">
        <f>Tabla14[[#This Row],[Valor bolsas Pesona2]]+Tabla14[[#This Row],[Valor Embarque Pesona3]]</f>
        <v>16000</v>
      </c>
      <c r="BC152" s="332">
        <v>30000</v>
      </c>
      <c r="BD152" s="292">
        <f>Tabla14[[#This Row],[VALOR GANADO]]-Tabla14[[#This Row],[REAJUSTADO]]</f>
        <v>-14000</v>
      </c>
      <c r="BE152" s="250">
        <f>Tabla14[[#This Row],[CUANTO SE REAJUSTA]]*Tabla14[[#This Row],[Personas Rechazo]]</f>
        <v>-84000</v>
      </c>
      <c r="BF152" s="250">
        <f>Tabla14[[#This Row],[REAJUSTADO]]/25000</f>
        <v>1.2</v>
      </c>
      <c r="BG152" s="302">
        <f>Tabla14[[#This Row],[REAJUSTADO]]*Tabla14[[#This Row],[Personas Rechazo]]</f>
        <v>180000</v>
      </c>
      <c r="BH152" s="292" t="str">
        <f>Tabla14[[#This Row],[Finca]]</f>
        <v>Uveros</v>
      </c>
      <c r="BI152" s="250">
        <v>4</v>
      </c>
      <c r="BJ152" s="332">
        <f>Tabla14[[#This Row],[Numero de Ocacionales]]*Tabla14[[#This Row],[REAJUSTADO]]</f>
        <v>120000</v>
      </c>
      <c r="BK152" s="332"/>
      <c r="BL152" s="332"/>
      <c r="BM152" s="332">
        <f>+Tabla14[[#This Row],[CUANTO SE REAJUSTA]]*3</f>
        <v>-42000</v>
      </c>
      <c r="BN152" s="334"/>
      <c r="BO152" s="334"/>
      <c r="BP152" s="334"/>
    </row>
    <row r="153" spans="3:68" hidden="1" x14ac:dyDescent="0.25">
      <c r="C153" s="274">
        <v>44761</v>
      </c>
      <c r="D153" s="507">
        <f>YEAR(Tabla14[[#This Row],[Fecha]])</f>
        <v>2022</v>
      </c>
      <c r="E153" s="313">
        <f>IF(Tabla14[[#This Row],[Fecha]]&gt;0,_xlfn.ISOWEEKNUM(Tabla14[[#This Row],[Fecha]]),0)</f>
        <v>29</v>
      </c>
      <c r="F153" s="283">
        <v>103</v>
      </c>
      <c r="G153" s="275" t="s">
        <v>155</v>
      </c>
      <c r="H153" s="325" t="str">
        <f>_xlfn.XLOOKUP(Tabla14[[#This Row],[Codigo Finca]],Tabla4[Codigo Finca],Tabla4[Nombre Finca],"")</f>
        <v>Damaquiel</v>
      </c>
      <c r="I153" s="277">
        <f>_xlfn.XLOOKUP(Tabla14[[#This Row],[Codigo Finca]],Tabla4[Codigo Finca],Tabla4[Precio Caja],0)</f>
        <v>1500</v>
      </c>
      <c r="J153" s="277">
        <f>_xlfn.XLOOKUP(Tabla14[[#This Row],[Codigo Finca]],Tabla4[Codigo Finca],Tabla4[Precio Caja Segunda],0)</f>
        <v>1000</v>
      </c>
      <c r="K153" s="277">
        <f>_xlfn.XLOOKUP(Tabla14[[#This Row],[Codigo Finca]],Tabla4[Codigo Finca],Tabla4[Precio Rechazo],0)</f>
        <v>500</v>
      </c>
      <c r="L153" s="277">
        <f t="shared" si="180"/>
        <v>0</v>
      </c>
      <c r="M153" s="278">
        <f t="shared" si="181"/>
        <v>0</v>
      </c>
      <c r="N153" s="283"/>
      <c r="O153" s="279"/>
      <c r="P153" s="280">
        <f t="shared" si="182"/>
        <v>0</v>
      </c>
      <c r="Q153" s="281">
        <f>IF(O153&gt;0,P153/O153,0)</f>
        <v>0</v>
      </c>
      <c r="R153" s="282">
        <f t="shared" si="183"/>
        <v>0</v>
      </c>
      <c r="S153" s="283"/>
      <c r="T153" s="275">
        <v>8</v>
      </c>
      <c r="U153" s="280">
        <f t="shared" si="184"/>
        <v>103</v>
      </c>
      <c r="V153" s="281">
        <f t="shared" si="185"/>
        <v>12.875</v>
      </c>
      <c r="W153" s="282">
        <f t="shared" si="186"/>
        <v>19312.5</v>
      </c>
      <c r="X153" s="283"/>
      <c r="Y153" s="275"/>
      <c r="Z153" s="280">
        <f>Tabla14[[#This Row],[Cajas Segunda]]</f>
        <v>0</v>
      </c>
      <c r="AA153" s="281">
        <f t="shared" si="187"/>
        <v>0</v>
      </c>
      <c r="AB153" s="284">
        <f t="shared" si="188"/>
        <v>0</v>
      </c>
      <c r="AC153" s="285">
        <v>27</v>
      </c>
      <c r="AD153" s="286"/>
      <c r="AE153" s="286"/>
      <c r="AF153" s="286"/>
      <c r="AG153" s="286">
        <v>8</v>
      </c>
      <c r="AH153" s="280">
        <f t="shared" si="189"/>
        <v>27</v>
      </c>
      <c r="AI153" s="281">
        <f t="shared" si="190"/>
        <v>3.375</v>
      </c>
      <c r="AJ153" s="282">
        <f t="shared" si="191"/>
        <v>1687.5</v>
      </c>
      <c r="AK153" s="287">
        <f>Tabla14[[#This Row],[Cajas por Personas]]</f>
        <v>0</v>
      </c>
      <c r="AL153" s="288">
        <f>Tabla14[[#This Row],[Valor Precorte Pesona]]</f>
        <v>0</v>
      </c>
      <c r="AM153" s="294">
        <f>Tabla14[[#This Row],[Personas Precorte]]</f>
        <v>0</v>
      </c>
      <c r="AN153" s="308">
        <f>Tabla14[[#This Row],[Valor Precorte Pesona Precorte]]*Tabla14[[#This Row],[Perzonas Precorte]]</f>
        <v>0</v>
      </c>
      <c r="AO153" s="287">
        <f>Tabla14[[#This Row],[Cajas por Personas2]]</f>
        <v>12.875</v>
      </c>
      <c r="AP153" s="288">
        <f>Tabla14[[#This Row],[Valor Embarque Pesona]]</f>
        <v>19312.5</v>
      </c>
      <c r="AQ153" s="295">
        <f>Tabla14[[#This Row],[Personas Precorte2]]</f>
        <v>8</v>
      </c>
      <c r="AR153" s="296">
        <f>Tabla14[[#This Row],[Valor Embarque Pesona3]]*Tabla14[[#This Row],[Perzona Primera]]</f>
        <v>154500</v>
      </c>
      <c r="AS153" s="287">
        <f>Tabla14[[#This Row],[Columna2]]</f>
        <v>0</v>
      </c>
      <c r="AT153" s="288">
        <f>Tabla14[[#This Row],[Columna1]]</f>
        <v>0</v>
      </c>
      <c r="AU153" s="302">
        <f>Tabla14[[#This Row],[Personas Intervienen]]</f>
        <v>0</v>
      </c>
      <c r="AV153" s="297">
        <f>Tabla14[[#This Row],[Valor Embarque Pesona5]]*Tabla14[[#This Row],[Presonas Segunda]]</f>
        <v>0</v>
      </c>
      <c r="AW153" s="287">
        <f>Tabla14[[#This Row],[Bolsas Por Personas]]</f>
        <v>3.375</v>
      </c>
      <c r="AX153" s="288">
        <f>Tabla14[[#This Row],[Valor bolsas Pesona]]</f>
        <v>1687.5</v>
      </c>
      <c r="AY153" s="309">
        <f>Tabla14[[#This Row],[Personas13]]</f>
        <v>8</v>
      </c>
      <c r="AZ153" s="310">
        <f>Tabla14[[#This Row],[Valor bolsas Pesona2]]*Tabla14[[#This Row],[Personas Rechazo]]</f>
        <v>13500</v>
      </c>
      <c r="BA153" s="311">
        <f>+Tabla14[[#This Row],[Total Valor Segunda]]+Tabla14[[#This Row],[Total Valor Primera]]+Tabla14[[#This Row],[Total Valor Precorte]]</f>
        <v>154500</v>
      </c>
      <c r="BB153" s="292">
        <f>Tabla14[[#This Row],[Valor bolsas Pesona2]]+Tabla14[[#This Row],[Valor Embarque Pesona3]]</f>
        <v>21000</v>
      </c>
      <c r="BC153" s="332">
        <v>30000</v>
      </c>
      <c r="BD153" s="292">
        <f>Tabla14[[#This Row],[VALOR GANADO]]-Tabla14[[#This Row],[REAJUSTADO]]</f>
        <v>-9000</v>
      </c>
      <c r="BE153" s="250">
        <f>Tabla14[[#This Row],[CUANTO SE REAJUSTA]]*Tabla14[[#This Row],[Personas Rechazo]]</f>
        <v>-72000</v>
      </c>
      <c r="BF153" s="250">
        <f>Tabla14[[#This Row],[REAJUSTADO]]/25000</f>
        <v>1.2</v>
      </c>
      <c r="BG153" s="302">
        <f>Tabla14[[#This Row],[REAJUSTADO]]*Tabla14[[#This Row],[Personas Rechazo]]</f>
        <v>240000</v>
      </c>
      <c r="BH153" s="292" t="str">
        <f>Tabla14[[#This Row],[Finca]]</f>
        <v>Damaquiel</v>
      </c>
      <c r="BI153" s="250">
        <v>5</v>
      </c>
      <c r="BJ153" s="332">
        <f>Tabla14[[#This Row],[Numero de Ocacionales]]*Tabla14[[#This Row],[REAJUSTADO]]</f>
        <v>150000</v>
      </c>
      <c r="BK153" s="332"/>
      <c r="BL153" s="332"/>
      <c r="BM153" s="332">
        <f>+Tabla14[[#This Row],[CUANTO SE REAJUSTA]]*3</f>
        <v>-27000</v>
      </c>
      <c r="BN153" s="334"/>
      <c r="BO153" s="334"/>
      <c r="BP153" s="334"/>
    </row>
    <row r="154" spans="3:68" hidden="1" x14ac:dyDescent="0.25">
      <c r="C154" s="274">
        <v>44761</v>
      </c>
      <c r="D154" s="507">
        <f>YEAR(Tabla14[[#This Row],[Fecha]])</f>
        <v>2022</v>
      </c>
      <c r="E154" s="313">
        <f>IF(Tabla14[[#This Row],[Fecha]]&gt;0,_xlfn.ISOWEEKNUM(Tabla14[[#This Row],[Fecha]]),0)</f>
        <v>29</v>
      </c>
      <c r="F154" s="283">
        <v>227</v>
      </c>
      <c r="G154" s="275" t="s">
        <v>157</v>
      </c>
      <c r="H154" s="325" t="str">
        <f>_xlfn.XLOOKUP(Tabla14[[#This Row],[Codigo Finca]],Tabla4[Codigo Finca],Tabla4[Nombre Finca],"")</f>
        <v>Pedrito</v>
      </c>
      <c r="I154" s="277">
        <f>_xlfn.XLOOKUP(Tabla14[[#This Row],[Codigo Finca]],Tabla4[Codigo Finca],Tabla4[Precio Caja],0)</f>
        <v>2100</v>
      </c>
      <c r="J154" s="277">
        <f>_xlfn.XLOOKUP(Tabla14[[#This Row],[Codigo Finca]],Tabla4[Codigo Finca],Tabla4[Precio Caja Segunda],0)</f>
        <v>1000</v>
      </c>
      <c r="K154" s="277">
        <f>_xlfn.XLOOKUP(Tabla14[[#This Row],[Codigo Finca]],Tabla4[Codigo Finca],Tabla4[Precio Rechazo],0)</f>
        <v>500</v>
      </c>
      <c r="L154" s="277">
        <f t="shared" si="180"/>
        <v>934</v>
      </c>
      <c r="M154" s="278">
        <f t="shared" si="181"/>
        <v>4.1145374449339203</v>
      </c>
      <c r="N154" s="283"/>
      <c r="O154" s="279"/>
      <c r="P154" s="280">
        <f t="shared" si="182"/>
        <v>0</v>
      </c>
      <c r="Q154" s="281">
        <f>IF(O154&gt;0,P154/O154,0)</f>
        <v>0</v>
      </c>
      <c r="R154" s="282">
        <f t="shared" si="183"/>
        <v>0</v>
      </c>
      <c r="S154" s="283">
        <v>934</v>
      </c>
      <c r="T154" s="275">
        <v>15</v>
      </c>
      <c r="U154" s="280">
        <f t="shared" si="184"/>
        <v>227</v>
      </c>
      <c r="V154" s="281">
        <f t="shared" si="185"/>
        <v>15.133333333333333</v>
      </c>
      <c r="W154" s="282">
        <f t="shared" si="186"/>
        <v>31780</v>
      </c>
      <c r="X154" s="283"/>
      <c r="Y154" s="275"/>
      <c r="Z154" s="280">
        <f>Tabla14[[#This Row],[Cajas Segunda]]</f>
        <v>0</v>
      </c>
      <c r="AA154" s="281">
        <f t="shared" si="187"/>
        <v>0</v>
      </c>
      <c r="AB154" s="284">
        <f t="shared" si="188"/>
        <v>0</v>
      </c>
      <c r="AC154" s="285">
        <v>110</v>
      </c>
      <c r="AD154" s="286"/>
      <c r="AE154" s="286"/>
      <c r="AF154" s="286"/>
      <c r="AG154" s="286">
        <v>15</v>
      </c>
      <c r="AH154" s="280">
        <f t="shared" si="189"/>
        <v>110</v>
      </c>
      <c r="AI154" s="281">
        <f t="shared" si="190"/>
        <v>7.333333333333333</v>
      </c>
      <c r="AJ154" s="282">
        <f t="shared" si="191"/>
        <v>3666.6666666666665</v>
      </c>
      <c r="AK154" s="287">
        <f>Tabla14[[#This Row],[Cajas por Personas]]</f>
        <v>0</v>
      </c>
      <c r="AL154" s="288">
        <f>Tabla14[[#This Row],[Valor Precorte Pesona]]</f>
        <v>0</v>
      </c>
      <c r="AM154" s="294">
        <f>Tabla14[[#This Row],[Personas Precorte]]</f>
        <v>0</v>
      </c>
      <c r="AN154" s="308">
        <f>Tabla14[[#This Row],[Valor Precorte Pesona Precorte]]*Tabla14[[#This Row],[Perzonas Precorte]]</f>
        <v>0</v>
      </c>
      <c r="AO154" s="287">
        <f>Tabla14[[#This Row],[Cajas por Personas2]]</f>
        <v>15.133333333333333</v>
      </c>
      <c r="AP154" s="288">
        <f>Tabla14[[#This Row],[Valor Embarque Pesona]]</f>
        <v>31780</v>
      </c>
      <c r="AQ154" s="295">
        <f>Tabla14[[#This Row],[Personas Precorte2]]</f>
        <v>15</v>
      </c>
      <c r="AR154" s="296">
        <f>Tabla14[[#This Row],[Valor Embarque Pesona3]]*Tabla14[[#This Row],[Perzona Primera]]</f>
        <v>476700</v>
      </c>
      <c r="AS154" s="287">
        <f>Tabla14[[#This Row],[Columna2]]</f>
        <v>0</v>
      </c>
      <c r="AT154" s="288">
        <f>Tabla14[[#This Row],[Columna1]]</f>
        <v>0</v>
      </c>
      <c r="AU154" s="302">
        <f>Tabla14[[#This Row],[Personas Intervienen]]</f>
        <v>0</v>
      </c>
      <c r="AV154" s="297">
        <f>Tabla14[[#This Row],[Valor Embarque Pesona5]]*Tabla14[[#This Row],[Presonas Segunda]]</f>
        <v>0</v>
      </c>
      <c r="AW154" s="287">
        <f>Tabla14[[#This Row],[Bolsas Por Personas]]</f>
        <v>7.333333333333333</v>
      </c>
      <c r="AX154" s="288">
        <f>Tabla14[[#This Row],[Valor bolsas Pesona]]</f>
        <v>3666.6666666666665</v>
      </c>
      <c r="AY154" s="309">
        <f>Tabla14[[#This Row],[Personas13]]</f>
        <v>15</v>
      </c>
      <c r="AZ154" s="310">
        <f>Tabla14[[#This Row],[Valor bolsas Pesona2]]*Tabla14[[#This Row],[Personas Rechazo]]</f>
        <v>55000</v>
      </c>
      <c r="BA154" s="311">
        <f>+Tabla14[[#This Row],[Total Valor Segunda]]+Tabla14[[#This Row],[Total Valor Primera]]+Tabla14[[#This Row],[Total Valor Precorte]]</f>
        <v>476700</v>
      </c>
      <c r="BB154" s="292">
        <f>Tabla14[[#This Row],[Valor bolsas Pesona2]]+Tabla14[[#This Row],[Valor Embarque Pesona3]]</f>
        <v>35446.666666666664</v>
      </c>
      <c r="BC154" s="332">
        <v>40000</v>
      </c>
      <c r="BD154" s="292">
        <f>Tabla14[[#This Row],[VALOR GANADO]]-Tabla14[[#This Row],[REAJUSTADO]]</f>
        <v>-4553.3333333333358</v>
      </c>
      <c r="BE154" s="250">
        <f>Tabla14[[#This Row],[CUANTO SE REAJUSTA]]*Tabla14[[#This Row],[Personas Rechazo]]</f>
        <v>-68300.000000000029</v>
      </c>
      <c r="BF154" s="250">
        <f>Tabla14[[#This Row],[REAJUSTADO]]/25000</f>
        <v>1.6</v>
      </c>
      <c r="BG154" s="302">
        <f>Tabla14[[#This Row],[REAJUSTADO]]*Tabla14[[#This Row],[Personas Rechazo]]</f>
        <v>600000</v>
      </c>
      <c r="BH154" s="292" t="str">
        <f>Tabla14[[#This Row],[Finca]]</f>
        <v>Pedrito</v>
      </c>
      <c r="BI154" s="250">
        <f>1+1+1+1</f>
        <v>4</v>
      </c>
      <c r="BJ154" s="332">
        <f>Tabla14[[#This Row],[Numero de Ocacionales]]*Tabla14[[#This Row],[REAJUSTADO]]</f>
        <v>160000</v>
      </c>
      <c r="BK154" s="332"/>
      <c r="BL154" s="332"/>
      <c r="BM154" s="332">
        <f>+Tabla14[[#This Row],[CUANTO SE REAJUSTA]]*3</f>
        <v>-13660.000000000007</v>
      </c>
      <c r="BN154" s="334"/>
      <c r="BO154" s="334"/>
      <c r="BP154" s="334"/>
    </row>
    <row r="155" spans="3:68" hidden="1" x14ac:dyDescent="0.25">
      <c r="C155" s="274">
        <v>44763</v>
      </c>
      <c r="D155" s="507">
        <f>YEAR(Tabla14[[#This Row],[Fecha]])</f>
        <v>2022</v>
      </c>
      <c r="E155" s="313">
        <f>IF(Tabla14[[#This Row],[Fecha]]&gt;0,_xlfn.ISOWEEKNUM(Tabla14[[#This Row],[Fecha]]),0)</f>
        <v>29</v>
      </c>
      <c r="F155" s="283">
        <v>50</v>
      </c>
      <c r="G155" s="275" t="s">
        <v>153</v>
      </c>
      <c r="H155" s="325" t="str">
        <f>_xlfn.XLOOKUP(Tabla14[[#This Row],[Codigo Finca]],Tabla4[Codigo Finca],Tabla4[Nombre Finca],"")</f>
        <v>Uveros</v>
      </c>
      <c r="I155" s="277">
        <f>_xlfn.XLOOKUP(Tabla14[[#This Row],[Codigo Finca]],Tabla4[Codigo Finca],Tabla4[Precio Caja],0)</f>
        <v>1500</v>
      </c>
      <c r="J155" s="277">
        <f>_xlfn.XLOOKUP(Tabla14[[#This Row],[Codigo Finca]],Tabla4[Codigo Finca],Tabla4[Precio Caja Segunda],0)</f>
        <v>1000</v>
      </c>
      <c r="K155" s="277">
        <f>_xlfn.XLOOKUP(Tabla14[[#This Row],[Codigo Finca]],Tabla4[Codigo Finca],Tabla4[Precio Rechazo],0)</f>
        <v>500</v>
      </c>
      <c r="L155" s="277">
        <f t="shared" si="180"/>
        <v>0</v>
      </c>
      <c r="M155" s="278">
        <f t="shared" si="181"/>
        <v>0</v>
      </c>
      <c r="N155" s="283"/>
      <c r="O155" s="279"/>
      <c r="P155" s="280">
        <f t="shared" si="182"/>
        <v>0</v>
      </c>
      <c r="Q155" s="281">
        <f>IF(O155&gt;0,P155/O155,0)</f>
        <v>0</v>
      </c>
      <c r="R155" s="282">
        <f t="shared" si="183"/>
        <v>0</v>
      </c>
      <c r="S155" s="283"/>
      <c r="T155" s="275">
        <v>6</v>
      </c>
      <c r="U155" s="280">
        <f t="shared" si="184"/>
        <v>50</v>
      </c>
      <c r="V155" s="281">
        <f t="shared" si="185"/>
        <v>8.3333333333333339</v>
      </c>
      <c r="W155" s="282">
        <f t="shared" si="186"/>
        <v>12500</v>
      </c>
      <c r="X155" s="283"/>
      <c r="Y155" s="275"/>
      <c r="Z155" s="280">
        <f>Tabla14[[#This Row],[Cajas Segunda]]</f>
        <v>0</v>
      </c>
      <c r="AA155" s="281">
        <f t="shared" si="187"/>
        <v>0</v>
      </c>
      <c r="AB155" s="284">
        <f t="shared" si="188"/>
        <v>0</v>
      </c>
      <c r="AC155" s="285">
        <v>27</v>
      </c>
      <c r="AD155" s="286"/>
      <c r="AE155" s="286"/>
      <c r="AF155" s="286"/>
      <c r="AG155" s="286">
        <v>6</v>
      </c>
      <c r="AH155" s="280">
        <f t="shared" si="189"/>
        <v>27</v>
      </c>
      <c r="AI155" s="281">
        <f t="shared" si="190"/>
        <v>4.5</v>
      </c>
      <c r="AJ155" s="282">
        <f t="shared" si="191"/>
        <v>2250</v>
      </c>
      <c r="AK155" s="287">
        <f>Tabla14[[#This Row],[Cajas por Personas]]</f>
        <v>0</v>
      </c>
      <c r="AL155" s="288">
        <f>Tabla14[[#This Row],[Valor Precorte Pesona]]</f>
        <v>0</v>
      </c>
      <c r="AM155" s="294">
        <f>Tabla14[[#This Row],[Personas Precorte]]</f>
        <v>0</v>
      </c>
      <c r="AN155" s="308">
        <f>Tabla14[[#This Row],[Valor Precorte Pesona Precorte]]*Tabla14[[#This Row],[Perzonas Precorte]]</f>
        <v>0</v>
      </c>
      <c r="AO155" s="287">
        <f>Tabla14[[#This Row],[Cajas por Personas2]]</f>
        <v>8.3333333333333339</v>
      </c>
      <c r="AP155" s="288">
        <f>Tabla14[[#This Row],[Valor Embarque Pesona]]</f>
        <v>12500</v>
      </c>
      <c r="AQ155" s="295">
        <f>Tabla14[[#This Row],[Personas Precorte2]]</f>
        <v>6</v>
      </c>
      <c r="AR155" s="296">
        <f>Tabla14[[#This Row],[Valor Embarque Pesona3]]*Tabla14[[#This Row],[Perzona Primera]]</f>
        <v>75000</v>
      </c>
      <c r="AS155" s="287">
        <f>Tabla14[[#This Row],[Columna2]]</f>
        <v>0</v>
      </c>
      <c r="AT155" s="288">
        <f>Tabla14[[#This Row],[Columna1]]</f>
        <v>0</v>
      </c>
      <c r="AU155" s="302">
        <f>Tabla14[[#This Row],[Personas Intervienen]]</f>
        <v>0</v>
      </c>
      <c r="AV155" s="297">
        <f>Tabla14[[#This Row],[Valor Embarque Pesona5]]*Tabla14[[#This Row],[Presonas Segunda]]</f>
        <v>0</v>
      </c>
      <c r="AW155" s="287">
        <f>Tabla14[[#This Row],[Bolsas Por Personas]]</f>
        <v>4.5</v>
      </c>
      <c r="AX155" s="288">
        <f>Tabla14[[#This Row],[Valor bolsas Pesona]]</f>
        <v>2250</v>
      </c>
      <c r="AY155" s="309">
        <f>Tabla14[[#This Row],[Personas13]]</f>
        <v>6</v>
      </c>
      <c r="AZ155" s="310">
        <f>Tabla14[[#This Row],[Valor bolsas Pesona2]]*Tabla14[[#This Row],[Personas Rechazo]]</f>
        <v>13500</v>
      </c>
      <c r="BA155" s="311">
        <f>+Tabla14[[#This Row],[Total Valor Segunda]]+Tabla14[[#This Row],[Total Valor Primera]]+Tabla14[[#This Row],[Total Valor Precorte]]</f>
        <v>75000</v>
      </c>
      <c r="BB155" s="292">
        <f>Tabla14[[#This Row],[Valor bolsas Pesona2]]+Tabla14[[#This Row],[Valor Embarque Pesona3]]</f>
        <v>14750</v>
      </c>
      <c r="BC155" s="332">
        <v>30000</v>
      </c>
      <c r="BD155" s="292">
        <f>Tabla14[[#This Row],[VALOR GANADO]]-Tabla14[[#This Row],[REAJUSTADO]]</f>
        <v>-15250</v>
      </c>
      <c r="BE155" s="250">
        <f>Tabla14[[#This Row],[CUANTO SE REAJUSTA]]*Tabla14[[#This Row],[Personas Rechazo]]</f>
        <v>-91500</v>
      </c>
      <c r="BF155" s="250">
        <f>Tabla14[[#This Row],[REAJUSTADO]]/25000</f>
        <v>1.2</v>
      </c>
      <c r="BG155" s="302">
        <f>Tabla14[[#This Row],[REAJUSTADO]]*Tabla14[[#This Row],[Personas Rechazo]]</f>
        <v>180000</v>
      </c>
      <c r="BH155" s="292" t="str">
        <f>Tabla14[[#This Row],[Finca]]</f>
        <v>Uveros</v>
      </c>
      <c r="BI155" s="250">
        <v>5</v>
      </c>
      <c r="BJ155" s="332">
        <f>Tabla14[[#This Row],[Numero de Ocacionales]]*Tabla14[[#This Row],[REAJUSTADO]]</f>
        <v>150000</v>
      </c>
      <c r="BK155" s="332"/>
      <c r="BL155" s="332"/>
      <c r="BM155" s="332">
        <f>+Tabla14[[#This Row],[CUANTO SE REAJUSTA]]*3</f>
        <v>-45750</v>
      </c>
      <c r="BN155" s="334"/>
      <c r="BO155" s="334"/>
      <c r="BP155" s="334"/>
    </row>
    <row r="156" spans="3:68" hidden="1" x14ac:dyDescent="0.25">
      <c r="C156" s="274">
        <v>44763</v>
      </c>
      <c r="D156" s="507">
        <f>YEAR(Tabla14[[#This Row],[Fecha]])</f>
        <v>2022</v>
      </c>
      <c r="E156" s="313">
        <f>IF(Tabla14[[#This Row],[Fecha]]&gt;0,_xlfn.ISOWEEKNUM(Tabla14[[#This Row],[Fecha]]),0)</f>
        <v>29</v>
      </c>
      <c r="F156" s="283">
        <v>269</v>
      </c>
      <c r="G156" s="275" t="s">
        <v>152</v>
      </c>
      <c r="H156" s="325" t="str">
        <f>_xlfn.XLOOKUP(Tabla14[[#This Row],[Codigo Finca]],Tabla4[Codigo Finca],Tabla4[Nombre Finca],"")</f>
        <v>San Pedro</v>
      </c>
      <c r="I156" s="277">
        <f>_xlfn.XLOOKUP(Tabla14[[#This Row],[Codigo Finca]],Tabla4[Codigo Finca],Tabla4[Precio Caja],0)</f>
        <v>1500</v>
      </c>
      <c r="J156" s="277">
        <f>_xlfn.XLOOKUP(Tabla14[[#This Row],[Codigo Finca]],Tabla4[Codigo Finca],Tabla4[Precio Caja Segunda],0)</f>
        <v>1000</v>
      </c>
      <c r="K156" s="277">
        <f>_xlfn.XLOOKUP(Tabla14[[#This Row],[Codigo Finca]],Tabla4[Codigo Finca],Tabla4[Precio Rechazo],0)</f>
        <v>500</v>
      </c>
      <c r="L156" s="277">
        <f t="shared" si="180"/>
        <v>1500</v>
      </c>
      <c r="M156" s="278">
        <f t="shared" si="181"/>
        <v>5.5762081784386615</v>
      </c>
      <c r="N156" s="283"/>
      <c r="O156" s="279"/>
      <c r="P156" s="280">
        <f t="shared" si="182"/>
        <v>0</v>
      </c>
      <c r="Q156" s="340"/>
      <c r="R156" s="282">
        <f t="shared" si="183"/>
        <v>0</v>
      </c>
      <c r="S156" s="283">
        <v>1500</v>
      </c>
      <c r="T156" s="275">
        <v>14</v>
      </c>
      <c r="U156" s="280">
        <f t="shared" si="184"/>
        <v>269</v>
      </c>
      <c r="V156" s="281">
        <f t="shared" si="185"/>
        <v>19.214285714285715</v>
      </c>
      <c r="W156" s="282">
        <f t="shared" si="186"/>
        <v>28821.428571428572</v>
      </c>
      <c r="X156" s="283"/>
      <c r="Y156" s="275"/>
      <c r="Z156" s="280">
        <f>Tabla14[[#This Row],[Cajas Segunda]]</f>
        <v>0</v>
      </c>
      <c r="AA156" s="281">
        <f t="shared" si="187"/>
        <v>0</v>
      </c>
      <c r="AB156" s="284">
        <f t="shared" si="188"/>
        <v>0</v>
      </c>
      <c r="AC156" s="285">
        <v>67</v>
      </c>
      <c r="AD156" s="286"/>
      <c r="AE156" s="286"/>
      <c r="AF156" s="286"/>
      <c r="AG156" s="286">
        <v>14</v>
      </c>
      <c r="AH156" s="280">
        <f t="shared" si="189"/>
        <v>67</v>
      </c>
      <c r="AI156" s="281">
        <f t="shared" si="190"/>
        <v>4.7857142857142856</v>
      </c>
      <c r="AJ156" s="282">
        <f t="shared" si="191"/>
        <v>2392.8571428571427</v>
      </c>
      <c r="AK156" s="287">
        <f>Tabla14[[#This Row],[Cajas por Personas]]</f>
        <v>0</v>
      </c>
      <c r="AL156" s="288">
        <f>Tabla14[[#This Row],[Valor Precorte Pesona]]</f>
        <v>0</v>
      </c>
      <c r="AM156" s="294">
        <f>Tabla14[[#This Row],[Personas Precorte]]</f>
        <v>0</v>
      </c>
      <c r="AN156" s="308">
        <f>Tabla14[[#This Row],[Valor Precorte Pesona Precorte]]*Tabla14[[#This Row],[Perzonas Precorte]]</f>
        <v>0</v>
      </c>
      <c r="AO156" s="287">
        <f>Tabla14[[#This Row],[Cajas por Personas2]]</f>
        <v>19.214285714285715</v>
      </c>
      <c r="AP156" s="288">
        <f>Tabla14[[#This Row],[Valor Embarque Pesona]]</f>
        <v>28821.428571428572</v>
      </c>
      <c r="AQ156" s="295">
        <f>Tabla14[[#This Row],[Personas Precorte2]]</f>
        <v>14</v>
      </c>
      <c r="AR156" s="296">
        <f>Tabla14[[#This Row],[Valor Embarque Pesona3]]*Tabla14[[#This Row],[Perzona Primera]]</f>
        <v>403500</v>
      </c>
      <c r="AS156" s="287">
        <f>Tabla14[[#This Row],[Columna2]]</f>
        <v>0</v>
      </c>
      <c r="AT156" s="288">
        <f>Tabla14[[#This Row],[Columna1]]</f>
        <v>0</v>
      </c>
      <c r="AU156" s="302">
        <f>Tabla14[[#This Row],[Personas Intervienen]]</f>
        <v>0</v>
      </c>
      <c r="AV156" s="297">
        <f>Tabla14[[#This Row],[Valor Embarque Pesona5]]*Tabla14[[#This Row],[Presonas Segunda]]</f>
        <v>0</v>
      </c>
      <c r="AW156" s="287">
        <f>Tabla14[[#This Row],[Bolsas Por Personas]]</f>
        <v>4.7857142857142856</v>
      </c>
      <c r="AX156" s="288">
        <f>Tabla14[[#This Row],[Valor bolsas Pesona]]</f>
        <v>2392.8571428571427</v>
      </c>
      <c r="AY156" s="309">
        <f>Tabla14[[#This Row],[Personas13]]</f>
        <v>14</v>
      </c>
      <c r="AZ156" s="310">
        <f>Tabla14[[#This Row],[Valor bolsas Pesona2]]*Tabla14[[#This Row],[Personas Rechazo]]</f>
        <v>33500</v>
      </c>
      <c r="BA156" s="311">
        <f>+Tabla14[[#This Row],[Total Valor Segunda]]+Tabla14[[#This Row],[Total Valor Primera]]+Tabla14[[#This Row],[Total Valor Precorte]]</f>
        <v>403500</v>
      </c>
      <c r="BB156" s="292">
        <f>Tabla14[[#This Row],[Valor bolsas Pesona2]]+Tabla14[[#This Row],[Valor Embarque Pesona3]]</f>
        <v>31214.285714285714</v>
      </c>
      <c r="BC156" s="332">
        <v>30000</v>
      </c>
      <c r="BD156" s="292">
        <f>Tabla14[[#This Row],[VALOR GANADO]]-Tabla14[[#This Row],[REAJUSTADO]]</f>
        <v>1214.2857142857138</v>
      </c>
      <c r="BE156" s="250">
        <f>Tabla14[[#This Row],[CUANTO SE REAJUSTA]]*Tabla14[[#This Row],[Personas Rechazo]]</f>
        <v>16999.999999999993</v>
      </c>
      <c r="BF156" s="250">
        <f>Tabla14[[#This Row],[REAJUSTADO]]/25000</f>
        <v>1.2</v>
      </c>
      <c r="BG156" s="302">
        <f>Tabla14[[#This Row],[REAJUSTADO]]*Tabla14[[#This Row],[Personas Rechazo]]</f>
        <v>420000</v>
      </c>
      <c r="BH156" s="292" t="str">
        <f>Tabla14[[#This Row],[Finca]]</f>
        <v>San Pedro</v>
      </c>
      <c r="BI156" s="250">
        <v>7</v>
      </c>
      <c r="BJ156" s="332">
        <f>Tabla14[[#This Row],[Numero de Ocacionales]]*Tabla14[[#This Row],[REAJUSTADO]]</f>
        <v>210000</v>
      </c>
      <c r="BK156" s="332"/>
      <c r="BL156" s="332"/>
      <c r="BM156" s="332">
        <f>+Tabla14[[#This Row],[CUANTO SE REAJUSTA]]*3</f>
        <v>3642.8571428571413</v>
      </c>
      <c r="BN156" s="334"/>
      <c r="BO156" s="334"/>
      <c r="BP156" s="334"/>
    </row>
    <row r="157" spans="3:68" hidden="1" x14ac:dyDescent="0.25">
      <c r="C157" s="274">
        <v>44768</v>
      </c>
      <c r="D157" s="507">
        <f>YEAR(Tabla14[[#This Row],[Fecha]])</f>
        <v>2022</v>
      </c>
      <c r="E157" s="313">
        <f>IF(Tabla14[[#This Row],[Fecha]]&gt;0,_xlfn.ISOWEEKNUM(Tabla14[[#This Row],[Fecha]]),0)</f>
        <v>30</v>
      </c>
      <c r="F157" s="283">
        <v>190</v>
      </c>
      <c r="G157" s="275" t="s">
        <v>152</v>
      </c>
      <c r="H157" s="325" t="str">
        <f>_xlfn.XLOOKUP(Tabla14[[#This Row],[Codigo Finca]],Tabla4[Codigo Finca],Tabla4[Nombre Finca],"")</f>
        <v>San Pedro</v>
      </c>
      <c r="I157" s="277">
        <f>_xlfn.XLOOKUP(Tabla14[[#This Row],[Codigo Finca]],Tabla4[Codigo Finca],Tabla4[Precio Caja],0)</f>
        <v>1500</v>
      </c>
      <c r="J157" s="277">
        <f>_xlfn.XLOOKUP(Tabla14[[#This Row],[Codigo Finca]],Tabla4[Codigo Finca],Tabla4[Precio Caja Segunda],0)</f>
        <v>1000</v>
      </c>
      <c r="K157" s="277">
        <f>_xlfn.XLOOKUP(Tabla14[[#This Row],[Codigo Finca]],Tabla4[Codigo Finca],Tabla4[Precio Rechazo],0)</f>
        <v>500</v>
      </c>
      <c r="L157" s="277">
        <f t="shared" ref="L157:L164" si="192">S157+N157</f>
        <v>0</v>
      </c>
      <c r="M157" s="278">
        <f t="shared" ref="M157:M164" si="193">IF(F157&gt;0,L157/F157,0)</f>
        <v>0</v>
      </c>
      <c r="N157" s="283"/>
      <c r="O157" s="279"/>
      <c r="P157" s="280">
        <f t="shared" ref="P157:P164" si="194">IF(N157&gt;0,(N157/M157)/2,0)</f>
        <v>0</v>
      </c>
      <c r="Q157" s="281">
        <f t="shared" ref="Q157:Q164" si="195">IF(O157&gt;0,P157/O157,0)</f>
        <v>0</v>
      </c>
      <c r="R157" s="282">
        <f t="shared" ref="R157:R164" si="196">IF(I157&gt;0,Q157*I157,)</f>
        <v>0</v>
      </c>
      <c r="S157" s="283"/>
      <c r="T157" s="275">
        <v>11</v>
      </c>
      <c r="U157" s="280">
        <f t="shared" ref="U157:U164" si="197">F157-P157</f>
        <v>190</v>
      </c>
      <c r="V157" s="281">
        <f t="shared" ref="V157:V164" si="198">IF(T157&gt;0,U157/T157,0)</f>
        <v>17.272727272727273</v>
      </c>
      <c r="W157" s="282">
        <f t="shared" ref="W157:W164" si="199">IF(T157&gt;0,(U157*I157)/T157,0)</f>
        <v>25909.090909090908</v>
      </c>
      <c r="X157" s="283"/>
      <c r="Y157" s="275"/>
      <c r="Z157" s="280">
        <f>Tabla14[[#This Row],[Cajas Segunda]]</f>
        <v>0</v>
      </c>
      <c r="AA157" s="281">
        <f t="shared" ref="AA157:AA164" si="200">IF(Y157&gt;0,Z157/Y157,0)</f>
        <v>0</v>
      </c>
      <c r="AB157" s="284">
        <f t="shared" ref="AB157:AB164" si="201">IF(Y157&gt;0,(Z157*J157)/Y157,0)</f>
        <v>0</v>
      </c>
      <c r="AC157" s="285">
        <v>68</v>
      </c>
      <c r="AD157" s="286"/>
      <c r="AE157" s="286"/>
      <c r="AF157" s="286"/>
      <c r="AG157" s="286">
        <v>11</v>
      </c>
      <c r="AH157" s="280">
        <f t="shared" ref="AH157:AH164" si="202">IF(AND(AC157&gt;0,AE157=0,AF157=0,AD157=0),AC157,IF(AND(AC157=0,AE157&gt;0,AF157&gt;0,AD157=0),AE157*AF157/25,IF(AND(AC157=0,AE157=0,AF157=0,AD157&gt;0),AD157/25,0)))</f>
        <v>68</v>
      </c>
      <c r="AI157" s="281">
        <f t="shared" ref="AI157:AI164" si="203">IF(AG157&gt;0,AH157/AG157,0)</f>
        <v>6.1818181818181817</v>
      </c>
      <c r="AJ157" s="282">
        <f t="shared" ref="AJ157:AJ164" si="204">AI157*K157</f>
        <v>3090.909090909091</v>
      </c>
      <c r="AK157" s="287">
        <f>Tabla14[[#This Row],[Cajas por Personas]]</f>
        <v>0</v>
      </c>
      <c r="AL157" s="288">
        <f>Tabla14[[#This Row],[Valor Precorte Pesona]]</f>
        <v>0</v>
      </c>
      <c r="AM157" s="294">
        <f>Tabla14[[#This Row],[Personas Precorte]]</f>
        <v>0</v>
      </c>
      <c r="AN157" s="308">
        <f>Tabla14[[#This Row],[Valor Precorte Pesona Precorte]]*Tabla14[[#This Row],[Perzonas Precorte]]</f>
        <v>0</v>
      </c>
      <c r="AO157" s="287">
        <f>Tabla14[[#This Row],[Cajas por Personas2]]</f>
        <v>17.272727272727273</v>
      </c>
      <c r="AP157" s="288">
        <f>Tabla14[[#This Row],[Valor Embarque Pesona]]</f>
        <v>25909.090909090908</v>
      </c>
      <c r="AQ157" s="295">
        <f>Tabla14[[#This Row],[Personas Precorte2]]</f>
        <v>11</v>
      </c>
      <c r="AR157" s="296">
        <f>Tabla14[[#This Row],[Valor Embarque Pesona3]]*Tabla14[[#This Row],[Perzona Primera]]</f>
        <v>285000</v>
      </c>
      <c r="AS157" s="287">
        <f>Tabla14[[#This Row],[Columna2]]</f>
        <v>0</v>
      </c>
      <c r="AT157" s="288">
        <f>Tabla14[[#This Row],[Columna1]]</f>
        <v>0</v>
      </c>
      <c r="AU157" s="302">
        <f>Tabla14[[#This Row],[Personas Intervienen]]</f>
        <v>0</v>
      </c>
      <c r="AV157" s="297">
        <f>Tabla14[[#This Row],[Valor Embarque Pesona5]]*Tabla14[[#This Row],[Presonas Segunda]]</f>
        <v>0</v>
      </c>
      <c r="AW157" s="287">
        <f>Tabla14[[#This Row],[Bolsas Por Personas]]</f>
        <v>6.1818181818181817</v>
      </c>
      <c r="AX157" s="288">
        <f>Tabla14[[#This Row],[Valor bolsas Pesona]]</f>
        <v>3090.909090909091</v>
      </c>
      <c r="AY157" s="309">
        <f>Tabla14[[#This Row],[Personas13]]</f>
        <v>11</v>
      </c>
      <c r="AZ157" s="310">
        <f>Tabla14[[#This Row],[Valor bolsas Pesona2]]*Tabla14[[#This Row],[Personas Rechazo]]</f>
        <v>34000</v>
      </c>
      <c r="BA157" s="311">
        <f>+Tabla14[[#This Row],[Total Valor Segunda]]+Tabla14[[#This Row],[Total Valor Primera]]+Tabla14[[#This Row],[Total Valor Precorte]]</f>
        <v>285000</v>
      </c>
      <c r="BB157" s="292">
        <f>Tabla14[[#This Row],[Valor bolsas Pesona2]]+Tabla14[[#This Row],[Valor Embarque Pesona3]]</f>
        <v>29000</v>
      </c>
      <c r="BC157" s="332">
        <v>30000</v>
      </c>
      <c r="BD157" s="292">
        <f>Tabla14[[#This Row],[VALOR GANADO]]-Tabla14[[#This Row],[REAJUSTADO]]</f>
        <v>-1000</v>
      </c>
      <c r="BE157" s="250">
        <f>Tabla14[[#This Row],[CUANTO SE REAJUSTA]]*Tabla14[[#This Row],[Personas Rechazo]]</f>
        <v>-11000</v>
      </c>
      <c r="BF157" s="250">
        <f>Tabla14[[#This Row],[REAJUSTADO]]/25000</f>
        <v>1.2</v>
      </c>
      <c r="BG157" s="302">
        <f>Tabla14[[#This Row],[REAJUSTADO]]*Tabla14[[#This Row],[Personas Rechazo]]</f>
        <v>330000</v>
      </c>
      <c r="BH157" s="292" t="str">
        <f>Tabla14[[#This Row],[Finca]]</f>
        <v>San Pedro</v>
      </c>
      <c r="BI157" s="250">
        <v>7</v>
      </c>
      <c r="BJ157" s="332">
        <f>Tabla14[[#This Row],[Numero de Ocacionales]]*Tabla14[[#This Row],[REAJUSTADO]]</f>
        <v>210000</v>
      </c>
      <c r="BK157" s="332"/>
      <c r="BL157" s="332"/>
      <c r="BM157" s="332">
        <f>+Tabla14[[#This Row],[CUANTO SE REAJUSTA]]*3</f>
        <v>-3000</v>
      </c>
      <c r="BN157" s="334"/>
      <c r="BO157" s="334"/>
      <c r="BP157" s="334"/>
    </row>
    <row r="158" spans="3:68" hidden="1" x14ac:dyDescent="0.25">
      <c r="C158" s="274">
        <v>44768</v>
      </c>
      <c r="D158" s="507">
        <f>YEAR(Tabla14[[#This Row],[Fecha]])</f>
        <v>2022</v>
      </c>
      <c r="E158" s="313">
        <f>IF(Tabla14[[#This Row],[Fecha]]&gt;0,_xlfn.ISOWEEKNUM(Tabla14[[#This Row],[Fecha]]),0)</f>
        <v>30</v>
      </c>
      <c r="F158" s="283">
        <v>105</v>
      </c>
      <c r="G158" s="275" t="s">
        <v>155</v>
      </c>
      <c r="H158" s="325" t="str">
        <f>_xlfn.XLOOKUP(Tabla14[[#This Row],[Codigo Finca]],Tabla4[Codigo Finca],Tabla4[Nombre Finca],"")</f>
        <v>Damaquiel</v>
      </c>
      <c r="I158" s="277">
        <f>_xlfn.XLOOKUP(Tabla14[[#This Row],[Codigo Finca]],Tabla4[Codigo Finca],Tabla4[Precio Caja],0)</f>
        <v>1500</v>
      </c>
      <c r="J158" s="277">
        <f>_xlfn.XLOOKUP(Tabla14[[#This Row],[Codigo Finca]],Tabla4[Codigo Finca],Tabla4[Precio Caja Segunda],0)</f>
        <v>1000</v>
      </c>
      <c r="K158" s="277">
        <f>_xlfn.XLOOKUP(Tabla14[[#This Row],[Codigo Finca]],Tabla4[Codigo Finca],Tabla4[Precio Rechazo],0)</f>
        <v>500</v>
      </c>
      <c r="L158" s="277">
        <f t="shared" si="192"/>
        <v>0</v>
      </c>
      <c r="M158" s="278">
        <f t="shared" si="193"/>
        <v>0</v>
      </c>
      <c r="N158" s="283"/>
      <c r="O158" s="279"/>
      <c r="P158" s="280">
        <f t="shared" si="194"/>
        <v>0</v>
      </c>
      <c r="Q158" s="281">
        <f t="shared" si="195"/>
        <v>0</v>
      </c>
      <c r="R158" s="282">
        <f t="shared" si="196"/>
        <v>0</v>
      </c>
      <c r="S158" s="283"/>
      <c r="T158" s="275">
        <v>8</v>
      </c>
      <c r="U158" s="280">
        <f t="shared" si="197"/>
        <v>105</v>
      </c>
      <c r="V158" s="281">
        <f t="shared" si="198"/>
        <v>13.125</v>
      </c>
      <c r="W158" s="282">
        <f t="shared" si="199"/>
        <v>19687.5</v>
      </c>
      <c r="X158" s="283"/>
      <c r="Y158" s="275"/>
      <c r="Z158" s="280">
        <f>Tabla14[[#This Row],[Cajas Segunda]]</f>
        <v>0</v>
      </c>
      <c r="AA158" s="281">
        <f t="shared" si="200"/>
        <v>0</v>
      </c>
      <c r="AB158" s="284">
        <f t="shared" si="201"/>
        <v>0</v>
      </c>
      <c r="AC158" s="285">
        <v>27</v>
      </c>
      <c r="AD158" s="286"/>
      <c r="AE158" s="286"/>
      <c r="AF158" s="286"/>
      <c r="AG158" s="286">
        <v>8</v>
      </c>
      <c r="AH158" s="280">
        <f t="shared" si="202"/>
        <v>27</v>
      </c>
      <c r="AI158" s="281">
        <f t="shared" si="203"/>
        <v>3.375</v>
      </c>
      <c r="AJ158" s="282">
        <f t="shared" si="204"/>
        <v>1687.5</v>
      </c>
      <c r="AK158" s="287">
        <f>Tabla14[[#This Row],[Cajas por Personas]]</f>
        <v>0</v>
      </c>
      <c r="AL158" s="288">
        <f>Tabla14[[#This Row],[Valor Precorte Pesona]]</f>
        <v>0</v>
      </c>
      <c r="AM158" s="294">
        <f>Tabla14[[#This Row],[Personas Precorte]]</f>
        <v>0</v>
      </c>
      <c r="AN158" s="308">
        <f>Tabla14[[#This Row],[Valor Precorte Pesona Precorte]]*Tabla14[[#This Row],[Perzonas Precorte]]</f>
        <v>0</v>
      </c>
      <c r="AO158" s="287">
        <f>Tabla14[[#This Row],[Cajas por Personas2]]</f>
        <v>13.125</v>
      </c>
      <c r="AP158" s="288">
        <f>Tabla14[[#This Row],[Valor Embarque Pesona]]</f>
        <v>19687.5</v>
      </c>
      <c r="AQ158" s="295">
        <f>Tabla14[[#This Row],[Personas Precorte2]]</f>
        <v>8</v>
      </c>
      <c r="AR158" s="296">
        <f>Tabla14[[#This Row],[Valor Embarque Pesona3]]*Tabla14[[#This Row],[Perzona Primera]]</f>
        <v>157500</v>
      </c>
      <c r="AS158" s="287">
        <f>Tabla14[[#This Row],[Columna2]]</f>
        <v>0</v>
      </c>
      <c r="AT158" s="288">
        <f>Tabla14[[#This Row],[Columna1]]</f>
        <v>0</v>
      </c>
      <c r="AU158" s="302">
        <f>Tabla14[[#This Row],[Personas Intervienen]]</f>
        <v>0</v>
      </c>
      <c r="AV158" s="297">
        <f>Tabla14[[#This Row],[Valor Embarque Pesona5]]*Tabla14[[#This Row],[Presonas Segunda]]</f>
        <v>0</v>
      </c>
      <c r="AW158" s="287">
        <f>Tabla14[[#This Row],[Bolsas Por Personas]]</f>
        <v>3.375</v>
      </c>
      <c r="AX158" s="288">
        <f>Tabla14[[#This Row],[Valor bolsas Pesona]]</f>
        <v>1687.5</v>
      </c>
      <c r="AY158" s="309">
        <f>Tabla14[[#This Row],[Personas13]]</f>
        <v>8</v>
      </c>
      <c r="AZ158" s="310">
        <f>Tabla14[[#This Row],[Valor bolsas Pesona2]]*Tabla14[[#This Row],[Personas Rechazo]]</f>
        <v>13500</v>
      </c>
      <c r="BA158" s="311">
        <f>+Tabla14[[#This Row],[Total Valor Segunda]]+Tabla14[[#This Row],[Total Valor Primera]]+Tabla14[[#This Row],[Total Valor Precorte]]</f>
        <v>157500</v>
      </c>
      <c r="BB158" s="292">
        <f>Tabla14[[#This Row],[Valor bolsas Pesona2]]+Tabla14[[#This Row],[Valor Embarque Pesona3]]</f>
        <v>21375</v>
      </c>
      <c r="BC158" s="332">
        <v>30000</v>
      </c>
      <c r="BD158" s="292">
        <f>Tabla14[[#This Row],[VALOR GANADO]]-Tabla14[[#This Row],[REAJUSTADO]]</f>
        <v>-8625</v>
      </c>
      <c r="BE158" s="250">
        <f>Tabla14[[#This Row],[CUANTO SE REAJUSTA]]*Tabla14[[#This Row],[Personas Rechazo]]</f>
        <v>-69000</v>
      </c>
      <c r="BF158" s="250">
        <f>Tabla14[[#This Row],[REAJUSTADO]]/25000</f>
        <v>1.2</v>
      </c>
      <c r="BG158" s="302">
        <f>Tabla14[[#This Row],[REAJUSTADO]]*Tabla14[[#This Row],[Personas Rechazo]]</f>
        <v>240000</v>
      </c>
      <c r="BH158" s="292" t="str">
        <f>Tabla14[[#This Row],[Finca]]</f>
        <v>Damaquiel</v>
      </c>
      <c r="BI158" s="250">
        <v>6</v>
      </c>
      <c r="BJ158" s="332">
        <f>Tabla14[[#This Row],[Numero de Ocacionales]]*Tabla14[[#This Row],[REAJUSTADO]]</f>
        <v>180000</v>
      </c>
      <c r="BK158" s="332"/>
      <c r="BL158" s="332"/>
      <c r="BM158" s="332">
        <f>+Tabla14[[#This Row],[CUANTO SE REAJUSTA]]*3</f>
        <v>-25875</v>
      </c>
      <c r="BN158" s="334"/>
      <c r="BO158" s="334"/>
      <c r="BP158" s="334"/>
    </row>
    <row r="159" spans="3:68" hidden="1" x14ac:dyDescent="0.25">
      <c r="C159" s="274">
        <v>44768</v>
      </c>
      <c r="D159" s="507">
        <f>YEAR(Tabla14[[#This Row],[Fecha]])</f>
        <v>2022</v>
      </c>
      <c r="E159" s="313">
        <f>IF(Tabla14[[#This Row],[Fecha]]&gt;0,_xlfn.ISOWEEKNUM(Tabla14[[#This Row],[Fecha]]),0)</f>
        <v>30</v>
      </c>
      <c r="F159" s="283">
        <v>269</v>
      </c>
      <c r="G159" s="275" t="s">
        <v>157</v>
      </c>
      <c r="H159" s="325" t="str">
        <f>_xlfn.XLOOKUP(Tabla14[[#This Row],[Codigo Finca]],Tabla4[Codigo Finca],Tabla4[Nombre Finca],"")</f>
        <v>Pedrito</v>
      </c>
      <c r="I159" s="277">
        <f>_xlfn.XLOOKUP(Tabla14[[#This Row],[Codigo Finca]],Tabla4[Codigo Finca],Tabla4[Precio Caja],0)</f>
        <v>2100</v>
      </c>
      <c r="J159" s="277">
        <f>_xlfn.XLOOKUP(Tabla14[[#This Row],[Codigo Finca]],Tabla4[Codigo Finca],Tabla4[Precio Caja Segunda],0)</f>
        <v>1000</v>
      </c>
      <c r="K159" s="277">
        <f>_xlfn.XLOOKUP(Tabla14[[#This Row],[Codigo Finca]],Tabla4[Codigo Finca],Tabla4[Precio Rechazo],0)</f>
        <v>500</v>
      </c>
      <c r="L159" s="277">
        <f t="shared" si="192"/>
        <v>1201</v>
      </c>
      <c r="M159" s="278">
        <f t="shared" si="193"/>
        <v>4.4646840148698885</v>
      </c>
      <c r="N159" s="283"/>
      <c r="O159" s="279"/>
      <c r="P159" s="280">
        <f t="shared" si="194"/>
        <v>0</v>
      </c>
      <c r="Q159" s="281">
        <f t="shared" si="195"/>
        <v>0</v>
      </c>
      <c r="R159" s="282">
        <f t="shared" si="196"/>
        <v>0</v>
      </c>
      <c r="S159" s="283">
        <v>1201</v>
      </c>
      <c r="T159" s="275">
        <v>15</v>
      </c>
      <c r="U159" s="280">
        <f t="shared" si="197"/>
        <v>269</v>
      </c>
      <c r="V159" s="281">
        <f t="shared" si="198"/>
        <v>17.933333333333334</v>
      </c>
      <c r="W159" s="282">
        <f t="shared" si="199"/>
        <v>37660</v>
      </c>
      <c r="X159" s="283"/>
      <c r="Y159" s="275"/>
      <c r="Z159" s="280">
        <f>Tabla14[[#This Row],[Cajas Segunda]]</f>
        <v>0</v>
      </c>
      <c r="AA159" s="281">
        <f t="shared" si="200"/>
        <v>0</v>
      </c>
      <c r="AB159" s="284">
        <f t="shared" si="201"/>
        <v>0</v>
      </c>
      <c r="AC159" s="285">
        <v>130</v>
      </c>
      <c r="AD159" s="286"/>
      <c r="AE159" s="286"/>
      <c r="AF159" s="286"/>
      <c r="AG159" s="286">
        <v>15</v>
      </c>
      <c r="AH159" s="280">
        <f t="shared" si="202"/>
        <v>130</v>
      </c>
      <c r="AI159" s="281">
        <f t="shared" si="203"/>
        <v>8.6666666666666661</v>
      </c>
      <c r="AJ159" s="282">
        <f t="shared" si="204"/>
        <v>4333.333333333333</v>
      </c>
      <c r="AK159" s="287">
        <f>Tabla14[[#This Row],[Cajas por Personas]]</f>
        <v>0</v>
      </c>
      <c r="AL159" s="288">
        <f>Tabla14[[#This Row],[Valor Precorte Pesona]]</f>
        <v>0</v>
      </c>
      <c r="AM159" s="294">
        <f>Tabla14[[#This Row],[Personas Precorte]]</f>
        <v>0</v>
      </c>
      <c r="AN159" s="308">
        <f>Tabla14[[#This Row],[Valor Precorte Pesona Precorte]]*Tabla14[[#This Row],[Perzonas Precorte]]</f>
        <v>0</v>
      </c>
      <c r="AO159" s="287">
        <f>Tabla14[[#This Row],[Cajas por Personas2]]</f>
        <v>17.933333333333334</v>
      </c>
      <c r="AP159" s="288">
        <f>Tabla14[[#This Row],[Valor Embarque Pesona]]</f>
        <v>37660</v>
      </c>
      <c r="AQ159" s="295">
        <f>Tabla14[[#This Row],[Personas Precorte2]]</f>
        <v>15</v>
      </c>
      <c r="AR159" s="296">
        <f>Tabla14[[#This Row],[Valor Embarque Pesona3]]*Tabla14[[#This Row],[Perzona Primera]]</f>
        <v>564900</v>
      </c>
      <c r="AS159" s="287">
        <f>Tabla14[[#This Row],[Columna2]]</f>
        <v>0</v>
      </c>
      <c r="AT159" s="288">
        <f>Tabla14[[#This Row],[Columna1]]</f>
        <v>0</v>
      </c>
      <c r="AU159" s="302">
        <f>Tabla14[[#This Row],[Personas Intervienen]]</f>
        <v>0</v>
      </c>
      <c r="AV159" s="297">
        <f>Tabla14[[#This Row],[Valor Embarque Pesona5]]*Tabla14[[#This Row],[Presonas Segunda]]</f>
        <v>0</v>
      </c>
      <c r="AW159" s="287">
        <f>Tabla14[[#This Row],[Bolsas Por Personas]]</f>
        <v>8.6666666666666661</v>
      </c>
      <c r="AX159" s="288">
        <f>Tabla14[[#This Row],[Valor bolsas Pesona]]</f>
        <v>4333.333333333333</v>
      </c>
      <c r="AY159" s="309">
        <f>Tabla14[[#This Row],[Personas13]]</f>
        <v>15</v>
      </c>
      <c r="AZ159" s="310">
        <f>Tabla14[[#This Row],[Valor bolsas Pesona2]]*Tabla14[[#This Row],[Personas Rechazo]]</f>
        <v>64999.999999999993</v>
      </c>
      <c r="BA159" s="311">
        <f>+Tabla14[[#This Row],[Total Valor Segunda]]+Tabla14[[#This Row],[Total Valor Primera]]+Tabla14[[#This Row],[Total Valor Precorte]]</f>
        <v>564900</v>
      </c>
      <c r="BB159" s="292">
        <f>Tabla14[[#This Row],[Valor bolsas Pesona2]]+Tabla14[[#This Row],[Valor Embarque Pesona3]]</f>
        <v>41993.333333333336</v>
      </c>
      <c r="BC159" s="332">
        <v>42000</v>
      </c>
      <c r="BD159" s="292">
        <f>Tabla14[[#This Row],[VALOR GANADO]]-Tabla14[[#This Row],[REAJUSTADO]]</f>
        <v>-6.6666666666642413</v>
      </c>
      <c r="BE159" s="250">
        <f>Tabla14[[#This Row],[CUANTO SE REAJUSTA]]*Tabla14[[#This Row],[Personas Rechazo]]</f>
        <v>-99.99999999996362</v>
      </c>
      <c r="BF159" s="250">
        <f>Tabla14[[#This Row],[REAJUSTADO]]/25000</f>
        <v>1.68</v>
      </c>
      <c r="BG159" s="302">
        <f>Tabla14[[#This Row],[REAJUSTADO]]*Tabla14[[#This Row],[Personas Rechazo]]</f>
        <v>630000</v>
      </c>
      <c r="BH159" s="292" t="str">
        <f>Tabla14[[#This Row],[Finca]]</f>
        <v>Pedrito</v>
      </c>
      <c r="BI159" s="341"/>
      <c r="BJ159" s="332">
        <f>Tabla14[[#This Row],[Numero de Ocacionales]]*Tabla14[[#This Row],[REAJUSTADO]]</f>
        <v>0</v>
      </c>
      <c r="BK159" s="332"/>
      <c r="BL159" s="332"/>
      <c r="BM159" s="332">
        <f>+Tabla14[[#This Row],[CUANTO SE REAJUSTA]]*3</f>
        <v>-19.999999999992724</v>
      </c>
      <c r="BN159" s="334"/>
      <c r="BO159" s="334"/>
      <c r="BP159" s="334"/>
    </row>
    <row r="160" spans="3:68" hidden="1" x14ac:dyDescent="0.25">
      <c r="C160" s="274">
        <v>44769</v>
      </c>
      <c r="D160" s="507">
        <f>YEAR(Tabla14[[#This Row],[Fecha]])</f>
        <v>2022</v>
      </c>
      <c r="E160" s="313">
        <f>IF(Tabla14[[#This Row],[Fecha]]&gt;0,_xlfn.ISOWEEKNUM(Tabla14[[#This Row],[Fecha]]),0)</f>
        <v>30</v>
      </c>
      <c r="F160" s="283">
        <v>45</v>
      </c>
      <c r="G160" s="275" t="s">
        <v>153</v>
      </c>
      <c r="H160" s="325" t="str">
        <f>_xlfn.XLOOKUP(Tabla14[[#This Row],[Codigo Finca]],Tabla4[Codigo Finca],Tabla4[Nombre Finca],"")</f>
        <v>Uveros</v>
      </c>
      <c r="I160" s="277">
        <f>_xlfn.XLOOKUP(Tabla14[[#This Row],[Codigo Finca]],Tabla4[Codigo Finca],Tabla4[Precio Caja],0)</f>
        <v>1500</v>
      </c>
      <c r="J160" s="277">
        <f>_xlfn.XLOOKUP(Tabla14[[#This Row],[Codigo Finca]],Tabla4[Codigo Finca],Tabla4[Precio Caja Segunda],0)</f>
        <v>1000</v>
      </c>
      <c r="K160" s="277">
        <f>_xlfn.XLOOKUP(Tabla14[[#This Row],[Codigo Finca]],Tabla4[Codigo Finca],Tabla4[Precio Rechazo],0)</f>
        <v>500</v>
      </c>
      <c r="L160" s="277">
        <f t="shared" si="192"/>
        <v>0</v>
      </c>
      <c r="M160" s="278">
        <f t="shared" si="193"/>
        <v>0</v>
      </c>
      <c r="N160" s="283"/>
      <c r="O160" s="279"/>
      <c r="P160" s="280">
        <f t="shared" si="194"/>
        <v>0</v>
      </c>
      <c r="Q160" s="281">
        <f t="shared" si="195"/>
        <v>0</v>
      </c>
      <c r="R160" s="282">
        <f t="shared" si="196"/>
        <v>0</v>
      </c>
      <c r="S160" s="283"/>
      <c r="T160" s="275">
        <v>5</v>
      </c>
      <c r="U160" s="280">
        <f t="shared" si="197"/>
        <v>45</v>
      </c>
      <c r="V160" s="281">
        <f t="shared" si="198"/>
        <v>9</v>
      </c>
      <c r="W160" s="282">
        <f t="shared" si="199"/>
        <v>13500</v>
      </c>
      <c r="X160" s="283"/>
      <c r="Y160" s="275"/>
      <c r="Z160" s="280">
        <f>Tabla14[[#This Row],[Cajas Segunda]]</f>
        <v>0</v>
      </c>
      <c r="AA160" s="281">
        <f t="shared" si="200"/>
        <v>0</v>
      </c>
      <c r="AB160" s="284">
        <f t="shared" si="201"/>
        <v>0</v>
      </c>
      <c r="AC160" s="285">
        <v>27</v>
      </c>
      <c r="AD160" s="286"/>
      <c r="AE160" s="286"/>
      <c r="AF160" s="286"/>
      <c r="AG160" s="286">
        <v>5</v>
      </c>
      <c r="AH160" s="280">
        <f t="shared" si="202"/>
        <v>27</v>
      </c>
      <c r="AI160" s="281">
        <f t="shared" si="203"/>
        <v>5.4</v>
      </c>
      <c r="AJ160" s="282">
        <f t="shared" si="204"/>
        <v>2700</v>
      </c>
      <c r="AK160" s="287">
        <f>Tabla14[[#This Row],[Cajas por Personas]]</f>
        <v>0</v>
      </c>
      <c r="AL160" s="288">
        <f>Tabla14[[#This Row],[Valor Precorte Pesona]]</f>
        <v>0</v>
      </c>
      <c r="AM160" s="294">
        <f>Tabla14[[#This Row],[Personas Precorte]]</f>
        <v>0</v>
      </c>
      <c r="AN160" s="308">
        <f>Tabla14[[#This Row],[Valor Precorte Pesona Precorte]]*Tabla14[[#This Row],[Perzonas Precorte]]</f>
        <v>0</v>
      </c>
      <c r="AO160" s="287">
        <f>Tabla14[[#This Row],[Cajas por Personas2]]</f>
        <v>9</v>
      </c>
      <c r="AP160" s="288">
        <f>Tabla14[[#This Row],[Valor Embarque Pesona]]</f>
        <v>13500</v>
      </c>
      <c r="AQ160" s="295">
        <f>Tabla14[[#This Row],[Personas Precorte2]]</f>
        <v>5</v>
      </c>
      <c r="AR160" s="296">
        <f>Tabla14[[#This Row],[Valor Embarque Pesona3]]*Tabla14[[#This Row],[Perzona Primera]]</f>
        <v>67500</v>
      </c>
      <c r="AS160" s="287">
        <f>Tabla14[[#This Row],[Columna2]]</f>
        <v>0</v>
      </c>
      <c r="AT160" s="288">
        <f>Tabla14[[#This Row],[Columna1]]</f>
        <v>0</v>
      </c>
      <c r="AU160" s="302">
        <f>Tabla14[[#This Row],[Personas Intervienen]]</f>
        <v>0</v>
      </c>
      <c r="AV160" s="297">
        <f>Tabla14[[#This Row],[Valor Embarque Pesona5]]*Tabla14[[#This Row],[Presonas Segunda]]</f>
        <v>0</v>
      </c>
      <c r="AW160" s="287">
        <f>Tabla14[[#This Row],[Bolsas Por Personas]]</f>
        <v>5.4</v>
      </c>
      <c r="AX160" s="288">
        <f>Tabla14[[#This Row],[Valor bolsas Pesona]]</f>
        <v>2700</v>
      </c>
      <c r="AY160" s="309">
        <f>Tabla14[[#This Row],[Personas13]]</f>
        <v>5</v>
      </c>
      <c r="AZ160" s="310">
        <f>Tabla14[[#This Row],[Valor bolsas Pesona2]]*Tabla14[[#This Row],[Personas Rechazo]]</f>
        <v>13500</v>
      </c>
      <c r="BA160" s="311">
        <f>+Tabla14[[#This Row],[Total Valor Segunda]]+Tabla14[[#This Row],[Total Valor Primera]]+Tabla14[[#This Row],[Total Valor Precorte]]</f>
        <v>67500</v>
      </c>
      <c r="BB160" s="292">
        <f>Tabla14[[#This Row],[Valor bolsas Pesona2]]+Tabla14[[#This Row],[Valor Embarque Pesona3]]</f>
        <v>16200</v>
      </c>
      <c r="BC160" s="332">
        <v>30000</v>
      </c>
      <c r="BD160" s="292">
        <f>Tabla14[[#This Row],[VALOR GANADO]]-Tabla14[[#This Row],[REAJUSTADO]]</f>
        <v>-13800</v>
      </c>
      <c r="BE160" s="250">
        <f>Tabla14[[#This Row],[CUANTO SE REAJUSTA]]*Tabla14[[#This Row],[Personas Rechazo]]</f>
        <v>-69000</v>
      </c>
      <c r="BF160" s="250">
        <f>Tabla14[[#This Row],[REAJUSTADO]]/25000</f>
        <v>1.2</v>
      </c>
      <c r="BG160" s="302">
        <f>Tabla14[[#This Row],[REAJUSTADO]]*Tabla14[[#This Row],[Personas Rechazo]]</f>
        <v>150000</v>
      </c>
      <c r="BH160" s="292" t="str">
        <f>Tabla14[[#This Row],[Finca]]</f>
        <v>Uveros</v>
      </c>
      <c r="BI160" s="250">
        <v>5</v>
      </c>
      <c r="BJ160" s="332">
        <f>Tabla14[[#This Row],[Numero de Ocacionales]]*Tabla14[[#This Row],[REAJUSTADO]]</f>
        <v>150000</v>
      </c>
      <c r="BK160" s="332"/>
      <c r="BL160" s="332"/>
      <c r="BM160" s="332">
        <f>+Tabla14[[#This Row],[CUANTO SE REAJUSTA]]*3</f>
        <v>-41400</v>
      </c>
      <c r="BN160" s="334"/>
      <c r="BO160" s="334"/>
      <c r="BP160" s="334"/>
    </row>
    <row r="161" spans="3:68" hidden="1" x14ac:dyDescent="0.25">
      <c r="C161" s="274">
        <v>44769</v>
      </c>
      <c r="D161" s="507">
        <f>YEAR(Tabla14[[#This Row],[Fecha]])</f>
        <v>2022</v>
      </c>
      <c r="E161" s="313">
        <f>IF(Tabla14[[#This Row],[Fecha]]&gt;0,_xlfn.ISOWEEKNUM(Tabla14[[#This Row],[Fecha]]),0)</f>
        <v>30</v>
      </c>
      <c r="F161" s="283">
        <v>159</v>
      </c>
      <c r="G161" s="275" t="s">
        <v>152</v>
      </c>
      <c r="H161" s="325" t="str">
        <f>_xlfn.XLOOKUP(Tabla14[[#This Row],[Codigo Finca]],Tabla4[Codigo Finca],Tabla4[Nombre Finca],"")</f>
        <v>San Pedro</v>
      </c>
      <c r="I161" s="277">
        <f>_xlfn.XLOOKUP(Tabla14[[#This Row],[Codigo Finca]],Tabla4[Codigo Finca],Tabla4[Precio Caja],0)</f>
        <v>1500</v>
      </c>
      <c r="J161" s="277">
        <f>_xlfn.XLOOKUP(Tabla14[[#This Row],[Codigo Finca]],Tabla4[Codigo Finca],Tabla4[Precio Caja Segunda],0)</f>
        <v>1000</v>
      </c>
      <c r="K161" s="277">
        <f>_xlfn.XLOOKUP(Tabla14[[#This Row],[Codigo Finca]],Tabla4[Codigo Finca],Tabla4[Precio Rechazo],0)</f>
        <v>500</v>
      </c>
      <c r="L161" s="277">
        <f t="shared" si="192"/>
        <v>0</v>
      </c>
      <c r="M161" s="278">
        <f t="shared" si="193"/>
        <v>0</v>
      </c>
      <c r="N161" s="283"/>
      <c r="O161" s="279"/>
      <c r="P161" s="280">
        <f t="shared" si="194"/>
        <v>0</v>
      </c>
      <c r="Q161" s="281">
        <f t="shared" si="195"/>
        <v>0</v>
      </c>
      <c r="R161" s="282">
        <f t="shared" si="196"/>
        <v>0</v>
      </c>
      <c r="S161" s="283"/>
      <c r="T161" s="275">
        <v>15</v>
      </c>
      <c r="U161" s="280">
        <f t="shared" si="197"/>
        <v>159</v>
      </c>
      <c r="V161" s="281">
        <f t="shared" si="198"/>
        <v>10.6</v>
      </c>
      <c r="W161" s="282">
        <f t="shared" si="199"/>
        <v>15900</v>
      </c>
      <c r="X161" s="283"/>
      <c r="Y161" s="275"/>
      <c r="Z161" s="280">
        <f>Tabla14[[#This Row],[Cajas Segunda]]</f>
        <v>0</v>
      </c>
      <c r="AA161" s="281">
        <f t="shared" si="200"/>
        <v>0</v>
      </c>
      <c r="AB161" s="284">
        <f t="shared" si="201"/>
        <v>0</v>
      </c>
      <c r="AC161" s="285">
        <v>76</v>
      </c>
      <c r="AD161" s="286"/>
      <c r="AE161" s="286"/>
      <c r="AF161" s="286"/>
      <c r="AG161" s="286">
        <v>15</v>
      </c>
      <c r="AH161" s="280">
        <f t="shared" si="202"/>
        <v>76</v>
      </c>
      <c r="AI161" s="281">
        <f t="shared" si="203"/>
        <v>5.0666666666666664</v>
      </c>
      <c r="AJ161" s="282">
        <f t="shared" si="204"/>
        <v>2533.333333333333</v>
      </c>
      <c r="AK161" s="287">
        <f>Tabla14[[#This Row],[Cajas por Personas]]</f>
        <v>0</v>
      </c>
      <c r="AL161" s="288">
        <f>Tabla14[[#This Row],[Valor Precorte Pesona]]</f>
        <v>0</v>
      </c>
      <c r="AM161" s="294">
        <f>Tabla14[[#This Row],[Personas Precorte]]</f>
        <v>0</v>
      </c>
      <c r="AN161" s="308">
        <f>Tabla14[[#This Row],[Valor Precorte Pesona Precorte]]*Tabla14[[#This Row],[Perzonas Precorte]]</f>
        <v>0</v>
      </c>
      <c r="AO161" s="287">
        <f>Tabla14[[#This Row],[Cajas por Personas2]]</f>
        <v>10.6</v>
      </c>
      <c r="AP161" s="288">
        <f>Tabla14[[#This Row],[Valor Embarque Pesona]]</f>
        <v>15900</v>
      </c>
      <c r="AQ161" s="295">
        <f>Tabla14[[#This Row],[Personas Precorte2]]</f>
        <v>15</v>
      </c>
      <c r="AR161" s="296">
        <f>Tabla14[[#This Row],[Valor Embarque Pesona3]]*Tabla14[[#This Row],[Perzona Primera]]</f>
        <v>238500</v>
      </c>
      <c r="AS161" s="287">
        <f>Tabla14[[#This Row],[Columna2]]</f>
        <v>0</v>
      </c>
      <c r="AT161" s="288">
        <f>Tabla14[[#This Row],[Columna1]]</f>
        <v>0</v>
      </c>
      <c r="AU161" s="302">
        <f>Tabla14[[#This Row],[Personas Intervienen]]</f>
        <v>0</v>
      </c>
      <c r="AV161" s="297">
        <f>Tabla14[[#This Row],[Valor Embarque Pesona5]]*Tabla14[[#This Row],[Presonas Segunda]]</f>
        <v>0</v>
      </c>
      <c r="AW161" s="287">
        <f>Tabla14[[#This Row],[Bolsas Por Personas]]</f>
        <v>5.0666666666666664</v>
      </c>
      <c r="AX161" s="288">
        <f>Tabla14[[#This Row],[Valor bolsas Pesona]]</f>
        <v>2533.333333333333</v>
      </c>
      <c r="AY161" s="309">
        <f>Tabla14[[#This Row],[Personas13]]</f>
        <v>15</v>
      </c>
      <c r="AZ161" s="310">
        <f>Tabla14[[#This Row],[Valor bolsas Pesona2]]*Tabla14[[#This Row],[Personas Rechazo]]</f>
        <v>37999.999999999993</v>
      </c>
      <c r="BA161" s="311">
        <f>+Tabla14[[#This Row],[Total Valor Segunda]]+Tabla14[[#This Row],[Total Valor Primera]]+Tabla14[[#This Row],[Total Valor Precorte]]</f>
        <v>238500</v>
      </c>
      <c r="BB161" s="292">
        <f>Tabla14[[#This Row],[Valor bolsas Pesona2]]+Tabla14[[#This Row],[Valor Embarque Pesona3]]</f>
        <v>18433.333333333332</v>
      </c>
      <c r="BC161" s="332">
        <v>30000</v>
      </c>
      <c r="BD161" s="292">
        <f>Tabla14[[#This Row],[VALOR GANADO]]-Tabla14[[#This Row],[REAJUSTADO]]</f>
        <v>-11566.666666666668</v>
      </c>
      <c r="BE161" s="250">
        <f>Tabla14[[#This Row],[CUANTO SE REAJUSTA]]*Tabla14[[#This Row],[Personas Rechazo]]</f>
        <v>-173500.00000000003</v>
      </c>
      <c r="BF161" s="250">
        <f>Tabla14[[#This Row],[REAJUSTADO]]/25000</f>
        <v>1.2</v>
      </c>
      <c r="BG161" s="302">
        <f>Tabla14[[#This Row],[REAJUSTADO]]*Tabla14[[#This Row],[Personas Rechazo]]</f>
        <v>450000</v>
      </c>
      <c r="BH161" s="292" t="str">
        <f>Tabla14[[#This Row],[Finca]]</f>
        <v>San Pedro</v>
      </c>
      <c r="BI161" s="250">
        <v>10</v>
      </c>
      <c r="BJ161" s="332">
        <f>Tabla14[[#This Row],[Numero de Ocacionales]]*Tabla14[[#This Row],[REAJUSTADO]]</f>
        <v>300000</v>
      </c>
      <c r="BK161" s="332"/>
      <c r="BL161" s="332"/>
      <c r="BM161" s="332">
        <f>+Tabla14[[#This Row],[CUANTO SE REAJUSTA]]*3</f>
        <v>-34700</v>
      </c>
      <c r="BN161" s="334"/>
      <c r="BO161" s="334"/>
      <c r="BP161" s="334"/>
    </row>
    <row r="162" spans="3:68" hidden="1" x14ac:dyDescent="0.25">
      <c r="C162" s="274">
        <v>44775</v>
      </c>
      <c r="D162" s="507">
        <f>YEAR(Tabla14[[#This Row],[Fecha]])</f>
        <v>2022</v>
      </c>
      <c r="E162" s="313">
        <f>IF(Tabla14[[#This Row],[Fecha]]&gt;0,_xlfn.ISOWEEKNUM(Tabla14[[#This Row],[Fecha]]),0)</f>
        <v>31</v>
      </c>
      <c r="F162" s="283">
        <v>182</v>
      </c>
      <c r="G162" s="275" t="s">
        <v>157</v>
      </c>
      <c r="H162" s="325" t="str">
        <f>_xlfn.XLOOKUP(Tabla14[[#This Row],[Codigo Finca]],Tabla4[Codigo Finca],Tabla4[Nombre Finca],"")</f>
        <v>Pedrito</v>
      </c>
      <c r="I162" s="277">
        <f>_xlfn.XLOOKUP(Tabla14[[#This Row],[Codigo Finca]],Tabla4[Codigo Finca],Tabla4[Precio Caja],0)</f>
        <v>2100</v>
      </c>
      <c r="J162" s="277">
        <f>_xlfn.XLOOKUP(Tabla14[[#This Row],[Codigo Finca]],Tabla4[Codigo Finca],Tabla4[Precio Caja Segunda],0)</f>
        <v>1000</v>
      </c>
      <c r="K162" s="277">
        <f>_xlfn.XLOOKUP(Tabla14[[#This Row],[Codigo Finca]],Tabla4[Codigo Finca],Tabla4[Precio Rechazo],0)</f>
        <v>500</v>
      </c>
      <c r="L162" s="277">
        <f t="shared" si="192"/>
        <v>900</v>
      </c>
      <c r="M162" s="278">
        <f t="shared" si="193"/>
        <v>4.9450549450549453</v>
      </c>
      <c r="N162" s="283"/>
      <c r="O162" s="279"/>
      <c r="P162" s="280">
        <f t="shared" si="194"/>
        <v>0</v>
      </c>
      <c r="Q162" s="281">
        <f t="shared" si="195"/>
        <v>0</v>
      </c>
      <c r="R162" s="282">
        <f t="shared" si="196"/>
        <v>0</v>
      </c>
      <c r="S162" s="283">
        <v>900</v>
      </c>
      <c r="T162" s="275">
        <v>15</v>
      </c>
      <c r="U162" s="280">
        <f t="shared" si="197"/>
        <v>182</v>
      </c>
      <c r="V162" s="281">
        <f t="shared" si="198"/>
        <v>12.133333333333333</v>
      </c>
      <c r="W162" s="282">
        <f t="shared" si="199"/>
        <v>25480</v>
      </c>
      <c r="X162" s="283"/>
      <c r="Y162" s="275"/>
      <c r="Z162" s="280">
        <f>Tabla14[[#This Row],[Cajas Segunda]]</f>
        <v>0</v>
      </c>
      <c r="AA162" s="281">
        <f t="shared" si="200"/>
        <v>0</v>
      </c>
      <c r="AB162" s="284">
        <f t="shared" si="201"/>
        <v>0</v>
      </c>
      <c r="AC162" s="285">
        <v>122</v>
      </c>
      <c r="AD162" s="286"/>
      <c r="AE162" s="286"/>
      <c r="AF162" s="286"/>
      <c r="AG162" s="286">
        <v>15</v>
      </c>
      <c r="AH162" s="280">
        <f t="shared" si="202"/>
        <v>122</v>
      </c>
      <c r="AI162" s="281">
        <f t="shared" si="203"/>
        <v>8.1333333333333329</v>
      </c>
      <c r="AJ162" s="282">
        <f t="shared" si="204"/>
        <v>4066.6666666666665</v>
      </c>
      <c r="AK162" s="287">
        <f>Tabla14[[#This Row],[Cajas por Personas]]</f>
        <v>0</v>
      </c>
      <c r="AL162" s="288">
        <f>Tabla14[[#This Row],[Valor Precorte Pesona]]</f>
        <v>0</v>
      </c>
      <c r="AM162" s="294">
        <f>Tabla14[[#This Row],[Personas Precorte]]</f>
        <v>0</v>
      </c>
      <c r="AN162" s="308">
        <f>Tabla14[[#This Row],[Valor Precorte Pesona Precorte]]*Tabla14[[#This Row],[Perzonas Precorte]]</f>
        <v>0</v>
      </c>
      <c r="AO162" s="287">
        <f>Tabla14[[#This Row],[Cajas por Personas2]]</f>
        <v>12.133333333333333</v>
      </c>
      <c r="AP162" s="288">
        <f>Tabla14[[#This Row],[Valor Embarque Pesona]]</f>
        <v>25480</v>
      </c>
      <c r="AQ162" s="295">
        <f>Tabla14[[#This Row],[Personas Precorte2]]</f>
        <v>15</v>
      </c>
      <c r="AR162" s="296">
        <f>Tabla14[[#This Row],[Valor Embarque Pesona3]]*Tabla14[[#This Row],[Perzona Primera]]</f>
        <v>382200</v>
      </c>
      <c r="AS162" s="287">
        <f>Tabla14[[#This Row],[Columna2]]</f>
        <v>0</v>
      </c>
      <c r="AT162" s="288">
        <f>Tabla14[[#This Row],[Columna1]]</f>
        <v>0</v>
      </c>
      <c r="AU162" s="302">
        <f>Tabla14[[#This Row],[Personas Intervienen]]</f>
        <v>0</v>
      </c>
      <c r="AV162" s="297">
        <f>Tabla14[[#This Row],[Valor Embarque Pesona5]]*Tabla14[[#This Row],[Presonas Segunda]]</f>
        <v>0</v>
      </c>
      <c r="AW162" s="287">
        <f>Tabla14[[#This Row],[Bolsas Por Personas]]</f>
        <v>8.1333333333333329</v>
      </c>
      <c r="AX162" s="288">
        <f>Tabla14[[#This Row],[Valor bolsas Pesona]]</f>
        <v>4066.6666666666665</v>
      </c>
      <c r="AY162" s="309">
        <f>Tabla14[[#This Row],[Personas13]]</f>
        <v>15</v>
      </c>
      <c r="AZ162" s="310">
        <f>Tabla14[[#This Row],[Valor bolsas Pesona2]]*Tabla14[[#This Row],[Personas Rechazo]]</f>
        <v>61000</v>
      </c>
      <c r="BA162" s="311">
        <f>+Tabla14[[#This Row],[Total Valor Segunda]]+Tabla14[[#This Row],[Total Valor Primera]]+Tabla14[[#This Row],[Total Valor Precorte]]</f>
        <v>382200</v>
      </c>
      <c r="BB162" s="292">
        <f>Tabla14[[#This Row],[Valor bolsas Pesona2]]+Tabla14[[#This Row],[Valor Embarque Pesona3]]</f>
        <v>29546.666666666668</v>
      </c>
      <c r="BC162" s="332">
        <v>35000</v>
      </c>
      <c r="BD162" s="292">
        <f>Tabla14[[#This Row],[VALOR GANADO]]-Tabla14[[#This Row],[REAJUSTADO]]</f>
        <v>-5453.3333333333321</v>
      </c>
      <c r="BE162" s="250">
        <f>Tabla14[[#This Row],[CUANTO SE REAJUSTA]]*Tabla14[[#This Row],[Personas Rechazo]]</f>
        <v>-81799.999999999985</v>
      </c>
      <c r="BF162" s="250">
        <f>Tabla14[[#This Row],[REAJUSTADO]]/25000</f>
        <v>1.4</v>
      </c>
      <c r="BG162" s="302">
        <f>Tabla14[[#This Row],[REAJUSTADO]]*Tabla14[[#This Row],[Personas Rechazo]]</f>
        <v>525000</v>
      </c>
      <c r="BH162" s="292" t="str">
        <f>Tabla14[[#This Row],[Finca]]</f>
        <v>Pedrito</v>
      </c>
      <c r="BJ162" s="332">
        <f>Tabla14[[#This Row],[Numero de Ocacionales]]*Tabla14[[#This Row],[REAJUSTADO]]</f>
        <v>0</v>
      </c>
      <c r="BK162" s="332"/>
      <c r="BL162" s="332"/>
      <c r="BM162" s="332">
        <f>+Tabla14[[#This Row],[CUANTO SE REAJUSTA]]*3</f>
        <v>-16359.999999999996</v>
      </c>
      <c r="BN162" s="334"/>
      <c r="BO162" s="334"/>
      <c r="BP162" s="334"/>
    </row>
    <row r="163" spans="3:68" hidden="1" x14ac:dyDescent="0.25">
      <c r="C163" s="274">
        <v>44775</v>
      </c>
      <c r="D163" s="507">
        <f>YEAR(Tabla14[[#This Row],[Fecha]])</f>
        <v>2022</v>
      </c>
      <c r="E163" s="313">
        <f>IF(Tabla14[[#This Row],[Fecha]]&gt;0,_xlfn.ISOWEEKNUM(Tabla14[[#This Row],[Fecha]]),0)</f>
        <v>31</v>
      </c>
      <c r="F163" s="283">
        <v>124</v>
      </c>
      <c r="G163" s="275" t="s">
        <v>152</v>
      </c>
      <c r="H163" s="325" t="str">
        <f>_xlfn.XLOOKUP(Tabla14[[#This Row],[Codigo Finca]],Tabla4[Codigo Finca],Tabla4[Nombre Finca],"")</f>
        <v>San Pedro</v>
      </c>
      <c r="I163" s="277">
        <f>_xlfn.XLOOKUP(Tabla14[[#This Row],[Codigo Finca]],Tabla4[Codigo Finca],Tabla4[Precio Caja],0)</f>
        <v>1500</v>
      </c>
      <c r="J163" s="277">
        <f>_xlfn.XLOOKUP(Tabla14[[#This Row],[Codigo Finca]],Tabla4[Codigo Finca],Tabla4[Precio Caja Segunda],0)</f>
        <v>1000</v>
      </c>
      <c r="K163" s="277">
        <f>_xlfn.XLOOKUP(Tabla14[[#This Row],[Codigo Finca]],Tabla4[Codigo Finca],Tabla4[Precio Rechazo],0)</f>
        <v>500</v>
      </c>
      <c r="L163" s="277">
        <f t="shared" si="192"/>
        <v>0</v>
      </c>
      <c r="M163" s="278">
        <f t="shared" si="193"/>
        <v>0</v>
      </c>
      <c r="N163" s="283"/>
      <c r="O163" s="279"/>
      <c r="P163" s="280">
        <f t="shared" si="194"/>
        <v>0</v>
      </c>
      <c r="Q163" s="281">
        <f t="shared" si="195"/>
        <v>0</v>
      </c>
      <c r="R163" s="282">
        <f t="shared" si="196"/>
        <v>0</v>
      </c>
      <c r="S163" s="283"/>
      <c r="T163" s="275">
        <v>12</v>
      </c>
      <c r="U163" s="280">
        <f t="shared" si="197"/>
        <v>124</v>
      </c>
      <c r="V163" s="281">
        <f t="shared" si="198"/>
        <v>10.333333333333334</v>
      </c>
      <c r="W163" s="282">
        <f t="shared" si="199"/>
        <v>15500</v>
      </c>
      <c r="X163" s="283"/>
      <c r="Y163" s="275"/>
      <c r="Z163" s="280">
        <f>Tabla14[[#This Row],[Cajas Segunda]]</f>
        <v>0</v>
      </c>
      <c r="AA163" s="281">
        <f t="shared" si="200"/>
        <v>0</v>
      </c>
      <c r="AB163" s="284">
        <f t="shared" si="201"/>
        <v>0</v>
      </c>
      <c r="AC163" s="285">
        <v>27</v>
      </c>
      <c r="AD163" s="286"/>
      <c r="AE163" s="286"/>
      <c r="AF163" s="286"/>
      <c r="AG163" s="286">
        <v>12</v>
      </c>
      <c r="AH163" s="280">
        <f t="shared" si="202"/>
        <v>27</v>
      </c>
      <c r="AI163" s="281">
        <f t="shared" si="203"/>
        <v>2.25</v>
      </c>
      <c r="AJ163" s="282">
        <f t="shared" si="204"/>
        <v>1125</v>
      </c>
      <c r="AK163" s="287">
        <f>Tabla14[[#This Row],[Cajas por Personas]]</f>
        <v>0</v>
      </c>
      <c r="AL163" s="288">
        <f>Tabla14[[#This Row],[Valor Precorte Pesona]]</f>
        <v>0</v>
      </c>
      <c r="AM163" s="294">
        <f>Tabla14[[#This Row],[Personas Precorte]]</f>
        <v>0</v>
      </c>
      <c r="AN163" s="308">
        <f>Tabla14[[#This Row],[Valor Precorte Pesona Precorte]]*Tabla14[[#This Row],[Perzonas Precorte]]</f>
        <v>0</v>
      </c>
      <c r="AO163" s="287">
        <f>Tabla14[[#This Row],[Cajas por Personas2]]</f>
        <v>10.333333333333334</v>
      </c>
      <c r="AP163" s="288">
        <f>Tabla14[[#This Row],[Valor Embarque Pesona]]</f>
        <v>15500</v>
      </c>
      <c r="AQ163" s="295">
        <f>Tabla14[[#This Row],[Personas Precorte2]]</f>
        <v>12</v>
      </c>
      <c r="AR163" s="296">
        <f>Tabla14[[#This Row],[Valor Embarque Pesona3]]*Tabla14[[#This Row],[Perzona Primera]]</f>
        <v>186000</v>
      </c>
      <c r="AS163" s="287">
        <f>Tabla14[[#This Row],[Columna2]]</f>
        <v>0</v>
      </c>
      <c r="AT163" s="288">
        <f>Tabla14[[#This Row],[Columna1]]</f>
        <v>0</v>
      </c>
      <c r="AU163" s="302">
        <f>Tabla14[[#This Row],[Personas Intervienen]]</f>
        <v>0</v>
      </c>
      <c r="AV163" s="297">
        <f>Tabla14[[#This Row],[Valor Embarque Pesona5]]*Tabla14[[#This Row],[Presonas Segunda]]</f>
        <v>0</v>
      </c>
      <c r="AW163" s="287">
        <f>Tabla14[[#This Row],[Bolsas Por Personas]]</f>
        <v>2.25</v>
      </c>
      <c r="AX163" s="288">
        <f>Tabla14[[#This Row],[Valor bolsas Pesona]]</f>
        <v>1125</v>
      </c>
      <c r="AY163" s="309">
        <f>Tabla14[[#This Row],[Personas13]]</f>
        <v>12</v>
      </c>
      <c r="AZ163" s="310">
        <f>Tabla14[[#This Row],[Valor bolsas Pesona2]]*Tabla14[[#This Row],[Personas Rechazo]]</f>
        <v>13500</v>
      </c>
      <c r="BA163" s="311">
        <f>+Tabla14[[#This Row],[Total Valor Segunda]]+Tabla14[[#This Row],[Total Valor Primera]]+Tabla14[[#This Row],[Total Valor Precorte]]</f>
        <v>186000</v>
      </c>
      <c r="BB163" s="292">
        <f>Tabla14[[#This Row],[Valor bolsas Pesona2]]+Tabla14[[#This Row],[Valor Embarque Pesona3]]</f>
        <v>16625</v>
      </c>
      <c r="BC163" s="332">
        <v>30000</v>
      </c>
      <c r="BD163" s="292">
        <f>Tabla14[[#This Row],[VALOR GANADO]]-Tabla14[[#This Row],[REAJUSTADO]]</f>
        <v>-13375</v>
      </c>
      <c r="BE163" s="250">
        <f>Tabla14[[#This Row],[CUANTO SE REAJUSTA]]*Tabla14[[#This Row],[Personas Rechazo]]</f>
        <v>-160500</v>
      </c>
      <c r="BF163" s="250">
        <f>Tabla14[[#This Row],[REAJUSTADO]]/25000</f>
        <v>1.2</v>
      </c>
      <c r="BG163" s="302">
        <f>Tabla14[[#This Row],[REAJUSTADO]]*Tabla14[[#This Row],[Personas Rechazo]]</f>
        <v>360000</v>
      </c>
      <c r="BH163" s="292" t="str">
        <f>Tabla14[[#This Row],[Finca]]</f>
        <v>San Pedro</v>
      </c>
      <c r="BI163" s="250">
        <v>4</v>
      </c>
      <c r="BJ163" s="332">
        <f>Tabla14[[#This Row],[Numero de Ocacionales]]*Tabla14[[#This Row],[REAJUSTADO]]</f>
        <v>120000</v>
      </c>
      <c r="BK163" s="332"/>
      <c r="BL163" s="332"/>
      <c r="BM163" s="332">
        <f>+Tabla14[[#This Row],[CUANTO SE REAJUSTA]]*3</f>
        <v>-40125</v>
      </c>
      <c r="BN163" s="334"/>
      <c r="BO163" s="334"/>
      <c r="BP163" s="334"/>
    </row>
    <row r="164" spans="3:68" hidden="1" x14ac:dyDescent="0.25">
      <c r="C164" s="274">
        <v>44775</v>
      </c>
      <c r="D164" s="507">
        <f>YEAR(Tabla14[[#This Row],[Fecha]])</f>
        <v>2022</v>
      </c>
      <c r="E164" s="313">
        <f>IF(Tabla14[[#This Row],[Fecha]]&gt;0,_xlfn.ISOWEEKNUM(Tabla14[[#This Row],[Fecha]]),0)</f>
        <v>31</v>
      </c>
      <c r="F164" s="283">
        <v>35</v>
      </c>
      <c r="G164" s="275" t="s">
        <v>153</v>
      </c>
      <c r="H164" s="325" t="str">
        <f>_xlfn.XLOOKUP(Tabla14[[#This Row],[Codigo Finca]],Tabla4[Codigo Finca],Tabla4[Nombre Finca],"")</f>
        <v>Uveros</v>
      </c>
      <c r="I164" s="277">
        <f>_xlfn.XLOOKUP(Tabla14[[#This Row],[Codigo Finca]],Tabla4[Codigo Finca],Tabla4[Precio Caja],0)</f>
        <v>1500</v>
      </c>
      <c r="J164" s="277">
        <f>_xlfn.XLOOKUP(Tabla14[[#This Row],[Codigo Finca]],Tabla4[Codigo Finca],Tabla4[Precio Caja Segunda],0)</f>
        <v>1000</v>
      </c>
      <c r="K164" s="277">
        <f>_xlfn.XLOOKUP(Tabla14[[#This Row],[Codigo Finca]],Tabla4[Codigo Finca],Tabla4[Precio Rechazo],0)</f>
        <v>500</v>
      </c>
      <c r="L164" s="277">
        <f t="shared" si="192"/>
        <v>0</v>
      </c>
      <c r="M164" s="278">
        <f t="shared" si="193"/>
        <v>0</v>
      </c>
      <c r="N164" s="283"/>
      <c r="O164" s="279"/>
      <c r="P164" s="280">
        <f t="shared" si="194"/>
        <v>0</v>
      </c>
      <c r="Q164" s="281">
        <f t="shared" si="195"/>
        <v>0</v>
      </c>
      <c r="R164" s="282">
        <f t="shared" si="196"/>
        <v>0</v>
      </c>
      <c r="S164" s="283"/>
      <c r="T164" s="275">
        <v>5</v>
      </c>
      <c r="U164" s="280">
        <f t="shared" si="197"/>
        <v>35</v>
      </c>
      <c r="V164" s="281">
        <f t="shared" si="198"/>
        <v>7</v>
      </c>
      <c r="W164" s="282">
        <f t="shared" si="199"/>
        <v>10500</v>
      </c>
      <c r="X164" s="283"/>
      <c r="Y164" s="275"/>
      <c r="Z164" s="280">
        <f>Tabla14[[#This Row],[Cajas Segunda]]</f>
        <v>0</v>
      </c>
      <c r="AA164" s="281">
        <f t="shared" si="200"/>
        <v>0</v>
      </c>
      <c r="AB164" s="284">
        <f t="shared" si="201"/>
        <v>0</v>
      </c>
      <c r="AC164" s="285">
        <v>13</v>
      </c>
      <c r="AD164" s="286"/>
      <c r="AE164" s="286"/>
      <c r="AF164" s="286"/>
      <c r="AG164" s="286">
        <v>5</v>
      </c>
      <c r="AH164" s="280">
        <f t="shared" si="202"/>
        <v>13</v>
      </c>
      <c r="AI164" s="281">
        <f t="shared" si="203"/>
        <v>2.6</v>
      </c>
      <c r="AJ164" s="282">
        <f t="shared" si="204"/>
        <v>1300</v>
      </c>
      <c r="AK164" s="287">
        <f>Tabla14[[#This Row],[Cajas por Personas]]</f>
        <v>0</v>
      </c>
      <c r="AL164" s="288">
        <f>Tabla14[[#This Row],[Valor Precorte Pesona]]</f>
        <v>0</v>
      </c>
      <c r="AM164" s="294">
        <f>Tabla14[[#This Row],[Personas Precorte]]</f>
        <v>0</v>
      </c>
      <c r="AN164" s="308">
        <f>Tabla14[[#This Row],[Valor Precorte Pesona Precorte]]*Tabla14[[#This Row],[Perzonas Precorte]]</f>
        <v>0</v>
      </c>
      <c r="AO164" s="287">
        <f>Tabla14[[#This Row],[Cajas por Personas2]]</f>
        <v>7</v>
      </c>
      <c r="AP164" s="288">
        <f>Tabla14[[#This Row],[Valor Embarque Pesona]]</f>
        <v>10500</v>
      </c>
      <c r="AQ164" s="295">
        <f>Tabla14[[#This Row],[Personas Precorte2]]</f>
        <v>5</v>
      </c>
      <c r="AR164" s="296">
        <f>Tabla14[[#This Row],[Valor Embarque Pesona3]]*Tabla14[[#This Row],[Perzona Primera]]</f>
        <v>52500</v>
      </c>
      <c r="AS164" s="287">
        <f>Tabla14[[#This Row],[Columna2]]</f>
        <v>0</v>
      </c>
      <c r="AT164" s="288">
        <f>Tabla14[[#This Row],[Columna1]]</f>
        <v>0</v>
      </c>
      <c r="AU164" s="302">
        <f>Tabla14[[#This Row],[Personas Intervienen]]</f>
        <v>0</v>
      </c>
      <c r="AV164" s="297">
        <f>Tabla14[[#This Row],[Valor Embarque Pesona5]]*Tabla14[[#This Row],[Presonas Segunda]]</f>
        <v>0</v>
      </c>
      <c r="AW164" s="287">
        <f>Tabla14[[#This Row],[Bolsas Por Personas]]</f>
        <v>2.6</v>
      </c>
      <c r="AX164" s="288">
        <f>Tabla14[[#This Row],[Valor bolsas Pesona]]</f>
        <v>1300</v>
      </c>
      <c r="AY164" s="309">
        <f>Tabla14[[#This Row],[Personas13]]</f>
        <v>5</v>
      </c>
      <c r="AZ164" s="310">
        <f>Tabla14[[#This Row],[Valor bolsas Pesona2]]*Tabla14[[#This Row],[Personas Rechazo]]</f>
        <v>6500</v>
      </c>
      <c r="BA164" s="311">
        <f>+Tabla14[[#This Row],[Total Valor Segunda]]+Tabla14[[#This Row],[Total Valor Primera]]+Tabla14[[#This Row],[Total Valor Precorte]]</f>
        <v>52500</v>
      </c>
      <c r="BB164" s="292">
        <f>Tabla14[[#This Row],[Valor bolsas Pesona2]]+Tabla14[[#This Row],[Valor Embarque Pesona3]]</f>
        <v>11800</v>
      </c>
      <c r="BC164" s="332">
        <v>30000</v>
      </c>
      <c r="BD164" s="292">
        <f>Tabla14[[#This Row],[VALOR GANADO]]-Tabla14[[#This Row],[REAJUSTADO]]</f>
        <v>-18200</v>
      </c>
      <c r="BE164" s="250">
        <f>Tabla14[[#This Row],[CUANTO SE REAJUSTA]]*Tabla14[[#This Row],[Personas Rechazo]]</f>
        <v>-91000</v>
      </c>
      <c r="BF164" s="250">
        <f>Tabla14[[#This Row],[REAJUSTADO]]/25000</f>
        <v>1.2</v>
      </c>
      <c r="BG164" s="302">
        <f>Tabla14[[#This Row],[REAJUSTADO]]*Tabla14[[#This Row],[Personas Rechazo]]</f>
        <v>150000</v>
      </c>
      <c r="BH164" s="292" t="str">
        <f>Tabla14[[#This Row],[Finca]]</f>
        <v>Uveros</v>
      </c>
      <c r="BI164" s="250">
        <v>4</v>
      </c>
      <c r="BJ164" s="332">
        <f>Tabla14[[#This Row],[Numero de Ocacionales]]*Tabla14[[#This Row],[REAJUSTADO]]</f>
        <v>120000</v>
      </c>
      <c r="BK164" s="332"/>
      <c r="BL164" s="332"/>
      <c r="BM164" s="332">
        <f>+Tabla14[[#This Row],[CUANTO SE REAJUSTA]]*3</f>
        <v>-54600</v>
      </c>
      <c r="BN164" s="334"/>
      <c r="BO164" s="334"/>
      <c r="BP164" s="334"/>
    </row>
    <row r="165" spans="3:68" hidden="1" x14ac:dyDescent="0.25">
      <c r="C165" s="274">
        <v>44776</v>
      </c>
      <c r="D165" s="507">
        <f>YEAR(Tabla14[[#This Row],[Fecha]])</f>
        <v>2022</v>
      </c>
      <c r="E165" s="313">
        <f>IF(Tabla14[[#This Row],[Fecha]]&gt;0,_xlfn.ISOWEEKNUM(Tabla14[[#This Row],[Fecha]]),0)</f>
        <v>31</v>
      </c>
      <c r="F165" s="283">
        <v>73</v>
      </c>
      <c r="G165" s="275" t="s">
        <v>155</v>
      </c>
      <c r="H165" s="325" t="str">
        <f>_xlfn.XLOOKUP(Tabla14[[#This Row],[Codigo Finca]],Tabla4[Codigo Finca],Tabla4[Nombre Finca],"")</f>
        <v>Damaquiel</v>
      </c>
      <c r="I165" s="277">
        <f>_xlfn.XLOOKUP(Tabla14[[#This Row],[Codigo Finca]],Tabla4[Codigo Finca],Tabla4[Precio Caja],0)</f>
        <v>1500</v>
      </c>
      <c r="J165" s="277">
        <f>_xlfn.XLOOKUP(Tabla14[[#This Row],[Codigo Finca]],Tabla4[Codigo Finca],Tabla4[Precio Caja Segunda],0)</f>
        <v>1000</v>
      </c>
      <c r="K165" s="277">
        <f>_xlfn.XLOOKUP(Tabla14[[#This Row],[Codigo Finca]],Tabla4[Codigo Finca],Tabla4[Precio Rechazo],0)</f>
        <v>500</v>
      </c>
      <c r="L165" s="277">
        <f t="shared" ref="L165:L171" si="205">S165+N165</f>
        <v>0</v>
      </c>
      <c r="M165" s="278">
        <f t="shared" ref="M165:M171" si="206">IF(F165&gt;0,L165/F165,0)</f>
        <v>0</v>
      </c>
      <c r="N165" s="283"/>
      <c r="O165" s="279"/>
      <c r="P165" s="280">
        <f t="shared" ref="P165:P171" si="207">IF(N165&gt;0,(N165/M165)/2,0)</f>
        <v>0</v>
      </c>
      <c r="Q165" s="281">
        <f t="shared" ref="Q165:Q171" si="208">IF(O165&gt;0,P165/O165,0)</f>
        <v>0</v>
      </c>
      <c r="R165" s="282">
        <f t="shared" ref="R165:R171" si="209">IF(I165&gt;0,Q165*I165,)</f>
        <v>0</v>
      </c>
      <c r="S165" s="283"/>
      <c r="T165" s="275">
        <v>9</v>
      </c>
      <c r="U165" s="280">
        <f t="shared" ref="U165:U171" si="210">F165-P165</f>
        <v>73</v>
      </c>
      <c r="V165" s="281">
        <f t="shared" ref="V165:V171" si="211">IF(T165&gt;0,U165/T165,0)</f>
        <v>8.1111111111111107</v>
      </c>
      <c r="W165" s="282">
        <f t="shared" ref="W165:W171" si="212">IF(T165&gt;0,(U165*I165)/T165,0)</f>
        <v>12166.666666666666</v>
      </c>
      <c r="X165" s="283"/>
      <c r="Y165" s="275"/>
      <c r="Z165" s="280">
        <f>Tabla14[[#This Row],[Cajas Segunda]]</f>
        <v>0</v>
      </c>
      <c r="AA165" s="281">
        <f t="shared" ref="AA165:AA171" si="213">IF(Y165&gt;0,Z165/Y165,0)</f>
        <v>0</v>
      </c>
      <c r="AB165" s="284">
        <f t="shared" ref="AB165:AB171" si="214">IF(Y165&gt;0,(Z165*J165)/Y165,0)</f>
        <v>0</v>
      </c>
      <c r="AC165" s="285">
        <v>25</v>
      </c>
      <c r="AD165" s="286"/>
      <c r="AE165" s="286"/>
      <c r="AF165" s="286"/>
      <c r="AG165" s="286">
        <v>9</v>
      </c>
      <c r="AH165" s="280">
        <f t="shared" ref="AH165:AH171" si="215">IF(AND(AC165&gt;0,AE165=0,AF165=0,AD165=0),AC165,IF(AND(AC165=0,AE165&gt;0,AF165&gt;0,AD165=0),AE165*AF165/25,IF(AND(AC165=0,AE165=0,AF165=0,AD165&gt;0),AD165/25,0)))</f>
        <v>25</v>
      </c>
      <c r="AI165" s="281">
        <f t="shared" ref="AI165:AI171" si="216">IF(AG165&gt;0,AH165/AG165,0)</f>
        <v>2.7777777777777777</v>
      </c>
      <c r="AJ165" s="282">
        <f t="shared" ref="AJ165:AJ171" si="217">AI165*K165</f>
        <v>1388.8888888888889</v>
      </c>
      <c r="AK165" s="287">
        <f>Tabla14[[#This Row],[Cajas por Personas]]</f>
        <v>0</v>
      </c>
      <c r="AL165" s="288">
        <f>Tabla14[[#This Row],[Valor Precorte Pesona]]</f>
        <v>0</v>
      </c>
      <c r="AM165" s="294">
        <f>Tabla14[[#This Row],[Personas Precorte]]</f>
        <v>0</v>
      </c>
      <c r="AN165" s="308">
        <f>Tabla14[[#This Row],[Valor Precorte Pesona Precorte]]*Tabla14[[#This Row],[Perzonas Precorte]]</f>
        <v>0</v>
      </c>
      <c r="AO165" s="287">
        <f>Tabla14[[#This Row],[Cajas por Personas2]]</f>
        <v>8.1111111111111107</v>
      </c>
      <c r="AP165" s="288">
        <f>Tabla14[[#This Row],[Valor Embarque Pesona]]</f>
        <v>12166.666666666666</v>
      </c>
      <c r="AQ165" s="295">
        <f>Tabla14[[#This Row],[Personas Precorte2]]</f>
        <v>9</v>
      </c>
      <c r="AR165" s="296">
        <f>Tabla14[[#This Row],[Valor Embarque Pesona3]]*Tabla14[[#This Row],[Perzona Primera]]</f>
        <v>109500</v>
      </c>
      <c r="AS165" s="287">
        <f>Tabla14[[#This Row],[Columna2]]</f>
        <v>0</v>
      </c>
      <c r="AT165" s="288">
        <f>Tabla14[[#This Row],[Columna1]]</f>
        <v>0</v>
      </c>
      <c r="AU165" s="302">
        <f>Tabla14[[#This Row],[Personas Intervienen]]</f>
        <v>0</v>
      </c>
      <c r="AV165" s="297">
        <f>Tabla14[[#This Row],[Valor Embarque Pesona5]]*Tabla14[[#This Row],[Presonas Segunda]]</f>
        <v>0</v>
      </c>
      <c r="AW165" s="287">
        <f>Tabla14[[#This Row],[Bolsas Por Personas]]</f>
        <v>2.7777777777777777</v>
      </c>
      <c r="AX165" s="288">
        <f>Tabla14[[#This Row],[Valor bolsas Pesona]]</f>
        <v>1388.8888888888889</v>
      </c>
      <c r="AY165" s="309">
        <f>Tabla14[[#This Row],[Personas13]]</f>
        <v>9</v>
      </c>
      <c r="AZ165" s="310">
        <f>Tabla14[[#This Row],[Valor bolsas Pesona2]]*Tabla14[[#This Row],[Personas Rechazo]]</f>
        <v>12500</v>
      </c>
      <c r="BA165" s="311">
        <f>+Tabla14[[#This Row],[Total Valor Segunda]]+Tabla14[[#This Row],[Total Valor Primera]]+Tabla14[[#This Row],[Total Valor Precorte]]</f>
        <v>109500</v>
      </c>
      <c r="BB165" s="292">
        <f>Tabla14[[#This Row],[Valor bolsas Pesona2]]+Tabla14[[#This Row],[Valor Embarque Pesona3]]</f>
        <v>13555.555555555555</v>
      </c>
      <c r="BC165" s="332">
        <v>30000</v>
      </c>
      <c r="BD165" s="292">
        <f>Tabla14[[#This Row],[VALOR GANADO]]-Tabla14[[#This Row],[REAJUSTADO]]</f>
        <v>-16444.444444444445</v>
      </c>
      <c r="BE165" s="250">
        <f>Tabla14[[#This Row],[CUANTO SE REAJUSTA]]*Tabla14[[#This Row],[Personas Rechazo]]</f>
        <v>-148000</v>
      </c>
      <c r="BF165" s="250">
        <f>Tabla14[[#This Row],[REAJUSTADO]]/25000</f>
        <v>1.2</v>
      </c>
      <c r="BG165" s="302">
        <f>Tabla14[[#This Row],[REAJUSTADO]]*Tabla14[[#This Row],[Personas Rechazo]]</f>
        <v>270000</v>
      </c>
      <c r="BH165" s="292" t="str">
        <f>Tabla14[[#This Row],[Finca]]</f>
        <v>Damaquiel</v>
      </c>
      <c r="BI165" s="250">
        <v>7</v>
      </c>
      <c r="BJ165" s="332">
        <f>Tabla14[[#This Row],[Numero de Ocacionales]]*Tabla14[[#This Row],[REAJUSTADO]]</f>
        <v>210000</v>
      </c>
      <c r="BK165" s="332"/>
      <c r="BL165" s="332"/>
      <c r="BM165" s="332">
        <f>+Tabla14[[#This Row],[CUANTO SE REAJUSTA]]*3</f>
        <v>-49333.333333333336</v>
      </c>
      <c r="BN165" s="334"/>
      <c r="BO165" s="334"/>
      <c r="BP165" s="334"/>
    </row>
    <row r="166" spans="3:68" hidden="1" x14ac:dyDescent="0.25">
      <c r="C166" s="274">
        <v>44776</v>
      </c>
      <c r="D166" s="507">
        <f>YEAR(Tabla14[[#This Row],[Fecha]])</f>
        <v>2022</v>
      </c>
      <c r="E166" s="313">
        <f>IF(Tabla14[[#This Row],[Fecha]]&gt;0,_xlfn.ISOWEEKNUM(Tabla14[[#This Row],[Fecha]]),0)</f>
        <v>31</v>
      </c>
      <c r="F166" s="283">
        <v>216</v>
      </c>
      <c r="G166" s="275" t="s">
        <v>152</v>
      </c>
      <c r="H166" s="325" t="str">
        <f>_xlfn.XLOOKUP(Tabla14[[#This Row],[Codigo Finca]],Tabla4[Codigo Finca],Tabla4[Nombre Finca],"")</f>
        <v>San Pedro</v>
      </c>
      <c r="I166" s="277">
        <f>_xlfn.XLOOKUP(Tabla14[[#This Row],[Codigo Finca]],Tabla4[Codigo Finca],Tabla4[Precio Caja],0)</f>
        <v>1500</v>
      </c>
      <c r="J166" s="277">
        <f>_xlfn.XLOOKUP(Tabla14[[#This Row],[Codigo Finca]],Tabla4[Codigo Finca],Tabla4[Precio Caja Segunda],0)</f>
        <v>1000</v>
      </c>
      <c r="K166" s="277">
        <f>_xlfn.XLOOKUP(Tabla14[[#This Row],[Codigo Finca]],Tabla4[Codigo Finca],Tabla4[Precio Rechazo],0)</f>
        <v>500</v>
      </c>
      <c r="L166" s="277">
        <f t="shared" si="205"/>
        <v>0</v>
      </c>
      <c r="M166" s="278">
        <f t="shared" si="206"/>
        <v>0</v>
      </c>
      <c r="N166" s="283"/>
      <c r="O166" s="279"/>
      <c r="P166" s="280">
        <f t="shared" si="207"/>
        <v>0</v>
      </c>
      <c r="Q166" s="281">
        <f t="shared" si="208"/>
        <v>0</v>
      </c>
      <c r="R166" s="282">
        <f t="shared" si="209"/>
        <v>0</v>
      </c>
      <c r="S166" s="283"/>
      <c r="T166" s="275">
        <v>15</v>
      </c>
      <c r="U166" s="280">
        <f t="shared" si="210"/>
        <v>216</v>
      </c>
      <c r="V166" s="281">
        <f t="shared" si="211"/>
        <v>14.4</v>
      </c>
      <c r="W166" s="282">
        <f t="shared" si="212"/>
        <v>21600</v>
      </c>
      <c r="X166" s="283"/>
      <c r="Y166" s="275"/>
      <c r="Z166" s="280">
        <f>Tabla14[[#This Row],[Cajas Segunda]]</f>
        <v>0</v>
      </c>
      <c r="AA166" s="281">
        <f t="shared" si="213"/>
        <v>0</v>
      </c>
      <c r="AB166" s="284">
        <f t="shared" si="214"/>
        <v>0</v>
      </c>
      <c r="AC166" s="285">
        <v>89</v>
      </c>
      <c r="AD166" s="286"/>
      <c r="AE166" s="286"/>
      <c r="AF166" s="286"/>
      <c r="AG166" s="286">
        <v>15</v>
      </c>
      <c r="AH166" s="280">
        <f t="shared" si="215"/>
        <v>89</v>
      </c>
      <c r="AI166" s="281">
        <f t="shared" si="216"/>
        <v>5.9333333333333336</v>
      </c>
      <c r="AJ166" s="282">
        <f t="shared" si="217"/>
        <v>2966.666666666667</v>
      </c>
      <c r="AK166" s="287">
        <f>Tabla14[[#This Row],[Cajas por Personas]]</f>
        <v>0</v>
      </c>
      <c r="AL166" s="288">
        <f>Tabla14[[#This Row],[Valor Precorte Pesona]]</f>
        <v>0</v>
      </c>
      <c r="AM166" s="294">
        <f>Tabla14[[#This Row],[Personas Precorte]]</f>
        <v>0</v>
      </c>
      <c r="AN166" s="308">
        <f>Tabla14[[#This Row],[Valor Precorte Pesona Precorte]]*Tabla14[[#This Row],[Perzonas Precorte]]</f>
        <v>0</v>
      </c>
      <c r="AO166" s="287">
        <f>Tabla14[[#This Row],[Cajas por Personas2]]</f>
        <v>14.4</v>
      </c>
      <c r="AP166" s="288">
        <f>Tabla14[[#This Row],[Valor Embarque Pesona]]</f>
        <v>21600</v>
      </c>
      <c r="AQ166" s="295">
        <f>Tabla14[[#This Row],[Personas Precorte2]]</f>
        <v>15</v>
      </c>
      <c r="AR166" s="296">
        <f>Tabla14[[#This Row],[Valor Embarque Pesona3]]*Tabla14[[#This Row],[Perzona Primera]]</f>
        <v>324000</v>
      </c>
      <c r="AS166" s="287">
        <f>Tabla14[[#This Row],[Columna2]]</f>
        <v>0</v>
      </c>
      <c r="AT166" s="288">
        <f>Tabla14[[#This Row],[Columna1]]</f>
        <v>0</v>
      </c>
      <c r="AU166" s="302">
        <f>Tabla14[[#This Row],[Personas Intervienen]]</f>
        <v>0</v>
      </c>
      <c r="AV166" s="297">
        <f>Tabla14[[#This Row],[Valor Embarque Pesona5]]*Tabla14[[#This Row],[Presonas Segunda]]</f>
        <v>0</v>
      </c>
      <c r="AW166" s="287">
        <f>Tabla14[[#This Row],[Bolsas Por Personas]]</f>
        <v>5.9333333333333336</v>
      </c>
      <c r="AX166" s="288">
        <f>Tabla14[[#This Row],[Valor bolsas Pesona]]</f>
        <v>2966.666666666667</v>
      </c>
      <c r="AY166" s="309">
        <f>Tabla14[[#This Row],[Personas13]]</f>
        <v>15</v>
      </c>
      <c r="AZ166" s="310">
        <f>Tabla14[[#This Row],[Valor bolsas Pesona2]]*Tabla14[[#This Row],[Personas Rechazo]]</f>
        <v>44500.000000000007</v>
      </c>
      <c r="BA166" s="311">
        <f>+Tabla14[[#This Row],[Total Valor Segunda]]+Tabla14[[#This Row],[Total Valor Primera]]+Tabla14[[#This Row],[Total Valor Precorte]]</f>
        <v>324000</v>
      </c>
      <c r="BB166" s="292">
        <f>Tabla14[[#This Row],[Valor bolsas Pesona2]]+Tabla14[[#This Row],[Valor Embarque Pesona3]]</f>
        <v>24566.666666666668</v>
      </c>
      <c r="BC166" s="332">
        <v>30000</v>
      </c>
      <c r="BD166" s="292">
        <f>Tabla14[[#This Row],[VALOR GANADO]]-Tabla14[[#This Row],[REAJUSTADO]]</f>
        <v>-5433.3333333333321</v>
      </c>
      <c r="BE166" s="250">
        <f>Tabla14[[#This Row],[CUANTO SE REAJUSTA]]*Tabla14[[#This Row],[Personas Rechazo]]</f>
        <v>-81499.999999999985</v>
      </c>
      <c r="BF166" s="250">
        <f>Tabla14[[#This Row],[REAJUSTADO]]/25000</f>
        <v>1.2</v>
      </c>
      <c r="BG166" s="302">
        <f>Tabla14[[#This Row],[REAJUSTADO]]*Tabla14[[#This Row],[Personas Rechazo]]</f>
        <v>450000</v>
      </c>
      <c r="BH166" s="292" t="str">
        <f>Tabla14[[#This Row],[Finca]]</f>
        <v>San Pedro</v>
      </c>
      <c r="BI166" s="250">
        <v>4</v>
      </c>
      <c r="BJ166" s="332">
        <f>Tabla14[[#This Row],[Numero de Ocacionales]]*Tabla14[[#This Row],[REAJUSTADO]]</f>
        <v>120000</v>
      </c>
      <c r="BK166" s="332"/>
      <c r="BL166" s="332"/>
      <c r="BM166" s="332">
        <f>+Tabla14[[#This Row],[CUANTO SE REAJUSTA]]*3</f>
        <v>-16299.999999999996</v>
      </c>
      <c r="BN166" s="334"/>
      <c r="BO166" s="334"/>
      <c r="BP166" s="334"/>
    </row>
    <row r="167" spans="3:68" hidden="1" x14ac:dyDescent="0.25">
      <c r="C167" s="274">
        <v>44782</v>
      </c>
      <c r="D167" s="507">
        <f>YEAR(Tabla14[[#This Row],[Fecha]])</f>
        <v>2022</v>
      </c>
      <c r="E167" s="313">
        <f>IF(Tabla14[[#This Row],[Fecha]]&gt;0,_xlfn.ISOWEEKNUM(Tabla14[[#This Row],[Fecha]]),0)</f>
        <v>32</v>
      </c>
      <c r="F167" s="283">
        <v>195</v>
      </c>
      <c r="G167" s="275" t="s">
        <v>152</v>
      </c>
      <c r="H167" s="325" t="str">
        <f>_xlfn.XLOOKUP(Tabla14[[#This Row],[Codigo Finca]],Tabla4[Codigo Finca],Tabla4[Nombre Finca],"")</f>
        <v>San Pedro</v>
      </c>
      <c r="I167" s="277">
        <f>_xlfn.XLOOKUP(Tabla14[[#This Row],[Codigo Finca]],Tabla4[Codigo Finca],Tabla4[Precio Caja],0)</f>
        <v>1500</v>
      </c>
      <c r="J167" s="277">
        <f>_xlfn.XLOOKUP(Tabla14[[#This Row],[Codigo Finca]],Tabla4[Codigo Finca],Tabla4[Precio Caja Segunda],0)</f>
        <v>1000</v>
      </c>
      <c r="K167" s="277">
        <f>_xlfn.XLOOKUP(Tabla14[[#This Row],[Codigo Finca]],Tabla4[Codigo Finca],Tabla4[Precio Rechazo],0)</f>
        <v>500</v>
      </c>
      <c r="L167" s="277">
        <f t="shared" si="205"/>
        <v>0</v>
      </c>
      <c r="M167" s="278">
        <f t="shared" si="206"/>
        <v>0</v>
      </c>
      <c r="N167" s="283"/>
      <c r="O167" s="279"/>
      <c r="P167" s="280">
        <f t="shared" si="207"/>
        <v>0</v>
      </c>
      <c r="Q167" s="281">
        <f t="shared" si="208"/>
        <v>0</v>
      </c>
      <c r="R167" s="282">
        <f t="shared" si="209"/>
        <v>0</v>
      </c>
      <c r="S167" s="283"/>
      <c r="T167" s="275">
        <v>13</v>
      </c>
      <c r="U167" s="280">
        <f t="shared" si="210"/>
        <v>195</v>
      </c>
      <c r="V167" s="281">
        <f t="shared" si="211"/>
        <v>15</v>
      </c>
      <c r="W167" s="282">
        <f t="shared" si="212"/>
        <v>22500</v>
      </c>
      <c r="X167" s="283"/>
      <c r="Y167" s="275"/>
      <c r="Z167" s="280">
        <f>Tabla14[[#This Row],[Cajas Segunda]]</f>
        <v>0</v>
      </c>
      <c r="AA167" s="281">
        <f t="shared" si="213"/>
        <v>0</v>
      </c>
      <c r="AB167" s="284">
        <f t="shared" si="214"/>
        <v>0</v>
      </c>
      <c r="AC167" s="285">
        <v>53</v>
      </c>
      <c r="AD167" s="286"/>
      <c r="AE167" s="286"/>
      <c r="AF167" s="286"/>
      <c r="AG167" s="286">
        <v>13</v>
      </c>
      <c r="AH167" s="280">
        <f t="shared" si="215"/>
        <v>53</v>
      </c>
      <c r="AI167" s="281">
        <f t="shared" si="216"/>
        <v>4.0769230769230766</v>
      </c>
      <c r="AJ167" s="282">
        <f t="shared" si="217"/>
        <v>2038.4615384615383</v>
      </c>
      <c r="AK167" s="287">
        <f>Tabla14[[#This Row],[Cajas por Personas]]</f>
        <v>0</v>
      </c>
      <c r="AL167" s="288">
        <f>Tabla14[[#This Row],[Valor Precorte Pesona]]</f>
        <v>0</v>
      </c>
      <c r="AM167" s="294">
        <f>Tabla14[[#This Row],[Personas Precorte]]</f>
        <v>0</v>
      </c>
      <c r="AN167" s="308">
        <f>Tabla14[[#This Row],[Valor Precorte Pesona Precorte]]*Tabla14[[#This Row],[Perzonas Precorte]]</f>
        <v>0</v>
      </c>
      <c r="AO167" s="287">
        <f>Tabla14[[#This Row],[Cajas por Personas2]]</f>
        <v>15</v>
      </c>
      <c r="AP167" s="288">
        <f>Tabla14[[#This Row],[Valor Embarque Pesona]]</f>
        <v>22500</v>
      </c>
      <c r="AQ167" s="295">
        <f>Tabla14[[#This Row],[Personas Precorte2]]</f>
        <v>13</v>
      </c>
      <c r="AR167" s="296">
        <f>Tabla14[[#This Row],[Valor Embarque Pesona3]]*Tabla14[[#This Row],[Perzona Primera]]</f>
        <v>292500</v>
      </c>
      <c r="AS167" s="287">
        <f>Tabla14[[#This Row],[Columna2]]</f>
        <v>0</v>
      </c>
      <c r="AT167" s="288">
        <f>Tabla14[[#This Row],[Columna1]]</f>
        <v>0</v>
      </c>
      <c r="AU167" s="302">
        <f>Tabla14[[#This Row],[Personas Intervienen]]</f>
        <v>0</v>
      </c>
      <c r="AV167" s="297">
        <f>Tabla14[[#This Row],[Valor Embarque Pesona5]]*Tabla14[[#This Row],[Presonas Segunda]]</f>
        <v>0</v>
      </c>
      <c r="AW167" s="287">
        <f>Tabla14[[#This Row],[Bolsas Por Personas]]</f>
        <v>4.0769230769230766</v>
      </c>
      <c r="AX167" s="288">
        <f>Tabla14[[#This Row],[Valor bolsas Pesona]]</f>
        <v>2038.4615384615383</v>
      </c>
      <c r="AY167" s="309">
        <f>Tabla14[[#This Row],[Personas13]]</f>
        <v>13</v>
      </c>
      <c r="AZ167" s="310">
        <f>Tabla14[[#This Row],[Valor bolsas Pesona2]]*Tabla14[[#This Row],[Personas Rechazo]]</f>
        <v>26500</v>
      </c>
      <c r="BA167" s="311">
        <f>+Tabla14[[#This Row],[Total Valor Segunda]]+Tabla14[[#This Row],[Total Valor Primera]]+Tabla14[[#This Row],[Total Valor Precorte]]</f>
        <v>292500</v>
      </c>
      <c r="BB167" s="292">
        <f>Tabla14[[#This Row],[Valor bolsas Pesona2]]+Tabla14[[#This Row],[Valor Embarque Pesona3]]</f>
        <v>24538.461538461539</v>
      </c>
      <c r="BC167" s="332">
        <v>30000</v>
      </c>
      <c r="BD167" s="292">
        <f>Tabla14[[#This Row],[VALOR GANADO]]-Tabla14[[#This Row],[REAJUSTADO]]</f>
        <v>-5461.538461538461</v>
      </c>
      <c r="BE167" s="250">
        <f>Tabla14[[#This Row],[CUANTO SE REAJUSTA]]*Tabla14[[#This Row],[Personas Rechazo]]</f>
        <v>-71000</v>
      </c>
      <c r="BF167" s="250">
        <f>Tabla14[[#This Row],[REAJUSTADO]]/25000</f>
        <v>1.2</v>
      </c>
      <c r="BG167" s="302">
        <f>Tabla14[[#This Row],[REAJUSTADO]]*Tabla14[[#This Row],[Personas Rechazo]]</f>
        <v>390000</v>
      </c>
      <c r="BH167" s="292" t="str">
        <f>Tabla14[[#This Row],[Finca]]</f>
        <v>San Pedro</v>
      </c>
      <c r="BI167" s="250">
        <v>7</v>
      </c>
      <c r="BJ167" s="332">
        <f>Tabla14[[#This Row],[Numero de Ocacionales]]*Tabla14[[#This Row],[REAJUSTADO]]</f>
        <v>210000</v>
      </c>
      <c r="BK167" s="332"/>
      <c r="BL167" s="332"/>
      <c r="BM167" s="332">
        <f>+Tabla14[[#This Row],[CUANTO SE REAJUSTA]]*3</f>
        <v>-16384.615384615383</v>
      </c>
      <c r="BN167" s="334"/>
      <c r="BO167" s="334"/>
      <c r="BP167" s="334"/>
    </row>
    <row r="168" spans="3:68" hidden="1" x14ac:dyDescent="0.25">
      <c r="C168" s="274">
        <v>44782</v>
      </c>
      <c r="D168" s="507">
        <f>YEAR(Tabla14[[#This Row],[Fecha]])</f>
        <v>2022</v>
      </c>
      <c r="E168" s="313">
        <f>IF(Tabla14[[#This Row],[Fecha]]&gt;0,_xlfn.ISOWEEKNUM(Tabla14[[#This Row],[Fecha]]),0)</f>
        <v>32</v>
      </c>
      <c r="F168" s="283">
        <v>35</v>
      </c>
      <c r="G168" s="275" t="s">
        <v>153</v>
      </c>
      <c r="H168" s="325" t="str">
        <f>_xlfn.XLOOKUP(Tabla14[[#This Row],[Codigo Finca]],Tabla4[Codigo Finca],Tabla4[Nombre Finca],"")</f>
        <v>Uveros</v>
      </c>
      <c r="I168" s="277">
        <f>_xlfn.XLOOKUP(Tabla14[[#This Row],[Codigo Finca]],Tabla4[Codigo Finca],Tabla4[Precio Caja],0)</f>
        <v>1500</v>
      </c>
      <c r="J168" s="277">
        <f>_xlfn.XLOOKUP(Tabla14[[#This Row],[Codigo Finca]],Tabla4[Codigo Finca],Tabla4[Precio Caja Segunda],0)</f>
        <v>1000</v>
      </c>
      <c r="K168" s="277">
        <f>_xlfn.XLOOKUP(Tabla14[[#This Row],[Codigo Finca]],Tabla4[Codigo Finca],Tabla4[Precio Rechazo],0)</f>
        <v>500</v>
      </c>
      <c r="L168" s="277">
        <f t="shared" si="205"/>
        <v>0</v>
      </c>
      <c r="M168" s="278">
        <f t="shared" si="206"/>
        <v>0</v>
      </c>
      <c r="N168" s="283"/>
      <c r="O168" s="279"/>
      <c r="P168" s="280">
        <f t="shared" si="207"/>
        <v>0</v>
      </c>
      <c r="Q168" s="281">
        <f t="shared" si="208"/>
        <v>0</v>
      </c>
      <c r="R168" s="282">
        <f t="shared" si="209"/>
        <v>0</v>
      </c>
      <c r="S168" s="283"/>
      <c r="T168" s="275">
        <v>6</v>
      </c>
      <c r="U168" s="280">
        <f t="shared" si="210"/>
        <v>35</v>
      </c>
      <c r="V168" s="281">
        <f t="shared" si="211"/>
        <v>5.833333333333333</v>
      </c>
      <c r="W168" s="282">
        <f t="shared" si="212"/>
        <v>8750</v>
      </c>
      <c r="X168" s="283"/>
      <c r="Y168" s="275"/>
      <c r="Z168" s="280">
        <f>Tabla14[[#This Row],[Cajas Segunda]]</f>
        <v>0</v>
      </c>
      <c r="AA168" s="281">
        <f t="shared" si="213"/>
        <v>0</v>
      </c>
      <c r="AB168" s="284">
        <f t="shared" si="214"/>
        <v>0</v>
      </c>
      <c r="AC168" s="285">
        <v>13</v>
      </c>
      <c r="AD168" s="286"/>
      <c r="AE168" s="286"/>
      <c r="AF168" s="286"/>
      <c r="AG168" s="286">
        <v>6</v>
      </c>
      <c r="AH168" s="280">
        <f t="shared" si="215"/>
        <v>13</v>
      </c>
      <c r="AI168" s="281">
        <f t="shared" si="216"/>
        <v>2.1666666666666665</v>
      </c>
      <c r="AJ168" s="282">
        <f t="shared" si="217"/>
        <v>1083.3333333333333</v>
      </c>
      <c r="AK168" s="287">
        <f>Tabla14[[#This Row],[Cajas por Personas]]</f>
        <v>0</v>
      </c>
      <c r="AL168" s="288">
        <f>Tabla14[[#This Row],[Valor Precorte Pesona]]</f>
        <v>0</v>
      </c>
      <c r="AM168" s="294">
        <f>Tabla14[[#This Row],[Personas Precorte]]</f>
        <v>0</v>
      </c>
      <c r="AN168" s="308">
        <f>Tabla14[[#This Row],[Valor Precorte Pesona Precorte]]*Tabla14[[#This Row],[Perzonas Precorte]]</f>
        <v>0</v>
      </c>
      <c r="AO168" s="287">
        <f>Tabla14[[#This Row],[Cajas por Personas2]]</f>
        <v>5.833333333333333</v>
      </c>
      <c r="AP168" s="288">
        <f>Tabla14[[#This Row],[Valor Embarque Pesona]]</f>
        <v>8750</v>
      </c>
      <c r="AQ168" s="295">
        <f>Tabla14[[#This Row],[Personas Precorte2]]</f>
        <v>6</v>
      </c>
      <c r="AR168" s="296">
        <f>Tabla14[[#This Row],[Valor Embarque Pesona3]]*Tabla14[[#This Row],[Perzona Primera]]</f>
        <v>52500</v>
      </c>
      <c r="AS168" s="287">
        <f>Tabla14[[#This Row],[Columna2]]</f>
        <v>0</v>
      </c>
      <c r="AT168" s="288">
        <f>Tabla14[[#This Row],[Columna1]]</f>
        <v>0</v>
      </c>
      <c r="AU168" s="302">
        <f>Tabla14[[#This Row],[Personas Intervienen]]</f>
        <v>0</v>
      </c>
      <c r="AV168" s="297">
        <f>Tabla14[[#This Row],[Valor Embarque Pesona5]]*Tabla14[[#This Row],[Presonas Segunda]]</f>
        <v>0</v>
      </c>
      <c r="AW168" s="287">
        <f>Tabla14[[#This Row],[Bolsas Por Personas]]</f>
        <v>2.1666666666666665</v>
      </c>
      <c r="AX168" s="288">
        <f>Tabla14[[#This Row],[Valor bolsas Pesona]]</f>
        <v>1083.3333333333333</v>
      </c>
      <c r="AY168" s="309">
        <f>Tabla14[[#This Row],[Personas13]]</f>
        <v>6</v>
      </c>
      <c r="AZ168" s="310">
        <f>Tabla14[[#This Row],[Valor bolsas Pesona2]]*Tabla14[[#This Row],[Personas Rechazo]]</f>
        <v>6500</v>
      </c>
      <c r="BA168" s="311">
        <f>+Tabla14[[#This Row],[Total Valor Segunda]]+Tabla14[[#This Row],[Total Valor Primera]]+Tabla14[[#This Row],[Total Valor Precorte]]</f>
        <v>52500</v>
      </c>
      <c r="BB168" s="292">
        <f>Tabla14[[#This Row],[Valor bolsas Pesona2]]+Tabla14[[#This Row],[Valor Embarque Pesona3]]</f>
        <v>9833.3333333333339</v>
      </c>
      <c r="BC168" s="332">
        <v>30000</v>
      </c>
      <c r="BD168" s="292">
        <f>Tabla14[[#This Row],[VALOR GANADO]]-Tabla14[[#This Row],[REAJUSTADO]]</f>
        <v>-20166.666666666664</v>
      </c>
      <c r="BE168" s="250">
        <f>Tabla14[[#This Row],[CUANTO SE REAJUSTA]]*Tabla14[[#This Row],[Personas Rechazo]]</f>
        <v>-120999.99999999999</v>
      </c>
      <c r="BF168" s="250">
        <f>Tabla14[[#This Row],[REAJUSTADO]]/25000</f>
        <v>1.2</v>
      </c>
      <c r="BG168" s="302">
        <f>Tabla14[[#This Row],[REAJUSTADO]]*Tabla14[[#This Row],[Personas Rechazo]]</f>
        <v>180000</v>
      </c>
      <c r="BH168" s="292" t="str">
        <f>Tabla14[[#This Row],[Finca]]</f>
        <v>Uveros</v>
      </c>
      <c r="BI168" s="250">
        <v>5</v>
      </c>
      <c r="BJ168" s="332">
        <f>Tabla14[[#This Row],[Numero de Ocacionales]]*Tabla14[[#This Row],[REAJUSTADO]]</f>
        <v>150000</v>
      </c>
      <c r="BK168" s="332"/>
      <c r="BL168" s="332"/>
      <c r="BM168" s="332">
        <f>+Tabla14[[#This Row],[CUANTO SE REAJUSTA]]*3</f>
        <v>-60499.999999999993</v>
      </c>
      <c r="BN168" s="334"/>
      <c r="BO168" s="334"/>
      <c r="BP168" s="334"/>
    </row>
    <row r="169" spans="3:68" hidden="1" x14ac:dyDescent="0.25">
      <c r="C169" s="274">
        <v>44782</v>
      </c>
      <c r="D169" s="507">
        <f>YEAR(Tabla14[[#This Row],[Fecha]])</f>
        <v>2022</v>
      </c>
      <c r="E169" s="313">
        <f>IF(Tabla14[[#This Row],[Fecha]]&gt;0,_xlfn.ISOWEEKNUM(Tabla14[[#This Row],[Fecha]]),0)</f>
        <v>32</v>
      </c>
      <c r="F169" s="283">
        <v>120</v>
      </c>
      <c r="G169" s="275" t="s">
        <v>157</v>
      </c>
      <c r="H169" s="325" t="str">
        <f>_xlfn.XLOOKUP(Tabla14[[#This Row],[Codigo Finca]],Tabla4[Codigo Finca],Tabla4[Nombre Finca],"")</f>
        <v>Pedrito</v>
      </c>
      <c r="I169" s="277">
        <f>_xlfn.XLOOKUP(Tabla14[[#This Row],[Codigo Finca]],Tabla4[Codigo Finca],Tabla4[Precio Caja],0)</f>
        <v>2100</v>
      </c>
      <c r="J169" s="277">
        <f>_xlfn.XLOOKUP(Tabla14[[#This Row],[Codigo Finca]],Tabla4[Codigo Finca],Tabla4[Precio Caja Segunda],0)</f>
        <v>1000</v>
      </c>
      <c r="K169" s="277">
        <f>_xlfn.XLOOKUP(Tabla14[[#This Row],[Codigo Finca]],Tabla4[Codigo Finca],Tabla4[Precio Rechazo],0)</f>
        <v>500</v>
      </c>
      <c r="L169" s="277">
        <f t="shared" si="205"/>
        <v>689</v>
      </c>
      <c r="M169" s="278">
        <f t="shared" si="206"/>
        <v>5.7416666666666663</v>
      </c>
      <c r="N169" s="283"/>
      <c r="O169" s="279"/>
      <c r="P169" s="280">
        <f t="shared" si="207"/>
        <v>0</v>
      </c>
      <c r="Q169" s="281">
        <f t="shared" si="208"/>
        <v>0</v>
      </c>
      <c r="R169" s="282">
        <f t="shared" si="209"/>
        <v>0</v>
      </c>
      <c r="S169" s="283">
        <v>689</v>
      </c>
      <c r="T169" s="275">
        <v>15</v>
      </c>
      <c r="U169" s="280">
        <f t="shared" si="210"/>
        <v>120</v>
      </c>
      <c r="V169" s="281">
        <f t="shared" si="211"/>
        <v>8</v>
      </c>
      <c r="W169" s="282">
        <f t="shared" si="212"/>
        <v>16800</v>
      </c>
      <c r="X169" s="283"/>
      <c r="Y169" s="275"/>
      <c r="Z169" s="280">
        <f>Tabla14[[#This Row],[Cajas Segunda]]</f>
        <v>0</v>
      </c>
      <c r="AA169" s="281">
        <f t="shared" si="213"/>
        <v>0</v>
      </c>
      <c r="AB169" s="284">
        <f t="shared" si="214"/>
        <v>0</v>
      </c>
      <c r="AC169" s="285">
        <v>95</v>
      </c>
      <c r="AD169" s="286"/>
      <c r="AE169" s="286"/>
      <c r="AF169" s="286"/>
      <c r="AG169" s="286">
        <v>15</v>
      </c>
      <c r="AH169" s="280">
        <f t="shared" si="215"/>
        <v>95</v>
      </c>
      <c r="AI169" s="281">
        <f t="shared" si="216"/>
        <v>6.333333333333333</v>
      </c>
      <c r="AJ169" s="282">
        <f t="shared" si="217"/>
        <v>3166.6666666666665</v>
      </c>
      <c r="AK169" s="287">
        <f>Tabla14[[#This Row],[Cajas por Personas]]</f>
        <v>0</v>
      </c>
      <c r="AL169" s="288">
        <f>Tabla14[[#This Row],[Valor Precorte Pesona]]</f>
        <v>0</v>
      </c>
      <c r="AM169" s="294">
        <f>Tabla14[[#This Row],[Personas Precorte]]</f>
        <v>0</v>
      </c>
      <c r="AN169" s="308">
        <f>Tabla14[[#This Row],[Valor Precorte Pesona Precorte]]*Tabla14[[#This Row],[Perzonas Precorte]]</f>
        <v>0</v>
      </c>
      <c r="AO169" s="287">
        <f>Tabla14[[#This Row],[Cajas por Personas2]]</f>
        <v>8</v>
      </c>
      <c r="AP169" s="288">
        <f>Tabla14[[#This Row],[Valor Embarque Pesona]]</f>
        <v>16800</v>
      </c>
      <c r="AQ169" s="295">
        <f>Tabla14[[#This Row],[Personas Precorte2]]</f>
        <v>15</v>
      </c>
      <c r="AR169" s="296">
        <f>Tabla14[[#This Row],[Valor Embarque Pesona3]]*Tabla14[[#This Row],[Perzona Primera]]</f>
        <v>252000</v>
      </c>
      <c r="AS169" s="287">
        <f>Tabla14[[#This Row],[Columna2]]</f>
        <v>0</v>
      </c>
      <c r="AT169" s="288">
        <f>Tabla14[[#This Row],[Columna1]]</f>
        <v>0</v>
      </c>
      <c r="AU169" s="302">
        <f>Tabla14[[#This Row],[Personas Intervienen]]</f>
        <v>0</v>
      </c>
      <c r="AV169" s="297">
        <f>Tabla14[[#This Row],[Valor Embarque Pesona5]]*Tabla14[[#This Row],[Presonas Segunda]]</f>
        <v>0</v>
      </c>
      <c r="AW169" s="287">
        <f>Tabla14[[#This Row],[Bolsas Por Personas]]</f>
        <v>6.333333333333333</v>
      </c>
      <c r="AX169" s="288">
        <f>Tabla14[[#This Row],[Valor bolsas Pesona]]</f>
        <v>3166.6666666666665</v>
      </c>
      <c r="AY169" s="309">
        <f>Tabla14[[#This Row],[Personas13]]</f>
        <v>15</v>
      </c>
      <c r="AZ169" s="310">
        <f>Tabla14[[#This Row],[Valor bolsas Pesona2]]*Tabla14[[#This Row],[Personas Rechazo]]</f>
        <v>47500</v>
      </c>
      <c r="BA169" s="311">
        <f>+Tabla14[[#This Row],[Total Valor Segunda]]+Tabla14[[#This Row],[Total Valor Primera]]+Tabla14[[#This Row],[Total Valor Precorte]]</f>
        <v>252000</v>
      </c>
      <c r="BB169" s="292">
        <f>Tabla14[[#This Row],[Valor bolsas Pesona2]]+Tabla14[[#This Row],[Valor Embarque Pesona3]]</f>
        <v>19966.666666666668</v>
      </c>
      <c r="BC169" s="332">
        <v>35000</v>
      </c>
      <c r="BD169" s="292">
        <f>Tabla14[[#This Row],[VALOR GANADO]]-Tabla14[[#This Row],[REAJUSTADO]]</f>
        <v>-15033.333333333332</v>
      </c>
      <c r="BE169" s="250">
        <f>Tabla14[[#This Row],[CUANTO SE REAJUSTA]]*Tabla14[[#This Row],[Personas Rechazo]]</f>
        <v>-225499.99999999997</v>
      </c>
      <c r="BF169" s="250">
        <f>Tabla14[[#This Row],[REAJUSTADO]]/25000</f>
        <v>1.4</v>
      </c>
      <c r="BG169" s="302">
        <f>Tabla14[[#This Row],[REAJUSTADO]]*Tabla14[[#This Row],[Personas Rechazo]]</f>
        <v>525000</v>
      </c>
      <c r="BH169" s="292" t="str">
        <f>Tabla14[[#This Row],[Finca]]</f>
        <v>Pedrito</v>
      </c>
      <c r="BJ169" s="332">
        <f>Tabla14[[#This Row],[Numero de Ocacionales]]*Tabla14[[#This Row],[REAJUSTADO]]</f>
        <v>0</v>
      </c>
      <c r="BK169" s="332"/>
      <c r="BL169" s="332"/>
      <c r="BM169" s="332">
        <f>+Tabla14[[#This Row],[CUANTO SE REAJUSTA]]*3</f>
        <v>-45100</v>
      </c>
      <c r="BN169" s="334"/>
      <c r="BO169" s="334"/>
      <c r="BP169" s="334"/>
    </row>
    <row r="170" spans="3:68" hidden="1" x14ac:dyDescent="0.25">
      <c r="C170" s="274">
        <v>44783</v>
      </c>
      <c r="D170" s="507">
        <f>YEAR(Tabla14[[#This Row],[Fecha]])</f>
        <v>2022</v>
      </c>
      <c r="E170" s="313">
        <f>IF(Tabla14[[#This Row],[Fecha]]&gt;0,_xlfn.ISOWEEKNUM(Tabla14[[#This Row],[Fecha]]),0)</f>
        <v>32</v>
      </c>
      <c r="F170" s="283">
        <v>141</v>
      </c>
      <c r="G170" s="275" t="s">
        <v>152</v>
      </c>
      <c r="H170" s="325" t="str">
        <f>_xlfn.XLOOKUP(Tabla14[[#This Row],[Codigo Finca]],Tabla4[Codigo Finca],Tabla4[Nombre Finca],"")</f>
        <v>San Pedro</v>
      </c>
      <c r="I170" s="277">
        <f>_xlfn.XLOOKUP(Tabla14[[#This Row],[Codigo Finca]],Tabla4[Codigo Finca],Tabla4[Precio Caja],0)</f>
        <v>1500</v>
      </c>
      <c r="J170" s="277">
        <f>_xlfn.XLOOKUP(Tabla14[[#This Row],[Codigo Finca]],Tabla4[Codigo Finca],Tabla4[Precio Caja Segunda],0)</f>
        <v>1000</v>
      </c>
      <c r="K170" s="277">
        <f>_xlfn.XLOOKUP(Tabla14[[#This Row],[Codigo Finca]],Tabla4[Codigo Finca],Tabla4[Precio Rechazo],0)</f>
        <v>500</v>
      </c>
      <c r="L170" s="277">
        <f t="shared" si="205"/>
        <v>0</v>
      </c>
      <c r="M170" s="278">
        <f t="shared" si="206"/>
        <v>0</v>
      </c>
      <c r="N170" s="283"/>
      <c r="O170" s="279"/>
      <c r="P170" s="280">
        <f t="shared" si="207"/>
        <v>0</v>
      </c>
      <c r="Q170" s="281">
        <f t="shared" si="208"/>
        <v>0</v>
      </c>
      <c r="R170" s="282">
        <f t="shared" si="209"/>
        <v>0</v>
      </c>
      <c r="S170" s="283"/>
      <c r="T170" s="275">
        <v>11</v>
      </c>
      <c r="U170" s="280">
        <f t="shared" si="210"/>
        <v>141</v>
      </c>
      <c r="V170" s="281">
        <f t="shared" si="211"/>
        <v>12.818181818181818</v>
      </c>
      <c r="W170" s="282">
        <f t="shared" si="212"/>
        <v>19227.272727272728</v>
      </c>
      <c r="X170" s="283"/>
      <c r="Y170" s="275"/>
      <c r="Z170" s="280">
        <f>Tabla14[[#This Row],[Cajas Segunda]]</f>
        <v>0</v>
      </c>
      <c r="AA170" s="281">
        <f t="shared" si="213"/>
        <v>0</v>
      </c>
      <c r="AB170" s="284">
        <f t="shared" si="214"/>
        <v>0</v>
      </c>
      <c r="AC170" s="285">
        <v>38</v>
      </c>
      <c r="AD170" s="286"/>
      <c r="AE170" s="286"/>
      <c r="AF170" s="286"/>
      <c r="AG170" s="286">
        <v>11</v>
      </c>
      <c r="AH170" s="280">
        <f t="shared" si="215"/>
        <v>38</v>
      </c>
      <c r="AI170" s="281">
        <f t="shared" si="216"/>
        <v>3.4545454545454546</v>
      </c>
      <c r="AJ170" s="282">
        <f t="shared" si="217"/>
        <v>1727.2727272727273</v>
      </c>
      <c r="AK170" s="287">
        <f>Tabla14[[#This Row],[Cajas por Personas]]</f>
        <v>0</v>
      </c>
      <c r="AL170" s="288">
        <f>Tabla14[[#This Row],[Valor Precorte Pesona]]</f>
        <v>0</v>
      </c>
      <c r="AM170" s="294">
        <f>Tabla14[[#This Row],[Personas Precorte]]</f>
        <v>0</v>
      </c>
      <c r="AN170" s="308">
        <f>Tabla14[[#This Row],[Valor Precorte Pesona Precorte]]*Tabla14[[#This Row],[Perzonas Precorte]]</f>
        <v>0</v>
      </c>
      <c r="AO170" s="287">
        <f>Tabla14[[#This Row],[Cajas por Personas2]]</f>
        <v>12.818181818181818</v>
      </c>
      <c r="AP170" s="288">
        <f>Tabla14[[#This Row],[Valor Embarque Pesona]]</f>
        <v>19227.272727272728</v>
      </c>
      <c r="AQ170" s="295">
        <f>Tabla14[[#This Row],[Personas Precorte2]]</f>
        <v>11</v>
      </c>
      <c r="AR170" s="296">
        <f>Tabla14[[#This Row],[Valor Embarque Pesona3]]*Tabla14[[#This Row],[Perzona Primera]]</f>
        <v>211500</v>
      </c>
      <c r="AS170" s="287">
        <f>Tabla14[[#This Row],[Columna2]]</f>
        <v>0</v>
      </c>
      <c r="AT170" s="288">
        <f>Tabla14[[#This Row],[Columna1]]</f>
        <v>0</v>
      </c>
      <c r="AU170" s="302">
        <f>Tabla14[[#This Row],[Personas Intervienen]]</f>
        <v>0</v>
      </c>
      <c r="AV170" s="297">
        <f>Tabla14[[#This Row],[Valor Embarque Pesona5]]*Tabla14[[#This Row],[Presonas Segunda]]</f>
        <v>0</v>
      </c>
      <c r="AW170" s="287">
        <f>Tabla14[[#This Row],[Bolsas Por Personas]]</f>
        <v>3.4545454545454546</v>
      </c>
      <c r="AX170" s="288">
        <f>Tabla14[[#This Row],[Valor bolsas Pesona]]</f>
        <v>1727.2727272727273</v>
      </c>
      <c r="AY170" s="309">
        <f>Tabla14[[#This Row],[Personas13]]</f>
        <v>11</v>
      </c>
      <c r="AZ170" s="310">
        <f>Tabla14[[#This Row],[Valor bolsas Pesona2]]*Tabla14[[#This Row],[Personas Rechazo]]</f>
        <v>19000</v>
      </c>
      <c r="BA170" s="311">
        <f>+Tabla14[[#This Row],[Total Valor Segunda]]+Tabla14[[#This Row],[Total Valor Primera]]+Tabla14[[#This Row],[Total Valor Precorte]]</f>
        <v>211500</v>
      </c>
      <c r="BB170" s="292">
        <f>Tabla14[[#This Row],[Valor bolsas Pesona2]]+Tabla14[[#This Row],[Valor Embarque Pesona3]]</f>
        <v>20954.545454545456</v>
      </c>
      <c r="BC170" s="332">
        <v>30000</v>
      </c>
      <c r="BD170" s="292">
        <f>Tabla14[[#This Row],[VALOR GANADO]]-Tabla14[[#This Row],[REAJUSTADO]]</f>
        <v>-9045.4545454545441</v>
      </c>
      <c r="BE170" s="250">
        <f>Tabla14[[#This Row],[CUANTO SE REAJUSTA]]*Tabla14[[#This Row],[Personas Rechazo]]</f>
        <v>-99499.999999999985</v>
      </c>
      <c r="BF170" s="250">
        <f>Tabla14[[#This Row],[REAJUSTADO]]/25000</f>
        <v>1.2</v>
      </c>
      <c r="BG170" s="302">
        <f>Tabla14[[#This Row],[REAJUSTADO]]*Tabla14[[#This Row],[Personas Rechazo]]</f>
        <v>330000</v>
      </c>
      <c r="BH170" s="292" t="str">
        <f>Tabla14[[#This Row],[Finca]]</f>
        <v>San Pedro</v>
      </c>
      <c r="BI170" s="250">
        <v>4</v>
      </c>
      <c r="BJ170" s="332">
        <f>Tabla14[[#This Row],[Numero de Ocacionales]]*Tabla14[[#This Row],[REAJUSTADO]]</f>
        <v>120000</v>
      </c>
      <c r="BK170" s="332"/>
      <c r="BL170" s="332"/>
      <c r="BM170" s="332">
        <f>+Tabla14[[#This Row],[CUANTO SE REAJUSTA]]*3</f>
        <v>-27136.363636363632</v>
      </c>
      <c r="BN170" s="334"/>
      <c r="BO170" s="334"/>
      <c r="BP170" s="334"/>
    </row>
    <row r="171" spans="3:68" hidden="1" x14ac:dyDescent="0.25">
      <c r="C171" s="274">
        <v>44783</v>
      </c>
      <c r="D171" s="507">
        <f>YEAR(Tabla14[[#This Row],[Fecha]])</f>
        <v>2022</v>
      </c>
      <c r="E171" s="313">
        <f>IF(Tabla14[[#This Row],[Fecha]]&gt;0,_xlfn.ISOWEEKNUM(Tabla14[[#This Row],[Fecha]]),0)</f>
        <v>32</v>
      </c>
      <c r="F171" s="283">
        <v>73</v>
      </c>
      <c r="G171" s="275" t="s">
        <v>155</v>
      </c>
      <c r="H171" s="325" t="str">
        <f>_xlfn.XLOOKUP(Tabla14[[#This Row],[Codigo Finca]],Tabla4[Codigo Finca],Tabla4[Nombre Finca],"")</f>
        <v>Damaquiel</v>
      </c>
      <c r="I171" s="277">
        <f>_xlfn.XLOOKUP(Tabla14[[#This Row],[Codigo Finca]],Tabla4[Codigo Finca],Tabla4[Precio Caja],0)</f>
        <v>1500</v>
      </c>
      <c r="J171" s="277">
        <f>_xlfn.XLOOKUP(Tabla14[[#This Row],[Codigo Finca]],Tabla4[Codigo Finca],Tabla4[Precio Caja Segunda],0)</f>
        <v>1000</v>
      </c>
      <c r="K171" s="277">
        <f>_xlfn.XLOOKUP(Tabla14[[#This Row],[Codigo Finca]],Tabla4[Codigo Finca],Tabla4[Precio Rechazo],0)</f>
        <v>500</v>
      </c>
      <c r="L171" s="277">
        <f t="shared" si="205"/>
        <v>0</v>
      </c>
      <c r="M171" s="278">
        <f t="shared" si="206"/>
        <v>0</v>
      </c>
      <c r="N171" s="283"/>
      <c r="O171" s="279"/>
      <c r="P171" s="280">
        <f t="shared" si="207"/>
        <v>0</v>
      </c>
      <c r="Q171" s="281">
        <f t="shared" si="208"/>
        <v>0</v>
      </c>
      <c r="R171" s="282">
        <f t="shared" si="209"/>
        <v>0</v>
      </c>
      <c r="S171" s="283"/>
      <c r="T171" s="275">
        <v>7</v>
      </c>
      <c r="U171" s="280">
        <f t="shared" si="210"/>
        <v>73</v>
      </c>
      <c r="V171" s="281">
        <f t="shared" si="211"/>
        <v>10.428571428571429</v>
      </c>
      <c r="W171" s="282">
        <f t="shared" si="212"/>
        <v>15642.857142857143</v>
      </c>
      <c r="X171" s="283"/>
      <c r="Y171" s="275"/>
      <c r="Z171" s="280">
        <f>Tabla14[[#This Row],[Cajas Segunda]]</f>
        <v>0</v>
      </c>
      <c r="AA171" s="281">
        <f t="shared" si="213"/>
        <v>0</v>
      </c>
      <c r="AB171" s="284">
        <f t="shared" si="214"/>
        <v>0</v>
      </c>
      <c r="AC171" s="285">
        <f>19+3.4</f>
        <v>22.4</v>
      </c>
      <c r="AD171" s="286"/>
      <c r="AE171" s="286"/>
      <c r="AF171" s="286"/>
      <c r="AG171" s="286">
        <v>7</v>
      </c>
      <c r="AH171" s="280">
        <f t="shared" si="215"/>
        <v>22.4</v>
      </c>
      <c r="AI171" s="281">
        <f t="shared" si="216"/>
        <v>3.1999999999999997</v>
      </c>
      <c r="AJ171" s="282">
        <f t="shared" si="217"/>
        <v>1599.9999999999998</v>
      </c>
      <c r="AK171" s="287">
        <f>Tabla14[[#This Row],[Cajas por Personas]]</f>
        <v>0</v>
      </c>
      <c r="AL171" s="288">
        <f>Tabla14[[#This Row],[Valor Precorte Pesona]]</f>
        <v>0</v>
      </c>
      <c r="AM171" s="294">
        <f>Tabla14[[#This Row],[Personas Precorte]]</f>
        <v>0</v>
      </c>
      <c r="AN171" s="308">
        <f>Tabla14[[#This Row],[Valor Precorte Pesona Precorte]]*Tabla14[[#This Row],[Perzonas Precorte]]</f>
        <v>0</v>
      </c>
      <c r="AO171" s="287">
        <f>Tabla14[[#This Row],[Cajas por Personas2]]</f>
        <v>10.428571428571429</v>
      </c>
      <c r="AP171" s="288">
        <f>Tabla14[[#This Row],[Valor Embarque Pesona]]</f>
        <v>15642.857142857143</v>
      </c>
      <c r="AQ171" s="295">
        <f>Tabla14[[#This Row],[Personas Precorte2]]</f>
        <v>7</v>
      </c>
      <c r="AR171" s="296">
        <f>Tabla14[[#This Row],[Valor Embarque Pesona3]]*Tabla14[[#This Row],[Perzona Primera]]</f>
        <v>109500</v>
      </c>
      <c r="AS171" s="287">
        <f>Tabla14[[#This Row],[Columna2]]</f>
        <v>0</v>
      </c>
      <c r="AT171" s="288">
        <f>Tabla14[[#This Row],[Columna1]]</f>
        <v>0</v>
      </c>
      <c r="AU171" s="302">
        <f>Tabla14[[#This Row],[Personas Intervienen]]</f>
        <v>0</v>
      </c>
      <c r="AV171" s="297">
        <f>Tabla14[[#This Row],[Valor Embarque Pesona5]]*Tabla14[[#This Row],[Presonas Segunda]]</f>
        <v>0</v>
      </c>
      <c r="AW171" s="287">
        <f>Tabla14[[#This Row],[Bolsas Por Personas]]</f>
        <v>3.1999999999999997</v>
      </c>
      <c r="AX171" s="288">
        <f>Tabla14[[#This Row],[Valor bolsas Pesona]]</f>
        <v>1599.9999999999998</v>
      </c>
      <c r="AY171" s="309">
        <f>Tabla14[[#This Row],[Personas13]]</f>
        <v>7</v>
      </c>
      <c r="AZ171" s="310">
        <f>Tabla14[[#This Row],[Valor bolsas Pesona2]]*Tabla14[[#This Row],[Personas Rechazo]]</f>
        <v>11199.999999999998</v>
      </c>
      <c r="BA171" s="311">
        <f>+Tabla14[[#This Row],[Total Valor Segunda]]+Tabla14[[#This Row],[Total Valor Primera]]+Tabla14[[#This Row],[Total Valor Precorte]]</f>
        <v>109500</v>
      </c>
      <c r="BB171" s="292">
        <f>Tabla14[[#This Row],[Valor bolsas Pesona2]]+Tabla14[[#This Row],[Valor Embarque Pesona3]]</f>
        <v>17242.857142857141</v>
      </c>
      <c r="BC171" s="332">
        <v>30000</v>
      </c>
      <c r="BD171" s="292">
        <f>Tabla14[[#This Row],[VALOR GANADO]]-Tabla14[[#This Row],[REAJUSTADO]]</f>
        <v>-12757.142857142859</v>
      </c>
      <c r="BE171" s="250">
        <f>Tabla14[[#This Row],[CUANTO SE REAJUSTA]]*Tabla14[[#This Row],[Personas Rechazo]]</f>
        <v>-89300.000000000015</v>
      </c>
      <c r="BF171" s="250">
        <f>Tabla14[[#This Row],[REAJUSTADO]]/25000</f>
        <v>1.2</v>
      </c>
      <c r="BG171" s="302">
        <f>Tabla14[[#This Row],[REAJUSTADO]]*Tabla14[[#This Row],[Personas Rechazo]]</f>
        <v>210000</v>
      </c>
      <c r="BH171" s="292" t="str">
        <f>Tabla14[[#This Row],[Finca]]</f>
        <v>Damaquiel</v>
      </c>
      <c r="BI171" s="250">
        <v>6</v>
      </c>
      <c r="BJ171" s="332">
        <f>Tabla14[[#This Row],[Numero de Ocacionales]]*Tabla14[[#This Row],[REAJUSTADO]]</f>
        <v>180000</v>
      </c>
      <c r="BK171" s="332"/>
      <c r="BL171" s="332"/>
      <c r="BM171" s="332">
        <f>+Tabla14[[#This Row],[CUANTO SE REAJUSTA]]*3</f>
        <v>-38271.42857142858</v>
      </c>
      <c r="BN171" s="334"/>
      <c r="BO171" s="334"/>
      <c r="BP171" s="334"/>
    </row>
    <row r="172" spans="3:68" hidden="1" x14ac:dyDescent="0.25">
      <c r="C172" s="274">
        <v>44795</v>
      </c>
      <c r="D172" s="507">
        <f>YEAR(Tabla14[[#This Row],[Fecha]])</f>
        <v>2022</v>
      </c>
      <c r="E172" s="313">
        <f>IF(Tabla14[[#This Row],[Fecha]]&gt;0,_xlfn.ISOWEEKNUM(Tabla14[[#This Row],[Fecha]]),0)</f>
        <v>34</v>
      </c>
      <c r="F172" s="283">
        <v>145</v>
      </c>
      <c r="G172" s="275" t="s">
        <v>155</v>
      </c>
      <c r="H172" s="325" t="str">
        <f>_xlfn.XLOOKUP(Tabla14[[#This Row],[Codigo Finca]],Tabla4[Codigo Finca],Tabla4[Nombre Finca],"")</f>
        <v>Damaquiel</v>
      </c>
      <c r="I172" s="277">
        <f>_xlfn.XLOOKUP(Tabla14[[#This Row],[Codigo Finca]],Tabla4[Codigo Finca],Tabla4[Precio Caja],0)</f>
        <v>1500</v>
      </c>
      <c r="J172" s="277">
        <f>_xlfn.XLOOKUP(Tabla14[[#This Row],[Codigo Finca]],Tabla4[Codigo Finca],Tabla4[Precio Caja Segunda],0)</f>
        <v>1000</v>
      </c>
      <c r="K172" s="277">
        <f>_xlfn.XLOOKUP(Tabla14[[#This Row],[Codigo Finca]],Tabla4[Codigo Finca],Tabla4[Precio Rechazo],0)</f>
        <v>500</v>
      </c>
      <c r="L172" s="277">
        <f t="shared" ref="L172:L178" si="218">S172+N172</f>
        <v>0</v>
      </c>
      <c r="M172" s="278">
        <f t="shared" ref="M172:M178" si="219">IF(F172&gt;0,L172/F172,0)</f>
        <v>0</v>
      </c>
      <c r="N172" s="283"/>
      <c r="O172" s="279"/>
      <c r="P172" s="280">
        <f t="shared" ref="P172:P178" si="220">IF(N172&gt;0,(N172/M172)/2,0)</f>
        <v>0</v>
      </c>
      <c r="Q172" s="281">
        <f t="shared" ref="Q172:Q178" si="221">IF(O172&gt;0,P172/O172,0)</f>
        <v>0</v>
      </c>
      <c r="R172" s="282">
        <f t="shared" ref="R172:R178" si="222">IF(I172&gt;0,Q172*I172,)</f>
        <v>0</v>
      </c>
      <c r="S172" s="283"/>
      <c r="T172" s="275">
        <v>10</v>
      </c>
      <c r="U172" s="280">
        <f t="shared" ref="U172:U178" si="223">F172-P172</f>
        <v>145</v>
      </c>
      <c r="V172" s="281">
        <f t="shared" ref="V172:V178" si="224">IF(T172&gt;0,U172/T172,0)</f>
        <v>14.5</v>
      </c>
      <c r="W172" s="282">
        <f t="shared" ref="W172:W178" si="225">IF(T172&gt;0,(U172*I172)/T172,0)</f>
        <v>21750</v>
      </c>
      <c r="X172" s="283"/>
      <c r="Y172" s="275"/>
      <c r="Z172" s="280">
        <f>Tabla14[[#This Row],[Cajas Segunda]]</f>
        <v>0</v>
      </c>
      <c r="AA172" s="281">
        <f t="shared" ref="AA172:AA178" si="226">IF(Y172&gt;0,Z172/Y172,0)</f>
        <v>0</v>
      </c>
      <c r="AB172" s="284">
        <f t="shared" ref="AB172:AB178" si="227">IF(Y172&gt;0,(Z172*J172)/Y172,0)</f>
        <v>0</v>
      </c>
      <c r="AC172" s="285">
        <f>3.4+58</f>
        <v>61.4</v>
      </c>
      <c r="AD172" s="286"/>
      <c r="AE172" s="286"/>
      <c r="AF172" s="286"/>
      <c r="AG172" s="286">
        <v>10</v>
      </c>
      <c r="AH172" s="280">
        <f t="shared" ref="AH172:AH178" si="228">IF(AND(AC172&gt;0,AE172=0,AF172=0,AD172=0),AC172,IF(AND(AC172=0,AE172&gt;0,AF172&gt;0,AD172=0),AE172*AF172/25,IF(AND(AC172=0,AE172=0,AF172=0,AD172&gt;0),AD172/25,0)))</f>
        <v>61.4</v>
      </c>
      <c r="AI172" s="281">
        <f t="shared" ref="AI172:AI178" si="229">IF(AG172&gt;0,AH172/AG172,0)</f>
        <v>6.14</v>
      </c>
      <c r="AJ172" s="282">
        <f t="shared" ref="AJ172:AJ178" si="230">AI172*K172</f>
        <v>3070</v>
      </c>
      <c r="AK172" s="287">
        <f>Tabla14[[#This Row],[Cajas por Personas]]</f>
        <v>0</v>
      </c>
      <c r="AL172" s="288">
        <f>Tabla14[[#This Row],[Valor Precorte Pesona]]</f>
        <v>0</v>
      </c>
      <c r="AM172" s="294">
        <f>Tabla14[[#This Row],[Personas Precorte]]</f>
        <v>0</v>
      </c>
      <c r="AN172" s="308">
        <f>Tabla14[[#This Row],[Valor Precorte Pesona Precorte]]*Tabla14[[#This Row],[Perzonas Precorte]]</f>
        <v>0</v>
      </c>
      <c r="AO172" s="287">
        <f>Tabla14[[#This Row],[Cajas por Personas2]]</f>
        <v>14.5</v>
      </c>
      <c r="AP172" s="288">
        <f>Tabla14[[#This Row],[Valor Embarque Pesona]]</f>
        <v>21750</v>
      </c>
      <c r="AQ172" s="295">
        <f>Tabla14[[#This Row],[Personas Precorte2]]</f>
        <v>10</v>
      </c>
      <c r="AR172" s="296">
        <f>Tabla14[[#This Row],[Valor Embarque Pesona3]]*Tabla14[[#This Row],[Perzona Primera]]</f>
        <v>217500</v>
      </c>
      <c r="AS172" s="287">
        <f>Tabla14[[#This Row],[Columna2]]</f>
        <v>0</v>
      </c>
      <c r="AT172" s="288">
        <f>Tabla14[[#This Row],[Columna1]]</f>
        <v>0</v>
      </c>
      <c r="AU172" s="302">
        <f>Tabla14[[#This Row],[Personas Intervienen]]</f>
        <v>0</v>
      </c>
      <c r="AV172" s="297">
        <f>Tabla14[[#This Row],[Valor Embarque Pesona5]]*Tabla14[[#This Row],[Presonas Segunda]]</f>
        <v>0</v>
      </c>
      <c r="AW172" s="287">
        <f>Tabla14[[#This Row],[Bolsas Por Personas]]</f>
        <v>6.14</v>
      </c>
      <c r="AX172" s="288">
        <f>Tabla14[[#This Row],[Valor bolsas Pesona]]</f>
        <v>3070</v>
      </c>
      <c r="AY172" s="309">
        <f>Tabla14[[#This Row],[Personas13]]</f>
        <v>10</v>
      </c>
      <c r="AZ172" s="310">
        <f>Tabla14[[#This Row],[Valor bolsas Pesona2]]*Tabla14[[#This Row],[Personas Rechazo]]</f>
        <v>30700</v>
      </c>
      <c r="BA172" s="311">
        <f>+Tabla14[[#This Row],[Total Valor Segunda]]+Tabla14[[#This Row],[Total Valor Primera]]+Tabla14[[#This Row],[Total Valor Precorte]]</f>
        <v>217500</v>
      </c>
      <c r="BB172" s="292">
        <f>Tabla14[[#This Row],[Valor bolsas Pesona2]]+Tabla14[[#This Row],[Valor Embarque Pesona3]]</f>
        <v>24820</v>
      </c>
      <c r="BC172" s="332">
        <v>30000</v>
      </c>
      <c r="BD172" s="292">
        <f>Tabla14[[#This Row],[VALOR GANADO]]-Tabla14[[#This Row],[REAJUSTADO]]</f>
        <v>-5180</v>
      </c>
      <c r="BE172" s="250">
        <f>Tabla14[[#This Row],[CUANTO SE REAJUSTA]]*Tabla14[[#This Row],[Personas Rechazo]]</f>
        <v>-51800</v>
      </c>
      <c r="BF172" s="250">
        <f>Tabla14[[#This Row],[REAJUSTADO]]/25000</f>
        <v>1.2</v>
      </c>
      <c r="BG172" s="302">
        <f>Tabla14[[#This Row],[REAJUSTADO]]*Tabla14[[#This Row],[Personas Rechazo]]</f>
        <v>300000</v>
      </c>
      <c r="BH172" s="292" t="str">
        <f>Tabla14[[#This Row],[Finca]]</f>
        <v>Damaquiel</v>
      </c>
      <c r="BI172" s="250">
        <v>7</v>
      </c>
      <c r="BJ172" s="332">
        <f>Tabla14[[#This Row],[Numero de Ocacionales]]*Tabla14[[#This Row],[REAJUSTADO]]</f>
        <v>210000</v>
      </c>
      <c r="BK172" s="332"/>
      <c r="BL172" s="332"/>
      <c r="BM172" s="332">
        <f>+Tabla14[[#This Row],[CUANTO SE REAJUSTA]]*3</f>
        <v>-15540</v>
      </c>
      <c r="BN172" s="334"/>
      <c r="BO172" s="334"/>
      <c r="BP172" s="334"/>
    </row>
    <row r="173" spans="3:68" hidden="1" x14ac:dyDescent="0.25">
      <c r="C173" s="274">
        <v>44795</v>
      </c>
      <c r="D173" s="507">
        <f>YEAR(Tabla14[[#This Row],[Fecha]])</f>
        <v>2022</v>
      </c>
      <c r="E173" s="313">
        <f>IF(Tabla14[[#This Row],[Fecha]]&gt;0,_xlfn.ISOWEEKNUM(Tabla14[[#This Row],[Fecha]]),0)</f>
        <v>34</v>
      </c>
      <c r="F173" s="283">
        <v>205</v>
      </c>
      <c r="G173" s="275" t="s">
        <v>157</v>
      </c>
      <c r="H173" s="325" t="str">
        <f>_xlfn.XLOOKUP(Tabla14[[#This Row],[Codigo Finca]],Tabla4[Codigo Finca],Tabla4[Nombre Finca],"")</f>
        <v>Pedrito</v>
      </c>
      <c r="I173" s="277">
        <f>_xlfn.XLOOKUP(Tabla14[[#This Row],[Codigo Finca]],Tabla4[Codigo Finca],Tabla4[Precio Caja],0)</f>
        <v>2100</v>
      </c>
      <c r="J173" s="277">
        <f>_xlfn.XLOOKUP(Tabla14[[#This Row],[Codigo Finca]],Tabla4[Codigo Finca],Tabla4[Precio Caja Segunda],0)</f>
        <v>1000</v>
      </c>
      <c r="K173" s="277">
        <f>_xlfn.XLOOKUP(Tabla14[[#This Row],[Codigo Finca]],Tabla4[Codigo Finca],Tabla4[Precio Rechazo],0)</f>
        <v>500</v>
      </c>
      <c r="L173" s="277">
        <f t="shared" si="218"/>
        <v>1054</v>
      </c>
      <c r="M173" s="278">
        <f t="shared" si="219"/>
        <v>5.1414634146341465</v>
      </c>
      <c r="N173" s="283"/>
      <c r="O173" s="279"/>
      <c r="P173" s="280">
        <f t="shared" si="220"/>
        <v>0</v>
      </c>
      <c r="Q173" s="281">
        <f t="shared" si="221"/>
        <v>0</v>
      </c>
      <c r="R173" s="282">
        <f t="shared" si="222"/>
        <v>0</v>
      </c>
      <c r="S173" s="283">
        <v>1054</v>
      </c>
      <c r="T173" s="275">
        <v>15</v>
      </c>
      <c r="U173" s="280">
        <f t="shared" si="223"/>
        <v>205</v>
      </c>
      <c r="V173" s="281">
        <f t="shared" si="224"/>
        <v>13.666666666666666</v>
      </c>
      <c r="W173" s="282">
        <f t="shared" si="225"/>
        <v>28700</v>
      </c>
      <c r="X173" s="283"/>
      <c r="Y173" s="275"/>
      <c r="Z173" s="280">
        <f>Tabla14[[#This Row],[Cajas Segunda]]</f>
        <v>0</v>
      </c>
      <c r="AA173" s="281">
        <f t="shared" si="226"/>
        <v>0</v>
      </c>
      <c r="AB173" s="284">
        <f t="shared" si="227"/>
        <v>0</v>
      </c>
      <c r="AC173" s="285">
        <v>134</v>
      </c>
      <c r="AD173" s="286"/>
      <c r="AE173" s="286"/>
      <c r="AF173" s="286"/>
      <c r="AG173" s="286">
        <v>15</v>
      </c>
      <c r="AH173" s="280">
        <f t="shared" si="228"/>
        <v>134</v>
      </c>
      <c r="AI173" s="281">
        <f t="shared" si="229"/>
        <v>8.9333333333333336</v>
      </c>
      <c r="AJ173" s="282">
        <f t="shared" si="230"/>
        <v>4466.666666666667</v>
      </c>
      <c r="AK173" s="287">
        <f>Tabla14[[#This Row],[Cajas por Personas]]</f>
        <v>0</v>
      </c>
      <c r="AL173" s="288">
        <f>Tabla14[[#This Row],[Valor Precorte Pesona]]</f>
        <v>0</v>
      </c>
      <c r="AM173" s="294">
        <f>Tabla14[[#This Row],[Personas Precorte]]</f>
        <v>0</v>
      </c>
      <c r="AN173" s="308">
        <f>Tabla14[[#This Row],[Valor Precorte Pesona Precorte]]*Tabla14[[#This Row],[Perzonas Precorte]]</f>
        <v>0</v>
      </c>
      <c r="AO173" s="287">
        <f>Tabla14[[#This Row],[Cajas por Personas2]]</f>
        <v>13.666666666666666</v>
      </c>
      <c r="AP173" s="288">
        <f>Tabla14[[#This Row],[Valor Embarque Pesona]]</f>
        <v>28700</v>
      </c>
      <c r="AQ173" s="295">
        <f>Tabla14[[#This Row],[Personas Precorte2]]</f>
        <v>15</v>
      </c>
      <c r="AR173" s="296">
        <f>Tabla14[[#This Row],[Valor Embarque Pesona3]]*Tabla14[[#This Row],[Perzona Primera]]</f>
        <v>430500</v>
      </c>
      <c r="AS173" s="287">
        <f>Tabla14[[#This Row],[Columna2]]</f>
        <v>0</v>
      </c>
      <c r="AT173" s="288">
        <f>Tabla14[[#This Row],[Columna1]]</f>
        <v>0</v>
      </c>
      <c r="AU173" s="302">
        <f>Tabla14[[#This Row],[Personas Intervienen]]</f>
        <v>0</v>
      </c>
      <c r="AV173" s="297">
        <f>Tabla14[[#This Row],[Valor Embarque Pesona5]]*Tabla14[[#This Row],[Presonas Segunda]]</f>
        <v>0</v>
      </c>
      <c r="AW173" s="287">
        <f>Tabla14[[#This Row],[Bolsas Por Personas]]</f>
        <v>8.9333333333333336</v>
      </c>
      <c r="AX173" s="288">
        <f>Tabla14[[#This Row],[Valor bolsas Pesona]]</f>
        <v>4466.666666666667</v>
      </c>
      <c r="AY173" s="309">
        <f>Tabla14[[#This Row],[Personas13]]</f>
        <v>15</v>
      </c>
      <c r="AZ173" s="310">
        <f>Tabla14[[#This Row],[Valor bolsas Pesona2]]*Tabla14[[#This Row],[Personas Rechazo]]</f>
        <v>67000</v>
      </c>
      <c r="BA173" s="311">
        <f>+Tabla14[[#This Row],[Total Valor Segunda]]+Tabla14[[#This Row],[Total Valor Primera]]+Tabla14[[#This Row],[Total Valor Precorte]]</f>
        <v>430500</v>
      </c>
      <c r="BB173" s="292">
        <f>Tabla14[[#This Row],[Valor bolsas Pesona2]]+Tabla14[[#This Row],[Valor Embarque Pesona3]]</f>
        <v>33166.666666666664</v>
      </c>
      <c r="BC173" s="332">
        <v>35000</v>
      </c>
      <c r="BD173" s="292">
        <f>Tabla14[[#This Row],[VALOR GANADO]]-Tabla14[[#This Row],[REAJUSTADO]]</f>
        <v>-1833.3333333333358</v>
      </c>
      <c r="BE173" s="250">
        <f>Tabla14[[#This Row],[CUANTO SE REAJUSTA]]*Tabla14[[#This Row],[Personas Rechazo]]</f>
        <v>-27500.000000000036</v>
      </c>
      <c r="BF173" s="250">
        <f>Tabla14[[#This Row],[REAJUSTADO]]/25000</f>
        <v>1.4</v>
      </c>
      <c r="BG173" s="302">
        <f>Tabla14[[#This Row],[REAJUSTADO]]*Tabla14[[#This Row],[Personas Rechazo]]</f>
        <v>525000</v>
      </c>
      <c r="BH173" s="292" t="str">
        <f>Tabla14[[#This Row],[Finca]]</f>
        <v>Pedrito</v>
      </c>
      <c r="BI173" s="250">
        <v>0</v>
      </c>
      <c r="BJ173" s="332">
        <f>Tabla14[[#This Row],[Numero de Ocacionales]]*Tabla14[[#This Row],[REAJUSTADO]]</f>
        <v>0</v>
      </c>
      <c r="BK173" s="332"/>
      <c r="BL173" s="332"/>
      <c r="BM173" s="332">
        <f>+Tabla14[[#This Row],[CUANTO SE REAJUSTA]]*3</f>
        <v>-5500.0000000000073</v>
      </c>
      <c r="BN173" s="334"/>
      <c r="BO173" s="334"/>
      <c r="BP173" s="334"/>
    </row>
    <row r="174" spans="3:68" hidden="1" x14ac:dyDescent="0.25">
      <c r="C174" s="274">
        <v>44796</v>
      </c>
      <c r="D174" s="507">
        <f>YEAR(Tabla14[[#This Row],[Fecha]])</f>
        <v>2022</v>
      </c>
      <c r="E174" s="313">
        <f>IF(Tabla14[[#This Row],[Fecha]]&gt;0,_xlfn.ISOWEEKNUM(Tabla14[[#This Row],[Fecha]]),0)</f>
        <v>34</v>
      </c>
      <c r="F174" s="283">
        <v>372</v>
      </c>
      <c r="G174" s="275" t="s">
        <v>152</v>
      </c>
      <c r="H174" s="325" t="str">
        <f>_xlfn.XLOOKUP(Tabla14[[#This Row],[Codigo Finca]],Tabla4[Codigo Finca],Tabla4[Nombre Finca],"")</f>
        <v>San Pedro</v>
      </c>
      <c r="I174" s="277">
        <f>_xlfn.XLOOKUP(Tabla14[[#This Row],[Codigo Finca]],Tabla4[Codigo Finca],Tabla4[Precio Caja],0)</f>
        <v>1500</v>
      </c>
      <c r="J174" s="277">
        <f>_xlfn.XLOOKUP(Tabla14[[#This Row],[Codigo Finca]],Tabla4[Codigo Finca],Tabla4[Precio Caja Segunda],0)</f>
        <v>1000</v>
      </c>
      <c r="K174" s="277">
        <f>_xlfn.XLOOKUP(Tabla14[[#This Row],[Codigo Finca]],Tabla4[Codigo Finca],Tabla4[Precio Rechazo],0)</f>
        <v>500</v>
      </c>
      <c r="L174" s="277">
        <f t="shared" si="218"/>
        <v>102</v>
      </c>
      <c r="M174" s="278">
        <f t="shared" si="219"/>
        <v>0.27419354838709675</v>
      </c>
      <c r="N174" s="283">
        <v>102</v>
      </c>
      <c r="O174" s="279">
        <v>3</v>
      </c>
      <c r="P174" s="280">
        <f t="shared" si="220"/>
        <v>186.00000000000003</v>
      </c>
      <c r="Q174" s="281">
        <f t="shared" si="221"/>
        <v>62.000000000000007</v>
      </c>
      <c r="R174" s="282">
        <f t="shared" si="222"/>
        <v>93000.000000000015</v>
      </c>
      <c r="S174" s="283"/>
      <c r="T174" s="275">
        <v>20</v>
      </c>
      <c r="U174" s="280">
        <f t="shared" si="223"/>
        <v>185.99999999999997</v>
      </c>
      <c r="V174" s="281">
        <f t="shared" si="224"/>
        <v>9.2999999999999989</v>
      </c>
      <c r="W174" s="282">
        <f t="shared" si="225"/>
        <v>13949.999999999996</v>
      </c>
      <c r="X174" s="283"/>
      <c r="Y174" s="275"/>
      <c r="Z174" s="280">
        <f>Tabla14[[#This Row],[Cajas Segunda]]</f>
        <v>0</v>
      </c>
      <c r="AA174" s="281">
        <f t="shared" si="226"/>
        <v>0</v>
      </c>
      <c r="AB174" s="284">
        <f t="shared" si="227"/>
        <v>0</v>
      </c>
      <c r="AC174" s="285">
        <v>98</v>
      </c>
      <c r="AD174" s="286"/>
      <c r="AE174" s="286"/>
      <c r="AF174" s="286"/>
      <c r="AG174" s="286">
        <v>20</v>
      </c>
      <c r="AH174" s="280">
        <f t="shared" si="228"/>
        <v>98</v>
      </c>
      <c r="AI174" s="281">
        <f t="shared" si="229"/>
        <v>4.9000000000000004</v>
      </c>
      <c r="AJ174" s="282">
        <f t="shared" si="230"/>
        <v>2450</v>
      </c>
      <c r="AK174" s="287">
        <f>Tabla14[[#This Row],[Cajas por Personas]]</f>
        <v>62.000000000000007</v>
      </c>
      <c r="AL174" s="288">
        <f>Tabla14[[#This Row],[Valor Precorte Pesona]]</f>
        <v>93000.000000000015</v>
      </c>
      <c r="AM174" s="294">
        <f>Tabla14[[#This Row],[Personas Precorte]]</f>
        <v>3</v>
      </c>
      <c r="AN174" s="308">
        <f>Tabla14[[#This Row],[Valor Precorte Pesona Precorte]]*Tabla14[[#This Row],[Perzonas Precorte]]</f>
        <v>279000.00000000006</v>
      </c>
      <c r="AO174" s="287">
        <f>Tabla14[[#This Row],[Cajas por Personas2]]</f>
        <v>9.2999999999999989</v>
      </c>
      <c r="AP174" s="288">
        <f>Tabla14[[#This Row],[Valor Embarque Pesona]]</f>
        <v>13949.999999999996</v>
      </c>
      <c r="AQ174" s="295">
        <f>Tabla14[[#This Row],[Personas Precorte2]]</f>
        <v>20</v>
      </c>
      <c r="AR174" s="296">
        <f>Tabla14[[#This Row],[Valor Embarque Pesona3]]*Tabla14[[#This Row],[Perzona Primera]]</f>
        <v>278999.99999999994</v>
      </c>
      <c r="AS174" s="287">
        <f>Tabla14[[#This Row],[Columna2]]</f>
        <v>0</v>
      </c>
      <c r="AT174" s="288">
        <f>Tabla14[[#This Row],[Columna1]]</f>
        <v>0</v>
      </c>
      <c r="AU174" s="302">
        <f>Tabla14[[#This Row],[Personas Intervienen]]</f>
        <v>0</v>
      </c>
      <c r="AV174" s="297">
        <f>Tabla14[[#This Row],[Valor Embarque Pesona5]]*Tabla14[[#This Row],[Presonas Segunda]]</f>
        <v>0</v>
      </c>
      <c r="AW174" s="287">
        <f>Tabla14[[#This Row],[Bolsas Por Personas]]</f>
        <v>4.9000000000000004</v>
      </c>
      <c r="AX174" s="288">
        <f>Tabla14[[#This Row],[Valor bolsas Pesona]]</f>
        <v>2450</v>
      </c>
      <c r="AY174" s="309">
        <f>Tabla14[[#This Row],[Personas13]]</f>
        <v>20</v>
      </c>
      <c r="AZ174" s="310">
        <f>Tabla14[[#This Row],[Valor bolsas Pesona2]]*Tabla14[[#This Row],[Personas Rechazo]]</f>
        <v>49000</v>
      </c>
      <c r="BA174" s="311">
        <f>+Tabla14[[#This Row],[Total Valor Segunda]]+Tabla14[[#This Row],[Total Valor Primera]]+Tabla14[[#This Row],[Total Valor Precorte]]</f>
        <v>558000</v>
      </c>
      <c r="BB174" s="292">
        <f>Tabla14[[#This Row],[Valor bolsas Pesona2]]+Tabla14[[#This Row],[Valor Embarque Pesona3]]</f>
        <v>16399.999999999996</v>
      </c>
      <c r="BC174" s="332">
        <v>32000</v>
      </c>
      <c r="BD174" s="292">
        <f>Tabla14[[#This Row],[VALOR GANADO]]-Tabla14[[#This Row],[REAJUSTADO]]</f>
        <v>-15600.000000000004</v>
      </c>
      <c r="BE174" s="250">
        <f>Tabla14[[#This Row],[CUANTO SE REAJUSTA]]*Tabla14[[#This Row],[Personas Rechazo]]</f>
        <v>-312000.00000000006</v>
      </c>
      <c r="BF174" s="250">
        <f>Tabla14[[#This Row],[REAJUSTADO]]/25000</f>
        <v>1.28</v>
      </c>
      <c r="BG174" s="302">
        <f>Tabla14[[#This Row],[REAJUSTADO]]*Tabla14[[#This Row],[Personas Rechazo]]</f>
        <v>640000</v>
      </c>
      <c r="BH174" s="292" t="str">
        <f>Tabla14[[#This Row],[Finca]]</f>
        <v>San Pedro</v>
      </c>
      <c r="BI174" s="250">
        <v>8</v>
      </c>
      <c r="BJ174" s="332">
        <f>Tabla14[[#This Row],[Numero de Ocacionales]]*Tabla14[[#This Row],[REAJUSTADO]]</f>
        <v>256000</v>
      </c>
      <c r="BK174" s="332"/>
      <c r="BL174" s="332">
        <v>30000</v>
      </c>
      <c r="BM174" s="332">
        <f>+Tabla14[[#This Row],[CUANTO SE REAJUSTA]]*3</f>
        <v>-46800.000000000015</v>
      </c>
      <c r="BN174" s="334"/>
      <c r="BO174" s="334"/>
      <c r="BP174" s="334"/>
    </row>
    <row r="175" spans="3:68" hidden="1" x14ac:dyDescent="0.25">
      <c r="C175" s="274">
        <v>44796</v>
      </c>
      <c r="D175" s="507">
        <f>YEAR(Tabla14[[#This Row],[Fecha]])</f>
        <v>2022</v>
      </c>
      <c r="E175" s="313">
        <f>IF(Tabla14[[#This Row],[Fecha]]&gt;0,_xlfn.ISOWEEKNUM(Tabla14[[#This Row],[Fecha]]),0)</f>
        <v>34</v>
      </c>
      <c r="F175" s="283">
        <v>65</v>
      </c>
      <c r="G175" s="275" t="s">
        <v>153</v>
      </c>
      <c r="H175" s="325" t="str">
        <f>_xlfn.XLOOKUP(Tabla14[[#This Row],[Codigo Finca]],Tabla4[Codigo Finca],Tabla4[Nombre Finca],"")</f>
        <v>Uveros</v>
      </c>
      <c r="I175" s="277">
        <f>_xlfn.XLOOKUP(Tabla14[[#This Row],[Codigo Finca]],Tabla4[Codigo Finca],Tabla4[Precio Caja],0)</f>
        <v>1500</v>
      </c>
      <c r="J175" s="277">
        <f>_xlfn.XLOOKUP(Tabla14[[#This Row],[Codigo Finca]],Tabla4[Codigo Finca],Tabla4[Precio Caja Segunda],0)</f>
        <v>1000</v>
      </c>
      <c r="K175" s="277">
        <f>_xlfn.XLOOKUP(Tabla14[[#This Row],[Codigo Finca]],Tabla4[Codigo Finca],Tabla4[Precio Rechazo],0)</f>
        <v>500</v>
      </c>
      <c r="L175" s="277">
        <f t="shared" si="218"/>
        <v>0</v>
      </c>
      <c r="M175" s="278">
        <f t="shared" si="219"/>
        <v>0</v>
      </c>
      <c r="N175" s="283"/>
      <c r="O175" s="279"/>
      <c r="P175" s="280">
        <f t="shared" si="220"/>
        <v>0</v>
      </c>
      <c r="Q175" s="281">
        <f t="shared" si="221"/>
        <v>0</v>
      </c>
      <c r="R175" s="282">
        <f t="shared" si="222"/>
        <v>0</v>
      </c>
      <c r="S175" s="283"/>
      <c r="T175" s="275">
        <v>7</v>
      </c>
      <c r="U175" s="280">
        <f t="shared" si="223"/>
        <v>65</v>
      </c>
      <c r="V175" s="281">
        <f t="shared" si="224"/>
        <v>9.2857142857142865</v>
      </c>
      <c r="W175" s="282">
        <f t="shared" si="225"/>
        <v>13928.571428571429</v>
      </c>
      <c r="X175" s="283"/>
      <c r="Y175" s="275"/>
      <c r="Z175" s="280">
        <f>Tabla14[[#This Row],[Cajas Segunda]]</f>
        <v>0</v>
      </c>
      <c r="AA175" s="281">
        <f t="shared" si="226"/>
        <v>0</v>
      </c>
      <c r="AB175" s="284">
        <f t="shared" si="227"/>
        <v>0</v>
      </c>
      <c r="AC175" s="285">
        <f>46+3.4</f>
        <v>49.4</v>
      </c>
      <c r="AD175" s="286"/>
      <c r="AE175" s="286"/>
      <c r="AF175" s="286"/>
      <c r="AG175" s="286">
        <v>7</v>
      </c>
      <c r="AH175" s="280">
        <f t="shared" si="228"/>
        <v>49.4</v>
      </c>
      <c r="AI175" s="281">
        <f t="shared" si="229"/>
        <v>7.0571428571428569</v>
      </c>
      <c r="AJ175" s="282">
        <f t="shared" si="230"/>
        <v>3528.5714285714284</v>
      </c>
      <c r="AK175" s="287">
        <f>Tabla14[[#This Row],[Cajas por Personas]]</f>
        <v>0</v>
      </c>
      <c r="AL175" s="288">
        <f>Tabla14[[#This Row],[Valor Precorte Pesona]]</f>
        <v>0</v>
      </c>
      <c r="AM175" s="294">
        <f>Tabla14[[#This Row],[Personas Precorte]]</f>
        <v>0</v>
      </c>
      <c r="AN175" s="308">
        <f>Tabla14[[#This Row],[Valor Precorte Pesona Precorte]]*Tabla14[[#This Row],[Perzonas Precorte]]</f>
        <v>0</v>
      </c>
      <c r="AO175" s="287">
        <f>Tabla14[[#This Row],[Cajas por Personas2]]</f>
        <v>9.2857142857142865</v>
      </c>
      <c r="AP175" s="288">
        <f>Tabla14[[#This Row],[Valor Embarque Pesona]]</f>
        <v>13928.571428571429</v>
      </c>
      <c r="AQ175" s="295">
        <f>Tabla14[[#This Row],[Personas Precorte2]]</f>
        <v>7</v>
      </c>
      <c r="AR175" s="296">
        <f>Tabla14[[#This Row],[Valor Embarque Pesona3]]*Tabla14[[#This Row],[Perzona Primera]]</f>
        <v>97500</v>
      </c>
      <c r="AS175" s="287">
        <f>Tabla14[[#This Row],[Columna2]]</f>
        <v>0</v>
      </c>
      <c r="AT175" s="288">
        <f>Tabla14[[#This Row],[Columna1]]</f>
        <v>0</v>
      </c>
      <c r="AU175" s="302">
        <f>Tabla14[[#This Row],[Personas Intervienen]]</f>
        <v>0</v>
      </c>
      <c r="AV175" s="297">
        <f>Tabla14[[#This Row],[Valor Embarque Pesona5]]*Tabla14[[#This Row],[Presonas Segunda]]</f>
        <v>0</v>
      </c>
      <c r="AW175" s="287">
        <f>Tabla14[[#This Row],[Bolsas Por Personas]]</f>
        <v>7.0571428571428569</v>
      </c>
      <c r="AX175" s="288">
        <f>Tabla14[[#This Row],[Valor bolsas Pesona]]</f>
        <v>3528.5714285714284</v>
      </c>
      <c r="AY175" s="309">
        <f>Tabla14[[#This Row],[Personas13]]</f>
        <v>7</v>
      </c>
      <c r="AZ175" s="310">
        <f>Tabla14[[#This Row],[Valor bolsas Pesona2]]*Tabla14[[#This Row],[Personas Rechazo]]</f>
        <v>24700</v>
      </c>
      <c r="BA175" s="311">
        <f>+Tabla14[[#This Row],[Total Valor Segunda]]+Tabla14[[#This Row],[Total Valor Primera]]+Tabla14[[#This Row],[Total Valor Precorte]]</f>
        <v>97500</v>
      </c>
      <c r="BB175" s="292">
        <f>Tabla14[[#This Row],[Valor bolsas Pesona2]]+Tabla14[[#This Row],[Valor Embarque Pesona3]]</f>
        <v>17457.142857142859</v>
      </c>
      <c r="BC175" s="332">
        <v>30000</v>
      </c>
      <c r="BD175" s="292">
        <f>Tabla14[[#This Row],[VALOR GANADO]]-Tabla14[[#This Row],[REAJUSTADO]]</f>
        <v>-12542.857142857141</v>
      </c>
      <c r="BE175" s="250">
        <f>Tabla14[[#This Row],[CUANTO SE REAJUSTA]]*Tabla14[[#This Row],[Personas Rechazo]]</f>
        <v>-87799.999999999985</v>
      </c>
      <c r="BF175" s="250">
        <f>Tabla14[[#This Row],[REAJUSTADO]]/25000</f>
        <v>1.2</v>
      </c>
      <c r="BG175" s="302">
        <f>Tabla14[[#This Row],[REAJUSTADO]]*Tabla14[[#This Row],[Personas Rechazo]]</f>
        <v>210000</v>
      </c>
      <c r="BH175" s="292" t="str">
        <f>Tabla14[[#This Row],[Finca]]</f>
        <v>Uveros</v>
      </c>
      <c r="BI175" s="250">
        <v>6</v>
      </c>
      <c r="BJ175" s="332">
        <f>Tabla14[[#This Row],[Numero de Ocacionales]]*Tabla14[[#This Row],[REAJUSTADO]]</f>
        <v>180000</v>
      </c>
      <c r="BK175" s="332"/>
      <c r="BL175" s="332"/>
      <c r="BM175" s="332">
        <f>+Tabla14[[#This Row],[CUANTO SE REAJUSTA]]*3</f>
        <v>-37628.57142857142</v>
      </c>
      <c r="BN175" s="334"/>
      <c r="BO175" s="334"/>
      <c r="BP175" s="334"/>
    </row>
    <row r="176" spans="3:68" hidden="1" x14ac:dyDescent="0.25">
      <c r="C176" s="274">
        <v>44796</v>
      </c>
      <c r="D176" s="507">
        <f>YEAR(Tabla14[[#This Row],[Fecha]])</f>
        <v>2022</v>
      </c>
      <c r="E176" s="313">
        <f>IF(Tabla14[[#This Row],[Fecha]]&gt;0,_xlfn.ISOWEEKNUM(Tabla14[[#This Row],[Fecha]]),0)</f>
        <v>34</v>
      </c>
      <c r="F176" s="283">
        <v>0</v>
      </c>
      <c r="G176" s="275" t="s">
        <v>157</v>
      </c>
      <c r="H176" s="325" t="str">
        <f>_xlfn.XLOOKUP(Tabla14[[#This Row],[Codigo Finca]],Tabla4[Codigo Finca],Tabla4[Nombre Finca],"")</f>
        <v>Pedrito</v>
      </c>
      <c r="I176" s="277">
        <f>_xlfn.XLOOKUP(Tabla14[[#This Row],[Codigo Finca]],Tabla4[Codigo Finca],Tabla4[Precio Caja],0)</f>
        <v>2100</v>
      </c>
      <c r="J176" s="277">
        <f>_xlfn.XLOOKUP(Tabla14[[#This Row],[Codigo Finca]],Tabla4[Codigo Finca],Tabla4[Precio Caja Segunda],0)</f>
        <v>1000</v>
      </c>
      <c r="K176" s="277">
        <f>_xlfn.XLOOKUP(Tabla14[[#This Row],[Codigo Finca]],Tabla4[Codigo Finca],Tabla4[Precio Rechazo],0)</f>
        <v>500</v>
      </c>
      <c r="L176" s="277">
        <f t="shared" si="218"/>
        <v>0</v>
      </c>
      <c r="M176" s="278">
        <f t="shared" si="219"/>
        <v>0</v>
      </c>
      <c r="N176" s="283"/>
      <c r="O176" s="279"/>
      <c r="P176" s="280">
        <f t="shared" si="220"/>
        <v>0</v>
      </c>
      <c r="Q176" s="281">
        <f t="shared" si="221"/>
        <v>0</v>
      </c>
      <c r="R176" s="282">
        <f t="shared" si="222"/>
        <v>0</v>
      </c>
      <c r="S176" s="283"/>
      <c r="T176" s="275"/>
      <c r="U176" s="280">
        <f t="shared" si="223"/>
        <v>0</v>
      </c>
      <c r="V176" s="281">
        <f t="shared" si="224"/>
        <v>0</v>
      </c>
      <c r="W176" s="282">
        <f t="shared" si="225"/>
        <v>0</v>
      </c>
      <c r="X176" s="283"/>
      <c r="Y176" s="275"/>
      <c r="Z176" s="280">
        <f>Tabla14[[#This Row],[Cajas Segunda]]</f>
        <v>0</v>
      </c>
      <c r="AA176" s="281">
        <f t="shared" si="226"/>
        <v>0</v>
      </c>
      <c r="AB176" s="284">
        <f t="shared" si="227"/>
        <v>0</v>
      </c>
      <c r="AC176" s="285">
        <v>27</v>
      </c>
      <c r="AD176" s="286"/>
      <c r="AE176" s="286"/>
      <c r="AF176" s="286"/>
      <c r="AG176" s="286">
        <v>3</v>
      </c>
      <c r="AH176" s="280">
        <f t="shared" si="228"/>
        <v>27</v>
      </c>
      <c r="AI176" s="281">
        <f t="shared" si="229"/>
        <v>9</v>
      </c>
      <c r="AJ176" s="282">
        <f t="shared" si="230"/>
        <v>4500</v>
      </c>
      <c r="AK176" s="287">
        <f>Tabla14[[#This Row],[Cajas por Personas]]</f>
        <v>0</v>
      </c>
      <c r="AL176" s="288">
        <f>Tabla14[[#This Row],[Valor Precorte Pesona]]</f>
        <v>0</v>
      </c>
      <c r="AM176" s="294">
        <f>Tabla14[[#This Row],[Personas Precorte]]</f>
        <v>0</v>
      </c>
      <c r="AN176" s="308">
        <f>Tabla14[[#This Row],[Valor Precorte Pesona Precorte]]*Tabla14[[#This Row],[Perzonas Precorte]]</f>
        <v>0</v>
      </c>
      <c r="AO176" s="287">
        <f>Tabla14[[#This Row],[Cajas por Personas2]]</f>
        <v>0</v>
      </c>
      <c r="AP176" s="288">
        <f>Tabla14[[#This Row],[Valor Embarque Pesona]]</f>
        <v>0</v>
      </c>
      <c r="AQ176" s="295">
        <f>Tabla14[[#This Row],[Personas Precorte2]]</f>
        <v>0</v>
      </c>
      <c r="AR176" s="296">
        <f>Tabla14[[#This Row],[Valor Embarque Pesona3]]*Tabla14[[#This Row],[Perzona Primera]]</f>
        <v>0</v>
      </c>
      <c r="AS176" s="287">
        <f>Tabla14[[#This Row],[Columna2]]</f>
        <v>0</v>
      </c>
      <c r="AT176" s="288">
        <f>Tabla14[[#This Row],[Columna1]]</f>
        <v>0</v>
      </c>
      <c r="AU176" s="302">
        <f>Tabla14[[#This Row],[Personas Intervienen]]</f>
        <v>0</v>
      </c>
      <c r="AV176" s="297">
        <f>Tabla14[[#This Row],[Valor Embarque Pesona5]]*Tabla14[[#This Row],[Presonas Segunda]]</f>
        <v>0</v>
      </c>
      <c r="AW176" s="287">
        <f>Tabla14[[#This Row],[Bolsas Por Personas]]</f>
        <v>9</v>
      </c>
      <c r="AX176" s="288">
        <f>Tabla14[[#This Row],[Valor bolsas Pesona]]</f>
        <v>4500</v>
      </c>
      <c r="AY176" s="309">
        <f>Tabla14[[#This Row],[Personas13]]</f>
        <v>3</v>
      </c>
      <c r="AZ176" s="310">
        <f>Tabla14[[#This Row],[Valor bolsas Pesona2]]*Tabla14[[#This Row],[Personas Rechazo]]</f>
        <v>13500</v>
      </c>
      <c r="BA176" s="311">
        <f>+Tabla14[[#This Row],[Total Valor Segunda]]+Tabla14[[#This Row],[Total Valor Primera]]+Tabla14[[#This Row],[Total Valor Precorte]]</f>
        <v>0</v>
      </c>
      <c r="BB176" s="292">
        <f>Tabla14[[#This Row],[Valor bolsas Pesona2]]+Tabla14[[#This Row],[Valor Embarque Pesona3]]</f>
        <v>4500</v>
      </c>
      <c r="BC176" s="332">
        <v>30000</v>
      </c>
      <c r="BD176" s="292">
        <f>Tabla14[[#This Row],[VALOR GANADO]]-Tabla14[[#This Row],[REAJUSTADO]]</f>
        <v>-25500</v>
      </c>
      <c r="BE176" s="250">
        <f>Tabla14[[#This Row],[CUANTO SE REAJUSTA]]*Tabla14[[#This Row],[Personas Rechazo]]</f>
        <v>-76500</v>
      </c>
      <c r="BF176" s="250">
        <f>Tabla14[[#This Row],[REAJUSTADO]]/25000</f>
        <v>1.2</v>
      </c>
      <c r="BG176" s="302">
        <f>Tabla14[[#This Row],[REAJUSTADO]]*Tabla14[[#This Row],[Personas Rechazo]]</f>
        <v>90000</v>
      </c>
      <c r="BH176" s="292" t="str">
        <f>Tabla14[[#This Row],[Finca]]</f>
        <v>Pedrito</v>
      </c>
      <c r="BJ176" s="332">
        <f>Tabla14[[#This Row],[Numero de Ocacionales]]*Tabla14[[#This Row],[REAJUSTADO]]</f>
        <v>0</v>
      </c>
      <c r="BK176" s="332"/>
      <c r="BL176" s="332"/>
      <c r="BM176" s="332">
        <f>+Tabla14[[#This Row],[CUANTO SE REAJUSTA]]*3</f>
        <v>-76500</v>
      </c>
      <c r="BN176" s="334"/>
      <c r="BO176" s="334"/>
      <c r="BP176" s="334"/>
    </row>
    <row r="177" spans="3:68" hidden="1" x14ac:dyDescent="0.25">
      <c r="C177" s="274">
        <v>44797</v>
      </c>
      <c r="D177" s="507">
        <f>YEAR(Tabla14[[#This Row],[Fecha]])</f>
        <v>2022</v>
      </c>
      <c r="E177" s="313">
        <f>IF(Tabla14[[#This Row],[Fecha]]&gt;0,_xlfn.ISOWEEKNUM(Tabla14[[#This Row],[Fecha]]),0)</f>
        <v>34</v>
      </c>
      <c r="F177" s="283">
        <v>400</v>
      </c>
      <c r="G177" s="275" t="s">
        <v>152</v>
      </c>
      <c r="H177" s="325" t="str">
        <f>_xlfn.XLOOKUP(Tabla14[[#This Row],[Codigo Finca]],Tabla4[Codigo Finca],Tabla4[Nombre Finca],"")</f>
        <v>San Pedro</v>
      </c>
      <c r="I177" s="277">
        <f>_xlfn.XLOOKUP(Tabla14[[#This Row],[Codigo Finca]],Tabla4[Codigo Finca],Tabla4[Precio Caja],0)</f>
        <v>1500</v>
      </c>
      <c r="J177" s="277">
        <f>_xlfn.XLOOKUP(Tabla14[[#This Row],[Codigo Finca]],Tabla4[Codigo Finca],Tabla4[Precio Caja Segunda],0)</f>
        <v>1000</v>
      </c>
      <c r="K177" s="277">
        <f>_xlfn.XLOOKUP(Tabla14[[#This Row],[Codigo Finca]],Tabla4[Codigo Finca],Tabla4[Precio Rechazo],0)</f>
        <v>500</v>
      </c>
      <c r="L177" s="277">
        <f t="shared" si="218"/>
        <v>0</v>
      </c>
      <c r="M177" s="278">
        <f t="shared" si="219"/>
        <v>0</v>
      </c>
      <c r="N177" s="283"/>
      <c r="O177" s="279"/>
      <c r="P177" s="280">
        <f t="shared" si="220"/>
        <v>0</v>
      </c>
      <c r="Q177" s="281">
        <f t="shared" si="221"/>
        <v>0</v>
      </c>
      <c r="R177" s="282">
        <f t="shared" si="222"/>
        <v>0</v>
      </c>
      <c r="S177" s="283"/>
      <c r="T177" s="275">
        <v>23</v>
      </c>
      <c r="U177" s="280">
        <f t="shared" si="223"/>
        <v>400</v>
      </c>
      <c r="V177" s="281">
        <f t="shared" si="224"/>
        <v>17.391304347826086</v>
      </c>
      <c r="W177" s="282">
        <f t="shared" si="225"/>
        <v>26086.956521739132</v>
      </c>
      <c r="X177" s="283"/>
      <c r="Y177" s="275"/>
      <c r="Z177" s="280">
        <f>Tabla14[[#This Row],[Cajas Segunda]]</f>
        <v>0</v>
      </c>
      <c r="AA177" s="281">
        <f t="shared" si="226"/>
        <v>0</v>
      </c>
      <c r="AB177" s="284">
        <f t="shared" si="227"/>
        <v>0</v>
      </c>
      <c r="AC177" s="285">
        <v>158</v>
      </c>
      <c r="AD177" s="286"/>
      <c r="AE177" s="286"/>
      <c r="AF177" s="286"/>
      <c r="AG177" s="286">
        <v>23</v>
      </c>
      <c r="AH177" s="280">
        <f t="shared" si="228"/>
        <v>158</v>
      </c>
      <c r="AI177" s="281">
        <f t="shared" si="229"/>
        <v>6.8695652173913047</v>
      </c>
      <c r="AJ177" s="282">
        <f t="shared" si="230"/>
        <v>3434.7826086956525</v>
      </c>
      <c r="AK177" s="287">
        <f>Tabla14[[#This Row],[Cajas por Personas]]</f>
        <v>0</v>
      </c>
      <c r="AL177" s="288">
        <f>Tabla14[[#This Row],[Valor Precorte Pesona]]</f>
        <v>0</v>
      </c>
      <c r="AM177" s="294">
        <f>Tabla14[[#This Row],[Personas Precorte]]</f>
        <v>0</v>
      </c>
      <c r="AN177" s="308">
        <f>Tabla14[[#This Row],[Valor Precorte Pesona Precorte]]*Tabla14[[#This Row],[Perzonas Precorte]]</f>
        <v>0</v>
      </c>
      <c r="AO177" s="287">
        <f>Tabla14[[#This Row],[Cajas por Personas2]]</f>
        <v>17.391304347826086</v>
      </c>
      <c r="AP177" s="288">
        <f>Tabla14[[#This Row],[Valor Embarque Pesona]]</f>
        <v>26086.956521739132</v>
      </c>
      <c r="AQ177" s="295">
        <f>Tabla14[[#This Row],[Personas Precorte2]]</f>
        <v>23</v>
      </c>
      <c r="AR177" s="296">
        <f>Tabla14[[#This Row],[Valor Embarque Pesona3]]*Tabla14[[#This Row],[Perzona Primera]]</f>
        <v>600000</v>
      </c>
      <c r="AS177" s="287">
        <f>Tabla14[[#This Row],[Columna2]]</f>
        <v>0</v>
      </c>
      <c r="AT177" s="288">
        <f>Tabla14[[#This Row],[Columna1]]</f>
        <v>0</v>
      </c>
      <c r="AU177" s="302">
        <f>Tabla14[[#This Row],[Personas Intervienen]]</f>
        <v>0</v>
      </c>
      <c r="AV177" s="297">
        <f>Tabla14[[#This Row],[Valor Embarque Pesona5]]*Tabla14[[#This Row],[Presonas Segunda]]</f>
        <v>0</v>
      </c>
      <c r="AW177" s="287">
        <f>Tabla14[[#This Row],[Bolsas Por Personas]]</f>
        <v>6.8695652173913047</v>
      </c>
      <c r="AX177" s="288">
        <f>Tabla14[[#This Row],[Valor bolsas Pesona]]</f>
        <v>3434.7826086956525</v>
      </c>
      <c r="AY177" s="309">
        <f>Tabla14[[#This Row],[Personas13]]</f>
        <v>23</v>
      </c>
      <c r="AZ177" s="310">
        <f>Tabla14[[#This Row],[Valor bolsas Pesona2]]*Tabla14[[#This Row],[Personas Rechazo]]</f>
        <v>79000</v>
      </c>
      <c r="BA177" s="311">
        <f>+Tabla14[[#This Row],[Total Valor Segunda]]+Tabla14[[#This Row],[Total Valor Primera]]+Tabla14[[#This Row],[Total Valor Precorte]]</f>
        <v>600000</v>
      </c>
      <c r="BB177" s="292">
        <f>Tabla14[[#This Row],[Valor bolsas Pesona2]]+Tabla14[[#This Row],[Valor Embarque Pesona3]]</f>
        <v>29521.739130434784</v>
      </c>
      <c r="BC177" s="332">
        <v>35000</v>
      </c>
      <c r="BD177" s="292">
        <f>Tabla14[[#This Row],[VALOR GANADO]]-Tabla14[[#This Row],[REAJUSTADO]]</f>
        <v>-5478.2608695652161</v>
      </c>
      <c r="BE177" s="250">
        <f>Tabla14[[#This Row],[CUANTO SE REAJUSTA]]*Tabla14[[#This Row],[Personas Rechazo]]</f>
        <v>-125999.99999999997</v>
      </c>
      <c r="BF177" s="250">
        <f>Tabla14[[#This Row],[REAJUSTADO]]/25000</f>
        <v>1.4</v>
      </c>
      <c r="BG177" s="302">
        <f>Tabla14[[#This Row],[REAJUSTADO]]*Tabla14[[#This Row],[Personas Rechazo]]</f>
        <v>805000</v>
      </c>
      <c r="BH177" s="292" t="str">
        <f>Tabla14[[#This Row],[Finca]]</f>
        <v>San Pedro</v>
      </c>
      <c r="BI177" s="250">
        <v>13</v>
      </c>
      <c r="BJ177" s="332">
        <f>Tabla14[[#This Row],[Numero de Ocacionales]]*Tabla14[[#This Row],[REAJUSTADO]]</f>
        <v>455000</v>
      </c>
      <c r="BK177" s="332"/>
      <c r="BL177" s="332">
        <v>30000</v>
      </c>
      <c r="BM177" s="332">
        <f>+Tabla14[[#This Row],[CUANTO SE REAJUSTA]]*3</f>
        <v>-16434.782608695648</v>
      </c>
      <c r="BN177" s="334"/>
      <c r="BO177" s="334"/>
      <c r="BP177" s="334"/>
    </row>
    <row r="178" spans="3:68" hidden="1" x14ac:dyDescent="0.25">
      <c r="C178" s="274">
        <v>44803</v>
      </c>
      <c r="D178" s="507">
        <f>YEAR(Tabla14[[#This Row],[Fecha]])</f>
        <v>2022</v>
      </c>
      <c r="E178" s="313">
        <f>IF(Tabla14[[#This Row],[Fecha]]&gt;0,_xlfn.ISOWEEKNUM(Tabla14[[#This Row],[Fecha]]),0)</f>
        <v>35</v>
      </c>
      <c r="F178" s="283">
        <v>40</v>
      </c>
      <c r="G178" s="275" t="s">
        <v>152</v>
      </c>
      <c r="H178" s="325" t="str">
        <f>_xlfn.XLOOKUP(Tabla14[[#This Row],[Codigo Finca]],Tabla4[Codigo Finca],Tabla4[Nombre Finca],"")</f>
        <v>San Pedro</v>
      </c>
      <c r="I178" s="277">
        <f>_xlfn.XLOOKUP(Tabla14[[#This Row],[Codigo Finca]],Tabla4[Codigo Finca],Tabla4[Precio Caja],0)</f>
        <v>1500</v>
      </c>
      <c r="J178" s="277">
        <f>_xlfn.XLOOKUP(Tabla14[[#This Row],[Codigo Finca]],Tabla4[Codigo Finca],Tabla4[Precio Caja Segunda],0)</f>
        <v>1000</v>
      </c>
      <c r="K178" s="277">
        <f>_xlfn.XLOOKUP(Tabla14[[#This Row],[Codigo Finca]],Tabla4[Codigo Finca],Tabla4[Precio Rechazo],0)</f>
        <v>500</v>
      </c>
      <c r="L178" s="277">
        <f t="shared" si="218"/>
        <v>0</v>
      </c>
      <c r="M178" s="278">
        <f t="shared" si="219"/>
        <v>0</v>
      </c>
      <c r="N178" s="283"/>
      <c r="O178" s="279"/>
      <c r="P178" s="280">
        <f t="shared" si="220"/>
        <v>0</v>
      </c>
      <c r="Q178" s="281">
        <f t="shared" si="221"/>
        <v>0</v>
      </c>
      <c r="R178" s="282">
        <f t="shared" si="222"/>
        <v>0</v>
      </c>
      <c r="S178" s="283"/>
      <c r="T178" s="275">
        <v>3</v>
      </c>
      <c r="U178" s="280">
        <f t="shared" si="223"/>
        <v>40</v>
      </c>
      <c r="V178" s="281">
        <f t="shared" si="224"/>
        <v>13.333333333333334</v>
      </c>
      <c r="W178" s="282">
        <f t="shared" si="225"/>
        <v>20000</v>
      </c>
      <c r="X178" s="283"/>
      <c r="Y178" s="275"/>
      <c r="Z178" s="280">
        <f>Tabla14[[#This Row],[Cajas Segunda]]</f>
        <v>0</v>
      </c>
      <c r="AA178" s="281">
        <f t="shared" si="226"/>
        <v>0</v>
      </c>
      <c r="AB178" s="284">
        <f t="shared" si="227"/>
        <v>0</v>
      </c>
      <c r="AC178" s="285">
        <v>15</v>
      </c>
      <c r="AD178" s="286"/>
      <c r="AE178" s="286"/>
      <c r="AF178" s="286"/>
      <c r="AG178" s="286">
        <v>3</v>
      </c>
      <c r="AH178" s="280">
        <f t="shared" si="228"/>
        <v>15</v>
      </c>
      <c r="AI178" s="281">
        <f t="shared" si="229"/>
        <v>5</v>
      </c>
      <c r="AJ178" s="282">
        <f t="shared" si="230"/>
        <v>2500</v>
      </c>
      <c r="AK178" s="287">
        <f>Tabla14[[#This Row],[Cajas por Personas]]</f>
        <v>0</v>
      </c>
      <c r="AL178" s="288">
        <f>Tabla14[[#This Row],[Valor Precorte Pesona]]</f>
        <v>0</v>
      </c>
      <c r="AM178" s="294">
        <f>Tabla14[[#This Row],[Personas Precorte]]</f>
        <v>0</v>
      </c>
      <c r="AN178" s="308">
        <f>Tabla14[[#This Row],[Valor Precorte Pesona Precorte]]*Tabla14[[#This Row],[Perzonas Precorte]]</f>
        <v>0</v>
      </c>
      <c r="AO178" s="287">
        <f>Tabla14[[#This Row],[Cajas por Personas2]]</f>
        <v>13.333333333333334</v>
      </c>
      <c r="AP178" s="288">
        <f>Tabla14[[#This Row],[Valor Embarque Pesona]]</f>
        <v>20000</v>
      </c>
      <c r="AQ178" s="295">
        <f>Tabla14[[#This Row],[Personas Precorte2]]</f>
        <v>3</v>
      </c>
      <c r="AR178" s="296">
        <f>Tabla14[[#This Row],[Valor Embarque Pesona3]]*Tabla14[[#This Row],[Perzona Primera]]</f>
        <v>60000</v>
      </c>
      <c r="AS178" s="287">
        <f>Tabla14[[#This Row],[Columna2]]</f>
        <v>0</v>
      </c>
      <c r="AT178" s="288">
        <f>Tabla14[[#This Row],[Columna1]]</f>
        <v>0</v>
      </c>
      <c r="AU178" s="302">
        <f>Tabla14[[#This Row],[Personas Intervienen]]</f>
        <v>0</v>
      </c>
      <c r="AV178" s="297">
        <f>Tabla14[[#This Row],[Valor Embarque Pesona5]]*Tabla14[[#This Row],[Presonas Segunda]]</f>
        <v>0</v>
      </c>
      <c r="AW178" s="287">
        <f>Tabla14[[#This Row],[Bolsas Por Personas]]</f>
        <v>5</v>
      </c>
      <c r="AX178" s="288">
        <f>Tabla14[[#This Row],[Valor bolsas Pesona]]</f>
        <v>2500</v>
      </c>
      <c r="AY178" s="309">
        <f>Tabla14[[#This Row],[Personas13]]</f>
        <v>3</v>
      </c>
      <c r="AZ178" s="310">
        <f>Tabla14[[#This Row],[Valor bolsas Pesona2]]*Tabla14[[#This Row],[Personas Rechazo]]</f>
        <v>7500</v>
      </c>
      <c r="BA178" s="311">
        <f>+Tabla14[[#This Row],[Total Valor Segunda]]+Tabla14[[#This Row],[Total Valor Primera]]+Tabla14[[#This Row],[Total Valor Precorte]]</f>
        <v>60000</v>
      </c>
      <c r="BB178" s="292">
        <f>Tabla14[[#This Row],[Valor bolsas Pesona2]]+Tabla14[[#This Row],[Valor Embarque Pesona3]]</f>
        <v>22500</v>
      </c>
      <c r="BC178" s="332">
        <v>30000</v>
      </c>
      <c r="BD178" s="292">
        <f>Tabla14[[#This Row],[VALOR GANADO]]-Tabla14[[#This Row],[REAJUSTADO]]</f>
        <v>-7500</v>
      </c>
      <c r="BE178" s="250">
        <f>Tabla14[[#This Row],[CUANTO SE REAJUSTA]]*Tabla14[[#This Row],[Personas Rechazo]]</f>
        <v>-22500</v>
      </c>
      <c r="BF178" s="250">
        <f>Tabla14[[#This Row],[REAJUSTADO]]/25000</f>
        <v>1.2</v>
      </c>
      <c r="BG178" s="302">
        <f>Tabla14[[#This Row],[REAJUSTADO]]*Tabla14[[#This Row],[Personas Rechazo]]</f>
        <v>90000</v>
      </c>
      <c r="BH178" s="292" t="str">
        <f>Tabla14[[#This Row],[Finca]]</f>
        <v>San Pedro</v>
      </c>
      <c r="BI178" s="250">
        <v>1</v>
      </c>
      <c r="BJ178" s="332">
        <f>Tabla14[[#This Row],[Numero de Ocacionales]]*Tabla14[[#This Row],[REAJUSTADO]]</f>
        <v>30000</v>
      </c>
      <c r="BK178" s="332"/>
      <c r="BL178" s="332"/>
      <c r="BM178" s="332">
        <f>+Tabla14[[#This Row],[CUANTO SE REAJUSTA]]*3</f>
        <v>-22500</v>
      </c>
      <c r="BN178" s="334"/>
      <c r="BO178" s="334"/>
      <c r="BP178" s="334"/>
    </row>
    <row r="179" spans="3:68" hidden="1" x14ac:dyDescent="0.25">
      <c r="C179" s="274">
        <v>44803</v>
      </c>
      <c r="D179" s="507">
        <f>YEAR(Tabla14[[#This Row],[Fecha]])</f>
        <v>2022</v>
      </c>
      <c r="E179" s="313">
        <f>IF(Tabla14[[#This Row],[Fecha]]&gt;0,_xlfn.ISOWEEKNUM(Tabla14[[#This Row],[Fecha]]),0)</f>
        <v>35</v>
      </c>
      <c r="F179" s="283">
        <v>70</v>
      </c>
      <c r="G179" s="275" t="s">
        <v>155</v>
      </c>
      <c r="H179" s="325" t="str">
        <f>_xlfn.XLOOKUP(Tabla14[[#This Row],[Codigo Finca]],Tabla4[Codigo Finca],Tabla4[Nombre Finca],"")</f>
        <v>Damaquiel</v>
      </c>
      <c r="I179" s="277">
        <f>_xlfn.XLOOKUP(Tabla14[[#This Row],[Codigo Finca]],Tabla4[Codigo Finca],Tabla4[Precio Caja],0)</f>
        <v>1500</v>
      </c>
      <c r="J179" s="277">
        <f>_xlfn.XLOOKUP(Tabla14[[#This Row],[Codigo Finca]],Tabla4[Codigo Finca],Tabla4[Precio Caja Segunda],0)</f>
        <v>1000</v>
      </c>
      <c r="K179" s="277">
        <f>_xlfn.XLOOKUP(Tabla14[[#This Row],[Codigo Finca]],Tabla4[Codigo Finca],Tabla4[Precio Rechazo],0)</f>
        <v>500</v>
      </c>
      <c r="L179" s="277">
        <f t="shared" ref="L179:L184" si="231">S179+N179</f>
        <v>0</v>
      </c>
      <c r="M179" s="278">
        <f t="shared" ref="M179:M184" si="232">IF(F179&gt;0,L179/F179,0)</f>
        <v>0</v>
      </c>
      <c r="N179" s="283"/>
      <c r="O179" s="279"/>
      <c r="P179" s="280">
        <f t="shared" ref="P179:P184" si="233">IF(N179&gt;0,(N179/M179)/2,0)</f>
        <v>0</v>
      </c>
      <c r="Q179" s="281">
        <f t="shared" ref="Q179:Q184" si="234">IF(O179&gt;0,P179/O179,0)</f>
        <v>0</v>
      </c>
      <c r="R179" s="282">
        <f t="shared" ref="R179:R184" si="235">IF(I179&gt;0,Q179*I179,)</f>
        <v>0</v>
      </c>
      <c r="S179" s="283"/>
      <c r="T179" s="275">
        <v>7</v>
      </c>
      <c r="U179" s="280">
        <f t="shared" ref="U179:U184" si="236">F179-P179</f>
        <v>70</v>
      </c>
      <c r="V179" s="281">
        <f t="shared" ref="V179:V184" si="237">IF(T179&gt;0,U179/T179,0)</f>
        <v>10</v>
      </c>
      <c r="W179" s="282">
        <f t="shared" ref="W179:W184" si="238">IF(T179&gt;0,(U179*I179)/T179,0)</f>
        <v>15000</v>
      </c>
      <c r="X179" s="283"/>
      <c r="Y179" s="275"/>
      <c r="Z179" s="280">
        <f>Tabla14[[#This Row],[Cajas Segunda]]</f>
        <v>0</v>
      </c>
      <c r="AA179" s="281">
        <f t="shared" ref="AA179:AA184" si="239">IF(Y179&gt;0,Z179/Y179,0)</f>
        <v>0</v>
      </c>
      <c r="AB179" s="284">
        <f t="shared" ref="AB179:AB184" si="240">IF(Y179&gt;0,(Z179*J179)/Y179,0)</f>
        <v>0</v>
      </c>
      <c r="AC179" s="285">
        <f>17+21</f>
        <v>38</v>
      </c>
      <c r="AD179" s="286"/>
      <c r="AE179" s="286"/>
      <c r="AF179" s="286"/>
      <c r="AG179" s="286">
        <v>7</v>
      </c>
      <c r="AH179" s="280">
        <f t="shared" ref="AH179:AH184" si="241">IF(AND(AC179&gt;0,AE179=0,AF179=0,AD179=0),AC179,IF(AND(AC179=0,AE179&gt;0,AF179&gt;0,AD179=0),AE179*AF179/25,IF(AND(AC179=0,AE179=0,AF179=0,AD179&gt;0),AD179/25,0)))</f>
        <v>38</v>
      </c>
      <c r="AI179" s="281">
        <f t="shared" ref="AI179:AI184" si="242">IF(AG179&gt;0,AH179/AG179,0)</f>
        <v>5.4285714285714288</v>
      </c>
      <c r="AJ179" s="282">
        <f t="shared" ref="AJ179:AJ184" si="243">AI179*K179</f>
        <v>2714.2857142857142</v>
      </c>
      <c r="AK179" s="287">
        <f>Tabla14[[#This Row],[Cajas por Personas]]</f>
        <v>0</v>
      </c>
      <c r="AL179" s="288">
        <f>Tabla14[[#This Row],[Valor Precorte Pesona]]</f>
        <v>0</v>
      </c>
      <c r="AM179" s="294">
        <f>Tabla14[[#This Row],[Personas Precorte]]</f>
        <v>0</v>
      </c>
      <c r="AN179" s="308">
        <f>Tabla14[[#This Row],[Valor Precorte Pesona Precorte]]*Tabla14[[#This Row],[Perzonas Precorte]]</f>
        <v>0</v>
      </c>
      <c r="AO179" s="287">
        <f>Tabla14[[#This Row],[Cajas por Personas2]]</f>
        <v>10</v>
      </c>
      <c r="AP179" s="288">
        <f>Tabla14[[#This Row],[Valor Embarque Pesona]]</f>
        <v>15000</v>
      </c>
      <c r="AQ179" s="295">
        <f>Tabla14[[#This Row],[Personas Precorte2]]</f>
        <v>7</v>
      </c>
      <c r="AR179" s="296">
        <f>Tabla14[[#This Row],[Valor Embarque Pesona3]]*Tabla14[[#This Row],[Perzona Primera]]</f>
        <v>105000</v>
      </c>
      <c r="AS179" s="287">
        <f>Tabla14[[#This Row],[Columna2]]</f>
        <v>0</v>
      </c>
      <c r="AT179" s="288">
        <f>Tabla14[[#This Row],[Columna1]]</f>
        <v>0</v>
      </c>
      <c r="AU179" s="302">
        <f>Tabla14[[#This Row],[Personas Intervienen]]</f>
        <v>0</v>
      </c>
      <c r="AV179" s="297">
        <f>Tabla14[[#This Row],[Valor Embarque Pesona5]]*Tabla14[[#This Row],[Presonas Segunda]]</f>
        <v>0</v>
      </c>
      <c r="AW179" s="287">
        <f>Tabla14[[#This Row],[Bolsas Por Personas]]</f>
        <v>5.4285714285714288</v>
      </c>
      <c r="AX179" s="288">
        <f>Tabla14[[#This Row],[Valor bolsas Pesona]]</f>
        <v>2714.2857142857142</v>
      </c>
      <c r="AY179" s="309">
        <f>Tabla14[[#This Row],[Personas13]]</f>
        <v>7</v>
      </c>
      <c r="AZ179" s="310">
        <f>Tabla14[[#This Row],[Valor bolsas Pesona2]]*Tabla14[[#This Row],[Personas Rechazo]]</f>
        <v>19000</v>
      </c>
      <c r="BA179" s="311">
        <f>+Tabla14[[#This Row],[Total Valor Segunda]]+Tabla14[[#This Row],[Total Valor Primera]]+Tabla14[[#This Row],[Total Valor Precorte]]</f>
        <v>105000</v>
      </c>
      <c r="BB179" s="292">
        <f>Tabla14[[#This Row],[Valor bolsas Pesona2]]+Tabla14[[#This Row],[Valor Embarque Pesona3]]</f>
        <v>17714.285714285714</v>
      </c>
      <c r="BC179" s="332">
        <v>30000</v>
      </c>
      <c r="BD179" s="292">
        <f>Tabla14[[#This Row],[VALOR GANADO]]-Tabla14[[#This Row],[REAJUSTADO]]</f>
        <v>-12285.714285714286</v>
      </c>
      <c r="BE179" s="250">
        <f>Tabla14[[#This Row],[CUANTO SE REAJUSTA]]*Tabla14[[#This Row],[Personas Rechazo]]</f>
        <v>-86000</v>
      </c>
      <c r="BF179" s="250">
        <f>Tabla14[[#This Row],[REAJUSTADO]]/25000</f>
        <v>1.2</v>
      </c>
      <c r="BG179" s="302">
        <f>Tabla14[[#This Row],[REAJUSTADO]]*Tabla14[[#This Row],[Personas Rechazo]]</f>
        <v>210000</v>
      </c>
      <c r="BH179" s="292" t="str">
        <f>Tabla14[[#This Row],[Finca]]</f>
        <v>Damaquiel</v>
      </c>
      <c r="BI179" s="250">
        <v>6</v>
      </c>
      <c r="BJ179" s="332">
        <f>Tabla14[[#This Row],[Numero de Ocacionales]]*Tabla14[[#This Row],[REAJUSTADO]]</f>
        <v>180000</v>
      </c>
      <c r="BK179" s="332"/>
      <c r="BL179" s="332"/>
      <c r="BM179" s="332">
        <f>+Tabla14[[#This Row],[CUANTO SE REAJUSTA]]*3</f>
        <v>-36857.142857142855</v>
      </c>
      <c r="BN179" s="334"/>
      <c r="BO179" s="334"/>
      <c r="BP179" s="334"/>
    </row>
    <row r="180" spans="3:68" hidden="1" x14ac:dyDescent="0.25">
      <c r="C180" s="274">
        <v>44804</v>
      </c>
      <c r="D180" s="507">
        <f>YEAR(Tabla14[[#This Row],[Fecha]])</f>
        <v>2022</v>
      </c>
      <c r="E180" s="313">
        <f>IF(Tabla14[[#This Row],[Fecha]]&gt;0,_xlfn.ISOWEEKNUM(Tabla14[[#This Row],[Fecha]]),0)</f>
        <v>35</v>
      </c>
      <c r="F180" s="283">
        <v>12</v>
      </c>
      <c r="G180" s="275" t="s">
        <v>153</v>
      </c>
      <c r="H180" s="325" t="str">
        <f>_xlfn.XLOOKUP(Tabla14[[#This Row],[Codigo Finca]],Tabla4[Codigo Finca],Tabla4[Nombre Finca],"")</f>
        <v>Uveros</v>
      </c>
      <c r="I180" s="277">
        <f>_xlfn.XLOOKUP(Tabla14[[#This Row],[Codigo Finca]],Tabla4[Codigo Finca],Tabla4[Precio Caja],0)</f>
        <v>1500</v>
      </c>
      <c r="J180" s="277">
        <f>_xlfn.XLOOKUP(Tabla14[[#This Row],[Codigo Finca]],Tabla4[Codigo Finca],Tabla4[Precio Caja Segunda],0)</f>
        <v>1000</v>
      </c>
      <c r="K180" s="277">
        <f>_xlfn.XLOOKUP(Tabla14[[#This Row],[Codigo Finca]],Tabla4[Codigo Finca],Tabla4[Precio Rechazo],0)</f>
        <v>500</v>
      </c>
      <c r="L180" s="277">
        <f t="shared" si="231"/>
        <v>0</v>
      </c>
      <c r="M180" s="278">
        <f t="shared" si="232"/>
        <v>0</v>
      </c>
      <c r="N180" s="283"/>
      <c r="O180" s="279"/>
      <c r="P180" s="280">
        <f t="shared" si="233"/>
        <v>0</v>
      </c>
      <c r="Q180" s="281">
        <f t="shared" si="234"/>
        <v>0</v>
      </c>
      <c r="R180" s="282">
        <f t="shared" si="235"/>
        <v>0</v>
      </c>
      <c r="S180" s="283"/>
      <c r="T180" s="275">
        <v>5</v>
      </c>
      <c r="U180" s="280">
        <f t="shared" si="236"/>
        <v>12</v>
      </c>
      <c r="V180" s="281">
        <f t="shared" si="237"/>
        <v>2.4</v>
      </c>
      <c r="W180" s="282">
        <f t="shared" si="238"/>
        <v>3600</v>
      </c>
      <c r="X180" s="283"/>
      <c r="Y180" s="275"/>
      <c r="Z180" s="280">
        <f>Tabla14[[#This Row],[Cajas Segunda]]</f>
        <v>0</v>
      </c>
      <c r="AA180" s="281">
        <f t="shared" si="239"/>
        <v>0</v>
      </c>
      <c r="AB180" s="284">
        <f t="shared" si="240"/>
        <v>0</v>
      </c>
      <c r="AC180" s="285">
        <v>8</v>
      </c>
      <c r="AD180" s="286"/>
      <c r="AE180" s="286"/>
      <c r="AF180" s="286"/>
      <c r="AG180" s="286">
        <v>5</v>
      </c>
      <c r="AH180" s="280">
        <f t="shared" si="241"/>
        <v>8</v>
      </c>
      <c r="AI180" s="281">
        <f t="shared" si="242"/>
        <v>1.6</v>
      </c>
      <c r="AJ180" s="282">
        <f t="shared" si="243"/>
        <v>800</v>
      </c>
      <c r="AK180" s="287">
        <f>Tabla14[[#This Row],[Cajas por Personas]]</f>
        <v>0</v>
      </c>
      <c r="AL180" s="288">
        <f>Tabla14[[#This Row],[Valor Precorte Pesona]]</f>
        <v>0</v>
      </c>
      <c r="AM180" s="294">
        <f>Tabla14[[#This Row],[Personas Precorte]]</f>
        <v>0</v>
      </c>
      <c r="AN180" s="308">
        <f>Tabla14[[#This Row],[Valor Precorte Pesona Precorte]]*Tabla14[[#This Row],[Perzonas Precorte]]</f>
        <v>0</v>
      </c>
      <c r="AO180" s="287">
        <f>Tabla14[[#This Row],[Cajas por Personas2]]</f>
        <v>2.4</v>
      </c>
      <c r="AP180" s="288">
        <f>Tabla14[[#This Row],[Valor Embarque Pesona]]</f>
        <v>3600</v>
      </c>
      <c r="AQ180" s="295">
        <f>Tabla14[[#This Row],[Personas Precorte2]]</f>
        <v>5</v>
      </c>
      <c r="AR180" s="296">
        <f>Tabla14[[#This Row],[Valor Embarque Pesona3]]*Tabla14[[#This Row],[Perzona Primera]]</f>
        <v>18000</v>
      </c>
      <c r="AS180" s="287">
        <f>Tabla14[[#This Row],[Columna2]]</f>
        <v>0</v>
      </c>
      <c r="AT180" s="288">
        <f>Tabla14[[#This Row],[Columna1]]</f>
        <v>0</v>
      </c>
      <c r="AU180" s="302">
        <f>Tabla14[[#This Row],[Personas Intervienen]]</f>
        <v>0</v>
      </c>
      <c r="AV180" s="297">
        <f>Tabla14[[#This Row],[Valor Embarque Pesona5]]*Tabla14[[#This Row],[Presonas Segunda]]</f>
        <v>0</v>
      </c>
      <c r="AW180" s="287">
        <f>Tabla14[[#This Row],[Bolsas Por Personas]]</f>
        <v>1.6</v>
      </c>
      <c r="AX180" s="288">
        <f>Tabla14[[#This Row],[Valor bolsas Pesona]]</f>
        <v>800</v>
      </c>
      <c r="AY180" s="309">
        <f>Tabla14[[#This Row],[Personas13]]</f>
        <v>5</v>
      </c>
      <c r="AZ180" s="310">
        <f>Tabla14[[#This Row],[Valor bolsas Pesona2]]*Tabla14[[#This Row],[Personas Rechazo]]</f>
        <v>4000</v>
      </c>
      <c r="BA180" s="311">
        <f>+Tabla14[[#This Row],[Total Valor Segunda]]+Tabla14[[#This Row],[Total Valor Primera]]+Tabla14[[#This Row],[Total Valor Precorte]]</f>
        <v>18000</v>
      </c>
      <c r="BB180" s="292">
        <f>Tabla14[[#This Row],[Valor bolsas Pesona2]]+Tabla14[[#This Row],[Valor Embarque Pesona3]]</f>
        <v>4400</v>
      </c>
      <c r="BC180" s="332">
        <v>25000</v>
      </c>
      <c r="BD180" s="292">
        <f>Tabla14[[#This Row],[VALOR GANADO]]-Tabla14[[#This Row],[REAJUSTADO]]</f>
        <v>-20600</v>
      </c>
      <c r="BE180" s="250">
        <f>Tabla14[[#This Row],[CUANTO SE REAJUSTA]]*Tabla14[[#This Row],[Personas Rechazo]]</f>
        <v>-103000</v>
      </c>
      <c r="BF180" s="250">
        <f>Tabla14[[#This Row],[REAJUSTADO]]/25000</f>
        <v>1</v>
      </c>
      <c r="BG180" s="302">
        <f>Tabla14[[#This Row],[REAJUSTADO]]*Tabla14[[#This Row],[Personas Rechazo]]</f>
        <v>125000</v>
      </c>
      <c r="BH180" s="292" t="str">
        <f>Tabla14[[#This Row],[Finca]]</f>
        <v>Uveros</v>
      </c>
      <c r="BI180" s="250">
        <v>4</v>
      </c>
      <c r="BJ180" s="332">
        <f>Tabla14[[#This Row],[Numero de Ocacionales]]*Tabla14[[#This Row],[REAJUSTADO]]</f>
        <v>100000</v>
      </c>
      <c r="BK180" s="332"/>
      <c r="BL180" s="332"/>
      <c r="BM180" s="332">
        <f>+Tabla14[[#This Row],[CUANTO SE REAJUSTA]]*3</f>
        <v>-61800</v>
      </c>
      <c r="BN180" s="334"/>
      <c r="BO180" s="334"/>
      <c r="BP180" s="334"/>
    </row>
    <row r="181" spans="3:68" hidden="1" x14ac:dyDescent="0.25">
      <c r="C181" s="274">
        <v>44804</v>
      </c>
      <c r="D181" s="507">
        <f>YEAR(Tabla14[[#This Row],[Fecha]])</f>
        <v>2022</v>
      </c>
      <c r="E181" s="313">
        <f>IF(Tabla14[[#This Row],[Fecha]]&gt;0,_xlfn.ISOWEEKNUM(Tabla14[[#This Row],[Fecha]]),0)</f>
        <v>35</v>
      </c>
      <c r="F181" s="283">
        <v>312</v>
      </c>
      <c r="G181" s="275" t="s">
        <v>152</v>
      </c>
      <c r="H181" s="325" t="str">
        <f>_xlfn.XLOOKUP(Tabla14[[#This Row],[Codigo Finca]],Tabla4[Codigo Finca],Tabla4[Nombre Finca],"")</f>
        <v>San Pedro</v>
      </c>
      <c r="I181" s="277">
        <f>_xlfn.XLOOKUP(Tabla14[[#This Row],[Codigo Finca]],Tabla4[Codigo Finca],Tabla4[Precio Caja],0)</f>
        <v>1500</v>
      </c>
      <c r="J181" s="277">
        <f>_xlfn.XLOOKUP(Tabla14[[#This Row],[Codigo Finca]],Tabla4[Codigo Finca],Tabla4[Precio Caja Segunda],0)</f>
        <v>1000</v>
      </c>
      <c r="K181" s="277">
        <f>_xlfn.XLOOKUP(Tabla14[[#This Row],[Codigo Finca]],Tabla4[Codigo Finca],Tabla4[Precio Rechazo],0)</f>
        <v>500</v>
      </c>
      <c r="L181" s="277">
        <f t="shared" si="231"/>
        <v>0</v>
      </c>
      <c r="M181" s="278">
        <f t="shared" si="232"/>
        <v>0</v>
      </c>
      <c r="N181" s="283"/>
      <c r="O181" s="279"/>
      <c r="P181" s="280">
        <f t="shared" si="233"/>
        <v>0</v>
      </c>
      <c r="Q181" s="281">
        <f t="shared" si="234"/>
        <v>0</v>
      </c>
      <c r="R181" s="282">
        <f t="shared" si="235"/>
        <v>0</v>
      </c>
      <c r="S181" s="283"/>
      <c r="T181" s="275">
        <v>18</v>
      </c>
      <c r="U181" s="280">
        <f t="shared" si="236"/>
        <v>312</v>
      </c>
      <c r="V181" s="281">
        <f t="shared" si="237"/>
        <v>17.333333333333332</v>
      </c>
      <c r="W181" s="282">
        <f t="shared" si="238"/>
        <v>26000</v>
      </c>
      <c r="X181" s="283"/>
      <c r="Y181" s="275"/>
      <c r="Z181" s="280">
        <f>Tabla14[[#This Row],[Cajas Segunda]]</f>
        <v>0</v>
      </c>
      <c r="AA181" s="281">
        <f t="shared" si="239"/>
        <v>0</v>
      </c>
      <c r="AB181" s="284">
        <f t="shared" si="240"/>
        <v>0</v>
      </c>
      <c r="AC181" s="285"/>
      <c r="AD181" s="279">
        <f>366+639+1533+800+185</f>
        <v>3523</v>
      </c>
      <c r="AE181" s="286"/>
      <c r="AF181" s="286"/>
      <c r="AG181" s="286">
        <v>18</v>
      </c>
      <c r="AH181" s="280">
        <f t="shared" si="241"/>
        <v>140.91999999999999</v>
      </c>
      <c r="AI181" s="281">
        <f t="shared" si="242"/>
        <v>7.8288888888888879</v>
      </c>
      <c r="AJ181" s="282">
        <f t="shared" si="243"/>
        <v>3914.4444444444439</v>
      </c>
      <c r="AK181" s="287">
        <f>Tabla14[[#This Row],[Cajas por Personas]]</f>
        <v>0</v>
      </c>
      <c r="AL181" s="288">
        <f>Tabla14[[#This Row],[Valor Precorte Pesona]]</f>
        <v>0</v>
      </c>
      <c r="AM181" s="294">
        <f>Tabla14[[#This Row],[Personas Precorte]]</f>
        <v>0</v>
      </c>
      <c r="AN181" s="308">
        <f>Tabla14[[#This Row],[Valor Precorte Pesona Precorte]]*Tabla14[[#This Row],[Perzonas Precorte]]</f>
        <v>0</v>
      </c>
      <c r="AO181" s="287">
        <f>Tabla14[[#This Row],[Cajas por Personas2]]</f>
        <v>17.333333333333332</v>
      </c>
      <c r="AP181" s="288">
        <f>Tabla14[[#This Row],[Valor Embarque Pesona]]</f>
        <v>26000</v>
      </c>
      <c r="AQ181" s="295">
        <f>Tabla14[[#This Row],[Personas Precorte2]]</f>
        <v>18</v>
      </c>
      <c r="AR181" s="296">
        <f>Tabla14[[#This Row],[Valor Embarque Pesona3]]*Tabla14[[#This Row],[Perzona Primera]]</f>
        <v>468000</v>
      </c>
      <c r="AS181" s="287">
        <f>Tabla14[[#This Row],[Columna2]]</f>
        <v>0</v>
      </c>
      <c r="AT181" s="288">
        <f>Tabla14[[#This Row],[Columna1]]</f>
        <v>0</v>
      </c>
      <c r="AU181" s="302">
        <f>Tabla14[[#This Row],[Personas Intervienen]]</f>
        <v>0</v>
      </c>
      <c r="AV181" s="297">
        <f>Tabla14[[#This Row],[Valor Embarque Pesona5]]*Tabla14[[#This Row],[Presonas Segunda]]</f>
        <v>0</v>
      </c>
      <c r="AW181" s="287">
        <f>Tabla14[[#This Row],[Bolsas Por Personas]]</f>
        <v>7.8288888888888879</v>
      </c>
      <c r="AX181" s="288">
        <f>Tabla14[[#This Row],[Valor bolsas Pesona]]</f>
        <v>3914.4444444444439</v>
      </c>
      <c r="AY181" s="309">
        <f>Tabla14[[#This Row],[Personas13]]</f>
        <v>18</v>
      </c>
      <c r="AZ181" s="310">
        <f>Tabla14[[#This Row],[Valor bolsas Pesona2]]*Tabla14[[#This Row],[Personas Rechazo]]</f>
        <v>70459.999999999985</v>
      </c>
      <c r="BA181" s="311">
        <f>+Tabla14[[#This Row],[Total Valor Segunda]]+Tabla14[[#This Row],[Total Valor Primera]]+Tabla14[[#This Row],[Total Valor Precorte]]</f>
        <v>468000</v>
      </c>
      <c r="BB181" s="292">
        <f>Tabla14[[#This Row],[Valor bolsas Pesona2]]+Tabla14[[#This Row],[Valor Embarque Pesona3]]</f>
        <v>29914.444444444445</v>
      </c>
      <c r="BC181" s="332">
        <v>35000</v>
      </c>
      <c r="BD181" s="292">
        <f>Tabla14[[#This Row],[VALOR GANADO]]-Tabla14[[#This Row],[REAJUSTADO]]</f>
        <v>-5085.5555555555547</v>
      </c>
      <c r="BE181" s="250">
        <f>Tabla14[[#This Row],[CUANTO SE REAJUSTA]]*Tabla14[[#This Row],[Personas Rechazo]]</f>
        <v>-91539.999999999985</v>
      </c>
      <c r="BF181" s="250">
        <f>Tabla14[[#This Row],[REAJUSTADO]]/25000</f>
        <v>1.4</v>
      </c>
      <c r="BG181" s="302">
        <f>Tabla14[[#This Row],[REAJUSTADO]]*Tabla14[[#This Row],[Personas Rechazo]]</f>
        <v>630000</v>
      </c>
      <c r="BH181" s="292" t="str">
        <f>Tabla14[[#This Row],[Finca]]</f>
        <v>San Pedro</v>
      </c>
      <c r="BI181" s="250">
        <v>5</v>
      </c>
      <c r="BJ181" s="332">
        <f>Tabla14[[#This Row],[Numero de Ocacionales]]*Tabla14[[#This Row],[REAJUSTADO]]</f>
        <v>175000</v>
      </c>
      <c r="BK181" s="332"/>
      <c r="BL181" s="332">
        <v>30000</v>
      </c>
      <c r="BM181" s="332">
        <f>+Tabla14[[#This Row],[CUANTO SE REAJUSTA]]*3</f>
        <v>-15256.666666666664</v>
      </c>
      <c r="BN181" s="334"/>
      <c r="BO181" s="334"/>
      <c r="BP181" s="334"/>
    </row>
    <row r="182" spans="3:68" hidden="1" x14ac:dyDescent="0.25">
      <c r="C182" s="274">
        <v>44804</v>
      </c>
      <c r="D182" s="507">
        <f>YEAR(Tabla14[[#This Row],[Fecha]])</f>
        <v>2022</v>
      </c>
      <c r="E182" s="313">
        <f>IF(Tabla14[[#This Row],[Fecha]]&gt;0,_xlfn.ISOWEEKNUM(Tabla14[[#This Row],[Fecha]]),0)</f>
        <v>35</v>
      </c>
      <c r="F182" s="283">
        <v>80</v>
      </c>
      <c r="G182" s="275" t="s">
        <v>157</v>
      </c>
      <c r="H182" s="325" t="str">
        <f>_xlfn.XLOOKUP(Tabla14[[#This Row],[Codigo Finca]],Tabla4[Codigo Finca],Tabla4[Nombre Finca],"")</f>
        <v>Pedrito</v>
      </c>
      <c r="I182" s="277">
        <f>_xlfn.XLOOKUP(Tabla14[[#This Row],[Codigo Finca]],Tabla4[Codigo Finca],Tabla4[Precio Caja],0)</f>
        <v>2100</v>
      </c>
      <c r="J182" s="277">
        <f>_xlfn.XLOOKUP(Tabla14[[#This Row],[Codigo Finca]],Tabla4[Codigo Finca],Tabla4[Precio Caja Segunda],0)</f>
        <v>1000</v>
      </c>
      <c r="K182" s="277">
        <f>_xlfn.XLOOKUP(Tabla14[[#This Row],[Codigo Finca]],Tabla4[Codigo Finca],Tabla4[Precio Rechazo],0)</f>
        <v>500</v>
      </c>
      <c r="L182" s="277">
        <f t="shared" si="231"/>
        <v>615</v>
      </c>
      <c r="M182" s="278">
        <f t="shared" si="232"/>
        <v>7.6875</v>
      </c>
      <c r="N182" s="283"/>
      <c r="O182" s="279"/>
      <c r="P182" s="280">
        <f t="shared" si="233"/>
        <v>0</v>
      </c>
      <c r="Q182" s="281">
        <f t="shared" si="234"/>
        <v>0</v>
      </c>
      <c r="R182" s="282">
        <f t="shared" si="235"/>
        <v>0</v>
      </c>
      <c r="S182" s="283">
        <v>615</v>
      </c>
      <c r="T182" s="275">
        <v>10</v>
      </c>
      <c r="U182" s="280">
        <f t="shared" si="236"/>
        <v>80</v>
      </c>
      <c r="V182" s="281">
        <f t="shared" si="237"/>
        <v>8</v>
      </c>
      <c r="W182" s="282">
        <f t="shared" si="238"/>
        <v>16800</v>
      </c>
      <c r="X182" s="283"/>
      <c r="Y182" s="275"/>
      <c r="Z182" s="280">
        <f>Tabla14[[#This Row],[Cajas Segunda]]</f>
        <v>0</v>
      </c>
      <c r="AA182" s="281">
        <f t="shared" si="239"/>
        <v>0</v>
      </c>
      <c r="AB182" s="284">
        <f t="shared" si="240"/>
        <v>0</v>
      </c>
      <c r="AC182" s="285"/>
      <c r="AD182" s="279">
        <v>2937</v>
      </c>
      <c r="AE182" s="286"/>
      <c r="AF182" s="286"/>
      <c r="AG182" s="286">
        <v>10</v>
      </c>
      <c r="AH182" s="280">
        <f t="shared" si="241"/>
        <v>117.48</v>
      </c>
      <c r="AI182" s="281">
        <f t="shared" si="242"/>
        <v>11.748000000000001</v>
      </c>
      <c r="AJ182" s="282">
        <f t="shared" si="243"/>
        <v>5874.0000000000009</v>
      </c>
      <c r="AK182" s="287">
        <f>Tabla14[[#This Row],[Cajas por Personas]]</f>
        <v>0</v>
      </c>
      <c r="AL182" s="288">
        <f>Tabla14[[#This Row],[Valor Precorte Pesona]]</f>
        <v>0</v>
      </c>
      <c r="AM182" s="294">
        <f>Tabla14[[#This Row],[Personas Precorte]]</f>
        <v>0</v>
      </c>
      <c r="AN182" s="308">
        <f>Tabla14[[#This Row],[Valor Precorte Pesona Precorte]]*Tabla14[[#This Row],[Perzonas Precorte]]</f>
        <v>0</v>
      </c>
      <c r="AO182" s="287">
        <f>Tabla14[[#This Row],[Cajas por Personas2]]</f>
        <v>8</v>
      </c>
      <c r="AP182" s="288">
        <f>Tabla14[[#This Row],[Valor Embarque Pesona]]</f>
        <v>16800</v>
      </c>
      <c r="AQ182" s="295">
        <f>Tabla14[[#This Row],[Personas Precorte2]]</f>
        <v>10</v>
      </c>
      <c r="AR182" s="296">
        <f>Tabla14[[#This Row],[Valor Embarque Pesona3]]*Tabla14[[#This Row],[Perzona Primera]]</f>
        <v>168000</v>
      </c>
      <c r="AS182" s="287">
        <f>Tabla14[[#This Row],[Columna2]]</f>
        <v>0</v>
      </c>
      <c r="AT182" s="288">
        <f>Tabla14[[#This Row],[Columna1]]</f>
        <v>0</v>
      </c>
      <c r="AU182" s="302">
        <f>Tabla14[[#This Row],[Personas Intervienen]]</f>
        <v>0</v>
      </c>
      <c r="AV182" s="297">
        <f>Tabla14[[#This Row],[Valor Embarque Pesona5]]*Tabla14[[#This Row],[Presonas Segunda]]</f>
        <v>0</v>
      </c>
      <c r="AW182" s="287">
        <f>Tabla14[[#This Row],[Bolsas Por Personas]]</f>
        <v>11.748000000000001</v>
      </c>
      <c r="AX182" s="288">
        <f>Tabla14[[#This Row],[Valor bolsas Pesona]]</f>
        <v>5874.0000000000009</v>
      </c>
      <c r="AY182" s="309">
        <f>Tabla14[[#This Row],[Personas13]]</f>
        <v>10</v>
      </c>
      <c r="AZ182" s="310">
        <f>Tabla14[[#This Row],[Valor bolsas Pesona2]]*Tabla14[[#This Row],[Personas Rechazo]]</f>
        <v>58740.000000000007</v>
      </c>
      <c r="BA182" s="311">
        <f>+Tabla14[[#This Row],[Total Valor Segunda]]+Tabla14[[#This Row],[Total Valor Primera]]+Tabla14[[#This Row],[Total Valor Precorte]]</f>
        <v>168000</v>
      </c>
      <c r="BB182" s="292">
        <f>Tabla14[[#This Row],[Valor bolsas Pesona2]]+Tabla14[[#This Row],[Valor Embarque Pesona3]]</f>
        <v>22674</v>
      </c>
      <c r="BD182" s="292">
        <f>Tabla14[[#This Row],[VALOR GANADO]]-Tabla14[[#This Row],[REAJUSTADO]]</f>
        <v>22674</v>
      </c>
      <c r="BE182" s="250">
        <f>Tabla14[[#This Row],[CUANTO SE REAJUSTA]]*Tabla14[[#This Row],[Personas Rechazo]]</f>
        <v>226740</v>
      </c>
      <c r="BF182" s="250">
        <f>Tabla14[[#This Row],[REAJUSTADO]]/25000</f>
        <v>0</v>
      </c>
      <c r="BG182" s="302">
        <f>Tabla14[[#This Row],[REAJUSTADO]]*Tabla14[[#This Row],[Personas Rechazo]]</f>
        <v>0</v>
      </c>
      <c r="BH182" s="292" t="str">
        <f>Tabla14[[#This Row],[Finca]]</f>
        <v>Pedrito</v>
      </c>
      <c r="BJ182" s="332">
        <f>Tabla14[[#This Row],[Numero de Ocacionales]]*Tabla14[[#This Row],[REAJUSTADO]]</f>
        <v>0</v>
      </c>
      <c r="BK182" s="332"/>
      <c r="BL182" s="332"/>
      <c r="BM182" s="332">
        <f>+Tabla14[[#This Row],[CUANTO SE REAJUSTA]]*3</f>
        <v>68022</v>
      </c>
      <c r="BN182" s="334"/>
      <c r="BO182" s="334"/>
      <c r="BP182" s="334"/>
    </row>
    <row r="183" spans="3:68" hidden="1" x14ac:dyDescent="0.25">
      <c r="C183" s="515">
        <v>44810</v>
      </c>
      <c r="D183" s="549">
        <f>YEAR(Tabla14[[#This Row],[Fecha]])</f>
        <v>2022</v>
      </c>
      <c r="E183" s="242">
        <f>IF(Tabla14[[#This Row],[Fecha]]&gt;0,_xlfn.ISOWEEKNUM(Tabla14[[#This Row],[Fecha]]),0)</f>
        <v>36</v>
      </c>
      <c r="F183" s="550">
        <v>342</v>
      </c>
      <c r="G183" s="275" t="s">
        <v>152</v>
      </c>
      <c r="H183" s="325" t="str">
        <f>_xlfn.XLOOKUP(Tabla14[[#This Row],[Codigo Finca]],Tabla4[Codigo Finca],Tabla4[Nombre Finca],"")</f>
        <v>San Pedro</v>
      </c>
      <c r="I183" s="277">
        <f>_xlfn.XLOOKUP(Tabla14[[#This Row],[Codigo Finca]],Tabla4[Codigo Finca],Tabla4[Precio Caja],0)</f>
        <v>1500</v>
      </c>
      <c r="J183" s="277">
        <f>_xlfn.XLOOKUP(Tabla14[[#This Row],[Codigo Finca]],Tabla4[Codigo Finca],Tabla4[Precio Caja Segunda],0)</f>
        <v>1000</v>
      </c>
      <c r="K183" s="277">
        <f>_xlfn.XLOOKUP(Tabla14[[#This Row],[Codigo Finca]],Tabla4[Codigo Finca],Tabla4[Precio Rechazo],0)</f>
        <v>500</v>
      </c>
      <c r="L183" s="277">
        <f t="shared" si="231"/>
        <v>1146</v>
      </c>
      <c r="M183" s="278">
        <f t="shared" si="232"/>
        <v>3.3508771929824563</v>
      </c>
      <c r="N183" s="283"/>
      <c r="O183" s="279"/>
      <c r="P183" s="280">
        <f t="shared" si="233"/>
        <v>0</v>
      </c>
      <c r="Q183" s="281">
        <f t="shared" si="234"/>
        <v>0</v>
      </c>
      <c r="R183" s="282">
        <f t="shared" si="235"/>
        <v>0</v>
      </c>
      <c r="S183" s="283">
        <v>1146</v>
      </c>
      <c r="T183" s="275">
        <v>14</v>
      </c>
      <c r="U183" s="280">
        <f t="shared" si="236"/>
        <v>342</v>
      </c>
      <c r="V183" s="281">
        <f t="shared" si="237"/>
        <v>24.428571428571427</v>
      </c>
      <c r="W183" s="282">
        <f t="shared" si="238"/>
        <v>36642.857142857145</v>
      </c>
      <c r="X183" s="283"/>
      <c r="Y183" s="275"/>
      <c r="Z183" s="280">
        <f>Tabla14[[#This Row],[Cajas Segunda]]</f>
        <v>0</v>
      </c>
      <c r="AA183" s="281">
        <f t="shared" si="239"/>
        <v>0</v>
      </c>
      <c r="AB183" s="284">
        <f t="shared" si="240"/>
        <v>0</v>
      </c>
      <c r="AC183" s="285"/>
      <c r="AD183" s="286">
        <v>2786</v>
      </c>
      <c r="AE183" s="286"/>
      <c r="AF183" s="286"/>
      <c r="AG183" s="286">
        <v>14</v>
      </c>
      <c r="AH183" s="280">
        <f t="shared" si="241"/>
        <v>111.44</v>
      </c>
      <c r="AI183" s="281">
        <f t="shared" si="242"/>
        <v>7.96</v>
      </c>
      <c r="AJ183" s="282">
        <f t="shared" si="243"/>
        <v>3980</v>
      </c>
      <c r="AK183" s="287">
        <f>Tabla14[[#This Row],[Cajas por Personas]]</f>
        <v>0</v>
      </c>
      <c r="AL183" s="288">
        <f>Tabla14[[#This Row],[Valor Precorte Pesona]]</f>
        <v>0</v>
      </c>
      <c r="AM183" s="294">
        <f>Tabla14[[#This Row],[Personas Precorte]]</f>
        <v>0</v>
      </c>
      <c r="AN183" s="308">
        <f>Tabla14[[#This Row],[Valor Precorte Pesona Precorte]]*Tabla14[[#This Row],[Perzonas Precorte]]</f>
        <v>0</v>
      </c>
      <c r="AO183" s="287">
        <f>Tabla14[[#This Row],[Cajas por Personas2]]</f>
        <v>24.428571428571427</v>
      </c>
      <c r="AP183" s="288">
        <f>Tabla14[[#This Row],[Valor Embarque Pesona]]</f>
        <v>36642.857142857145</v>
      </c>
      <c r="AQ183" s="295">
        <f>Tabla14[[#This Row],[Personas Precorte2]]</f>
        <v>14</v>
      </c>
      <c r="AR183" s="296">
        <f>Tabla14[[#This Row],[Valor Embarque Pesona3]]*Tabla14[[#This Row],[Perzona Primera]]</f>
        <v>513000</v>
      </c>
      <c r="AS183" s="287">
        <f>Tabla14[[#This Row],[Columna2]]</f>
        <v>0</v>
      </c>
      <c r="AT183" s="288">
        <f>Tabla14[[#This Row],[Columna1]]</f>
        <v>0</v>
      </c>
      <c r="AU183" s="302">
        <f>Tabla14[[#This Row],[Personas Intervienen]]</f>
        <v>0</v>
      </c>
      <c r="AV183" s="297">
        <f>Tabla14[[#This Row],[Valor Embarque Pesona5]]*Tabla14[[#This Row],[Presonas Segunda]]</f>
        <v>0</v>
      </c>
      <c r="AW183" s="287">
        <f>Tabla14[[#This Row],[Bolsas Por Personas]]</f>
        <v>7.96</v>
      </c>
      <c r="AX183" s="288">
        <f>Tabla14[[#This Row],[Valor bolsas Pesona]]</f>
        <v>3980</v>
      </c>
      <c r="AY183" s="309">
        <f>Tabla14[[#This Row],[Personas13]]</f>
        <v>14</v>
      </c>
      <c r="AZ183" s="310">
        <f>Tabla14[[#This Row],[Valor bolsas Pesona2]]*Tabla14[[#This Row],[Personas Rechazo]]</f>
        <v>55720</v>
      </c>
      <c r="BA183" s="311">
        <f>+Tabla14[[#This Row],[Total Valor Segunda]]+Tabla14[[#This Row],[Total Valor Primera]]+Tabla14[[#This Row],[Total Valor Precorte]]</f>
        <v>513000</v>
      </c>
      <c r="BB183" s="292">
        <f>Tabla14[[#This Row],[Valor bolsas Pesona2]]+Tabla14[[#This Row],[Valor Embarque Pesona3]]</f>
        <v>40622.857142857145</v>
      </c>
      <c r="BC183" s="332">
        <v>41000</v>
      </c>
      <c r="BD183" s="292">
        <f>Tabla14[[#This Row],[VALOR GANADO]]-Tabla14[[#This Row],[REAJUSTADO]]</f>
        <v>-377.14285714285506</v>
      </c>
      <c r="BE183" s="250">
        <f>Tabla14[[#This Row],[CUANTO SE REAJUSTA]]*Tabla14[[#This Row],[Personas Rechazo]]</f>
        <v>-5279.9999999999709</v>
      </c>
      <c r="BF183" s="250">
        <f>Tabla14[[#This Row],[REAJUSTADO]]/25000</f>
        <v>1.64</v>
      </c>
      <c r="BG183" s="302">
        <f>Tabla14[[#This Row],[REAJUSTADO]]*Tabla14[[#This Row],[Personas Rechazo]]</f>
        <v>574000</v>
      </c>
      <c r="BH183" s="292" t="str">
        <f>Tabla14[[#This Row],[Finca]]</f>
        <v>San Pedro</v>
      </c>
      <c r="BI183" s="250">
        <v>7</v>
      </c>
      <c r="BJ183" s="332">
        <f>Tabla14[[#This Row],[Numero de Ocacionales]]*Tabla14[[#This Row],[REAJUSTADO]]</f>
        <v>287000</v>
      </c>
      <c r="BK183" s="332"/>
      <c r="BL183" s="332"/>
      <c r="BM183" s="332">
        <f>+Tabla14[[#This Row],[CUANTO SE REAJUSTA]]*3</f>
        <v>-1131.4285714285652</v>
      </c>
      <c r="BN183" s="334"/>
      <c r="BO183" s="334"/>
      <c r="BP183" s="334"/>
    </row>
    <row r="184" spans="3:68" hidden="1" x14ac:dyDescent="0.25">
      <c r="C184" s="515">
        <v>44810</v>
      </c>
      <c r="D184" s="549">
        <f>YEAR(Tabla14[[#This Row],[Fecha]])</f>
        <v>2022</v>
      </c>
      <c r="E184" s="242">
        <f>IF(Tabla14[[#This Row],[Fecha]]&gt;0,_xlfn.ISOWEEKNUM(Tabla14[[#This Row],[Fecha]]),0)</f>
        <v>36</v>
      </c>
      <c r="F184" s="550">
        <v>46</v>
      </c>
      <c r="G184" s="275" t="s">
        <v>248</v>
      </c>
      <c r="H184" s="325" t="str">
        <f>_xlfn.XLOOKUP(Tabla14[[#This Row],[Codigo Finca]],Tabla4[Codigo Finca],Tabla4[Nombre Finca],"")</f>
        <v>Damaquiel</v>
      </c>
      <c r="I184" s="277">
        <f>_xlfn.XLOOKUP(Tabla14[[#This Row],[Codigo Finca]],Tabla4[Codigo Finca],Tabla4[Precio Caja],0)</f>
        <v>1800</v>
      </c>
      <c r="J184" s="277">
        <f>_xlfn.XLOOKUP(Tabla14[[#This Row],[Codigo Finca]],Tabla4[Codigo Finca],Tabla4[Precio Caja Segunda],0)</f>
        <v>1150</v>
      </c>
      <c r="K184" s="277">
        <f>_xlfn.XLOOKUP(Tabla14[[#This Row],[Codigo Finca]],Tabla4[Codigo Finca],Tabla4[Precio Rechazo],0)</f>
        <v>575</v>
      </c>
      <c r="L184" s="277">
        <f t="shared" si="231"/>
        <v>710</v>
      </c>
      <c r="M184" s="278">
        <f t="shared" si="232"/>
        <v>15.434782608695652</v>
      </c>
      <c r="N184" s="283"/>
      <c r="O184" s="279"/>
      <c r="P184" s="280">
        <f t="shared" si="233"/>
        <v>0</v>
      </c>
      <c r="Q184" s="281">
        <f t="shared" si="234"/>
        <v>0</v>
      </c>
      <c r="R184" s="282">
        <f t="shared" si="235"/>
        <v>0</v>
      </c>
      <c r="S184" s="283">
        <v>710</v>
      </c>
      <c r="T184" s="275">
        <v>6</v>
      </c>
      <c r="U184" s="280">
        <f t="shared" si="236"/>
        <v>46</v>
      </c>
      <c r="V184" s="281">
        <f t="shared" si="237"/>
        <v>7.666666666666667</v>
      </c>
      <c r="W184" s="282">
        <f t="shared" si="238"/>
        <v>13800</v>
      </c>
      <c r="X184" s="283"/>
      <c r="Y184" s="275"/>
      <c r="Z184" s="280">
        <f>Tabla14[[#This Row],[Cajas Segunda]]</f>
        <v>0</v>
      </c>
      <c r="AA184" s="281">
        <f t="shared" si="239"/>
        <v>0</v>
      </c>
      <c r="AB184" s="284">
        <f t="shared" si="240"/>
        <v>0</v>
      </c>
      <c r="AC184" s="285"/>
      <c r="AD184" s="286">
        <f>9*85</f>
        <v>765</v>
      </c>
      <c r="AE184" s="286"/>
      <c r="AF184" s="286"/>
      <c r="AG184" s="286">
        <v>6</v>
      </c>
      <c r="AH184" s="280">
        <f t="shared" si="241"/>
        <v>30.6</v>
      </c>
      <c r="AI184" s="281">
        <f t="shared" si="242"/>
        <v>5.1000000000000005</v>
      </c>
      <c r="AJ184" s="282">
        <f t="shared" si="243"/>
        <v>2932.5000000000005</v>
      </c>
      <c r="AK184" s="287">
        <f>Tabla14[[#This Row],[Cajas por Personas]]</f>
        <v>0</v>
      </c>
      <c r="AL184" s="288">
        <f>Tabla14[[#This Row],[Valor Precorte Pesona]]</f>
        <v>0</v>
      </c>
      <c r="AM184" s="294">
        <f>Tabla14[[#This Row],[Personas Precorte]]</f>
        <v>0</v>
      </c>
      <c r="AN184" s="308">
        <f>Tabla14[[#This Row],[Valor Precorte Pesona Precorte]]*Tabla14[[#This Row],[Perzonas Precorte]]</f>
        <v>0</v>
      </c>
      <c r="AO184" s="287">
        <f>Tabla14[[#This Row],[Cajas por Personas2]]</f>
        <v>7.666666666666667</v>
      </c>
      <c r="AP184" s="288">
        <f>Tabla14[[#This Row],[Valor Embarque Pesona]]</f>
        <v>13800</v>
      </c>
      <c r="AQ184" s="295">
        <f>Tabla14[[#This Row],[Personas Precorte2]]</f>
        <v>6</v>
      </c>
      <c r="AR184" s="296">
        <f>Tabla14[[#This Row],[Valor Embarque Pesona3]]*Tabla14[[#This Row],[Perzona Primera]]</f>
        <v>82800</v>
      </c>
      <c r="AS184" s="287">
        <f>Tabla14[[#This Row],[Columna2]]</f>
        <v>0</v>
      </c>
      <c r="AT184" s="288">
        <f>Tabla14[[#This Row],[Columna1]]</f>
        <v>0</v>
      </c>
      <c r="AU184" s="302">
        <f>Tabla14[[#This Row],[Personas Intervienen]]</f>
        <v>0</v>
      </c>
      <c r="AV184" s="297">
        <f>Tabla14[[#This Row],[Valor Embarque Pesona5]]*Tabla14[[#This Row],[Presonas Segunda]]</f>
        <v>0</v>
      </c>
      <c r="AW184" s="287">
        <f>Tabla14[[#This Row],[Bolsas Por Personas]]</f>
        <v>5.1000000000000005</v>
      </c>
      <c r="AX184" s="288">
        <f>Tabla14[[#This Row],[Valor bolsas Pesona]]</f>
        <v>2932.5000000000005</v>
      </c>
      <c r="AY184" s="309">
        <f>Tabla14[[#This Row],[Personas13]]</f>
        <v>6</v>
      </c>
      <c r="AZ184" s="310">
        <f>Tabla14[[#This Row],[Valor bolsas Pesona2]]*Tabla14[[#This Row],[Personas Rechazo]]</f>
        <v>17595.000000000004</v>
      </c>
      <c r="BA184" s="311">
        <f>+Tabla14[[#This Row],[Total Valor Segunda]]+Tabla14[[#This Row],[Total Valor Primera]]+Tabla14[[#This Row],[Total Valor Precorte]]</f>
        <v>82800</v>
      </c>
      <c r="BB184" s="292">
        <f>Tabla14[[#This Row],[Valor bolsas Pesona2]]+Tabla14[[#This Row],[Valor Embarque Pesona3]]</f>
        <v>16732.5</v>
      </c>
      <c r="BC184" s="332">
        <v>30000</v>
      </c>
      <c r="BD184" s="292">
        <f>Tabla14[[#This Row],[VALOR GANADO]]-Tabla14[[#This Row],[REAJUSTADO]]</f>
        <v>-13267.5</v>
      </c>
      <c r="BE184" s="250">
        <f>Tabla14[[#This Row],[CUANTO SE REAJUSTA]]*Tabla14[[#This Row],[Personas Rechazo]]</f>
        <v>-79605</v>
      </c>
      <c r="BF184" s="250">
        <f>Tabla14[[#This Row],[REAJUSTADO]]/25000</f>
        <v>1.2</v>
      </c>
      <c r="BG184" s="302">
        <f>Tabla14[[#This Row],[REAJUSTADO]]*Tabla14[[#This Row],[Personas Rechazo]]</f>
        <v>180000</v>
      </c>
      <c r="BH184" s="292" t="str">
        <f>Tabla14[[#This Row],[Finca]]</f>
        <v>Damaquiel</v>
      </c>
      <c r="BI184" s="250">
        <v>5</v>
      </c>
      <c r="BJ184" s="332">
        <f>Tabla14[[#This Row],[Numero de Ocacionales]]*Tabla14[[#This Row],[REAJUSTADO]]</f>
        <v>150000</v>
      </c>
      <c r="BK184" s="332"/>
      <c r="BL184" s="332"/>
      <c r="BM184" s="332">
        <f>+Tabla14[[#This Row],[CUANTO SE REAJUSTA]]*3</f>
        <v>-39802.5</v>
      </c>
      <c r="BN184" s="334"/>
      <c r="BO184" s="334"/>
      <c r="BP184" s="334"/>
    </row>
    <row r="185" spans="3:68" hidden="1" x14ac:dyDescent="0.25">
      <c r="C185" s="515">
        <v>44811</v>
      </c>
      <c r="D185" s="549">
        <f>YEAR(Tabla14[[#This Row],[Fecha]])</f>
        <v>2022</v>
      </c>
      <c r="E185" s="242">
        <f>IF(Tabla14[[#This Row],[Fecha]]&gt;0,_xlfn.ISOWEEKNUM(Tabla14[[#This Row],[Fecha]]),0)</f>
        <v>36</v>
      </c>
      <c r="F185" s="550">
        <v>184</v>
      </c>
      <c r="G185" s="275" t="s">
        <v>157</v>
      </c>
      <c r="H185" s="325" t="str">
        <f>_xlfn.XLOOKUP(Tabla14[[#This Row],[Codigo Finca]],Tabla4[Codigo Finca],Tabla4[Nombre Finca],"")</f>
        <v>Pedrito</v>
      </c>
      <c r="I185" s="277">
        <f>_xlfn.XLOOKUP(Tabla14[[#This Row],[Codigo Finca]],Tabla4[Codigo Finca],Tabla4[Precio Caja],0)</f>
        <v>2100</v>
      </c>
      <c r="J185" s="277">
        <f>_xlfn.XLOOKUP(Tabla14[[#This Row],[Codigo Finca]],Tabla4[Codigo Finca],Tabla4[Precio Caja Segunda],0)</f>
        <v>1000</v>
      </c>
      <c r="K185" s="277">
        <f>_xlfn.XLOOKUP(Tabla14[[#This Row],[Codigo Finca]],Tabla4[Codigo Finca],Tabla4[Precio Rechazo],0)</f>
        <v>500</v>
      </c>
      <c r="L185" s="277">
        <f t="shared" ref="L185:L190" si="244">S185+N185</f>
        <v>847</v>
      </c>
      <c r="M185" s="278">
        <f t="shared" ref="M185:M190" si="245">IF(F185&gt;0,L185/F185,0)</f>
        <v>4.6032608695652177</v>
      </c>
      <c r="N185" s="283"/>
      <c r="O185" s="279"/>
      <c r="P185" s="280">
        <f t="shared" ref="P185:P190" si="246">IF(N185&gt;0,(N185/M185)/2,0)</f>
        <v>0</v>
      </c>
      <c r="Q185" s="281">
        <f t="shared" ref="Q185:Q190" si="247">IF(O185&gt;0,P185/O185,0)</f>
        <v>0</v>
      </c>
      <c r="R185" s="282">
        <f t="shared" ref="R185:R190" si="248">IF(I185&gt;0,Q185*I185,)</f>
        <v>0</v>
      </c>
      <c r="S185" s="283">
        <v>847</v>
      </c>
      <c r="T185" s="275">
        <v>14</v>
      </c>
      <c r="U185" s="280">
        <f t="shared" ref="U185:U190" si="249">F185-P185</f>
        <v>184</v>
      </c>
      <c r="V185" s="281">
        <f t="shared" ref="V185:V190" si="250">IF(T185&gt;0,U185/T185,0)</f>
        <v>13.142857142857142</v>
      </c>
      <c r="W185" s="282">
        <f t="shared" ref="W185:W190" si="251">IF(T185&gt;0,(U185*I185)/T185,0)</f>
        <v>27600</v>
      </c>
      <c r="X185" s="283"/>
      <c r="Y185" s="275"/>
      <c r="Z185" s="280">
        <f>Tabla14[[#This Row],[Cajas Segunda]]</f>
        <v>0</v>
      </c>
      <c r="AA185" s="281">
        <f t="shared" ref="AA185:AA190" si="252">IF(Y185&gt;0,Z185/Y185,0)</f>
        <v>0</v>
      </c>
      <c r="AB185" s="284">
        <f t="shared" ref="AB185:AB190" si="253">IF(Y185&gt;0,(Z185*J185)/Y185,0)</f>
        <v>0</v>
      </c>
      <c r="AC185" s="285"/>
      <c r="AD185" s="286">
        <v>1025</v>
      </c>
      <c r="AE185" s="286"/>
      <c r="AF185" s="286"/>
      <c r="AG185" s="286">
        <v>14</v>
      </c>
      <c r="AH185" s="280">
        <f t="shared" ref="AH185:AH190" si="254">IF(AND(AC185&gt;0,AE185=0,AF185=0,AD185=0),AC185,IF(AND(AC185=0,AE185&gt;0,AF185&gt;0,AD185=0),AE185*AF185/25,IF(AND(AC185=0,AE185=0,AF185=0,AD185&gt;0),AD185/25,0)))</f>
        <v>41</v>
      </c>
      <c r="AI185" s="281">
        <f t="shared" ref="AI185:AI190" si="255">IF(AG185&gt;0,AH185/AG185,0)</f>
        <v>2.9285714285714284</v>
      </c>
      <c r="AJ185" s="282">
        <f t="shared" ref="AJ185:AJ190" si="256">AI185*K185</f>
        <v>1464.2857142857142</v>
      </c>
      <c r="AK185" s="287">
        <f>Tabla14[[#This Row],[Cajas por Personas]]</f>
        <v>0</v>
      </c>
      <c r="AL185" s="288">
        <f>Tabla14[[#This Row],[Valor Precorte Pesona]]</f>
        <v>0</v>
      </c>
      <c r="AM185" s="294">
        <f>Tabla14[[#This Row],[Personas Precorte]]</f>
        <v>0</v>
      </c>
      <c r="AN185" s="308">
        <f>Tabla14[[#This Row],[Valor Precorte Pesona Precorte]]*Tabla14[[#This Row],[Perzonas Precorte]]</f>
        <v>0</v>
      </c>
      <c r="AO185" s="287">
        <f>Tabla14[[#This Row],[Cajas por Personas2]]</f>
        <v>13.142857142857142</v>
      </c>
      <c r="AP185" s="288">
        <f>Tabla14[[#This Row],[Valor Embarque Pesona]]</f>
        <v>27600</v>
      </c>
      <c r="AQ185" s="295">
        <f>Tabla14[[#This Row],[Personas Precorte2]]</f>
        <v>14</v>
      </c>
      <c r="AR185" s="296">
        <f>Tabla14[[#This Row],[Valor Embarque Pesona3]]*Tabla14[[#This Row],[Perzona Primera]]</f>
        <v>386400</v>
      </c>
      <c r="AS185" s="287">
        <f>Tabla14[[#This Row],[Columna2]]</f>
        <v>0</v>
      </c>
      <c r="AT185" s="288">
        <f>Tabla14[[#This Row],[Columna1]]</f>
        <v>0</v>
      </c>
      <c r="AU185" s="302">
        <f>Tabla14[[#This Row],[Personas Intervienen]]</f>
        <v>0</v>
      </c>
      <c r="AV185" s="297">
        <f>Tabla14[[#This Row],[Valor Embarque Pesona5]]*Tabla14[[#This Row],[Presonas Segunda]]</f>
        <v>0</v>
      </c>
      <c r="AW185" s="287">
        <f>Tabla14[[#This Row],[Bolsas Por Personas]]</f>
        <v>2.9285714285714284</v>
      </c>
      <c r="AX185" s="288">
        <f>Tabla14[[#This Row],[Valor bolsas Pesona]]</f>
        <v>1464.2857142857142</v>
      </c>
      <c r="AY185" s="309">
        <f>Tabla14[[#This Row],[Personas13]]</f>
        <v>14</v>
      </c>
      <c r="AZ185" s="310">
        <f>Tabla14[[#This Row],[Valor bolsas Pesona2]]*Tabla14[[#This Row],[Personas Rechazo]]</f>
        <v>20500</v>
      </c>
      <c r="BA185" s="311">
        <f>+Tabla14[[#This Row],[Total Valor Segunda]]+Tabla14[[#This Row],[Total Valor Primera]]+Tabla14[[#This Row],[Total Valor Precorte]]</f>
        <v>386400</v>
      </c>
      <c r="BB185" s="292">
        <f>Tabla14[[#This Row],[Valor bolsas Pesona2]]+Tabla14[[#This Row],[Valor Embarque Pesona3]]</f>
        <v>29064.285714285714</v>
      </c>
      <c r="BC185" s="332">
        <v>35000</v>
      </c>
      <c r="BD185" s="292">
        <f>Tabla14[[#This Row],[VALOR GANADO]]-Tabla14[[#This Row],[REAJUSTADO]]</f>
        <v>-5935.7142857142862</v>
      </c>
      <c r="BE185" s="250">
        <f>Tabla14[[#This Row],[CUANTO SE REAJUSTA]]*Tabla14[[#This Row],[Personas Rechazo]]</f>
        <v>-83100</v>
      </c>
      <c r="BF185" s="342">
        <f>Tabla14[[#This Row],[REAJUSTADO]]/25000</f>
        <v>1.4</v>
      </c>
      <c r="BG185" s="302">
        <f>Tabla14[[#This Row],[REAJUSTADO]]*Tabla14[[#This Row],[Personas Rechazo]]</f>
        <v>490000</v>
      </c>
      <c r="BH185" s="292" t="str">
        <f>Tabla14[[#This Row],[Finca]]</f>
        <v>Pedrito</v>
      </c>
      <c r="BJ185" s="332">
        <f>Tabla14[[#This Row],[Numero de Ocacionales]]*Tabla14[[#This Row],[REAJUSTADO]]</f>
        <v>0</v>
      </c>
      <c r="BK185" s="332"/>
      <c r="BL185" s="332"/>
      <c r="BM185" s="332">
        <f>+Tabla14[[#This Row],[CUANTO SE REAJUSTA]]*3</f>
        <v>-17807.142857142859</v>
      </c>
      <c r="BN185" s="334"/>
      <c r="BO185" s="334"/>
      <c r="BP185" s="334"/>
    </row>
    <row r="186" spans="3:68" hidden="1" x14ac:dyDescent="0.25">
      <c r="C186" s="515">
        <v>44811</v>
      </c>
      <c r="D186" s="549">
        <f>YEAR(Tabla14[[#This Row],[Fecha]])</f>
        <v>2022</v>
      </c>
      <c r="E186" s="242">
        <f>IF(Tabla14[[#This Row],[Fecha]]&gt;0,_xlfn.ISOWEEKNUM(Tabla14[[#This Row],[Fecha]]),0)</f>
        <v>36</v>
      </c>
      <c r="F186" s="550">
        <v>15</v>
      </c>
      <c r="G186" s="275" t="s">
        <v>247</v>
      </c>
      <c r="H186" s="325" t="str">
        <f>_xlfn.XLOOKUP(Tabla14[[#This Row],[Codigo Finca]],Tabla4[Codigo Finca],Tabla4[Nombre Finca],"")</f>
        <v>Uveros</v>
      </c>
      <c r="I186" s="277">
        <f>_xlfn.XLOOKUP(Tabla14[[#This Row],[Codigo Finca]],Tabla4[Codigo Finca],Tabla4[Precio Caja],0)</f>
        <v>1800</v>
      </c>
      <c r="J186" s="277">
        <f>_xlfn.XLOOKUP(Tabla14[[#This Row],[Codigo Finca]],Tabla4[Codigo Finca],Tabla4[Precio Caja Segunda],0)</f>
        <v>1150</v>
      </c>
      <c r="K186" s="277">
        <f>_xlfn.XLOOKUP(Tabla14[[#This Row],[Codigo Finca]],Tabla4[Codigo Finca],Tabla4[Precio Rechazo],0)</f>
        <v>575</v>
      </c>
      <c r="L186" s="277">
        <f t="shared" si="244"/>
        <v>0</v>
      </c>
      <c r="M186" s="278">
        <f t="shared" si="245"/>
        <v>0</v>
      </c>
      <c r="N186" s="283"/>
      <c r="O186" s="279"/>
      <c r="P186" s="280">
        <f t="shared" si="246"/>
        <v>0</v>
      </c>
      <c r="Q186" s="281">
        <f t="shared" si="247"/>
        <v>0</v>
      </c>
      <c r="R186" s="282">
        <f t="shared" si="248"/>
        <v>0</v>
      </c>
      <c r="S186" s="283"/>
      <c r="T186" s="275">
        <v>3</v>
      </c>
      <c r="U186" s="280">
        <f t="shared" si="249"/>
        <v>15</v>
      </c>
      <c r="V186" s="281">
        <f t="shared" si="250"/>
        <v>5</v>
      </c>
      <c r="W186" s="282">
        <f t="shared" si="251"/>
        <v>9000</v>
      </c>
      <c r="X186" s="283"/>
      <c r="Y186" s="275"/>
      <c r="Z186" s="280">
        <f>Tabla14[[#This Row],[Cajas Segunda]]</f>
        <v>0</v>
      </c>
      <c r="AA186" s="281">
        <f t="shared" si="252"/>
        <v>0</v>
      </c>
      <c r="AB186" s="284">
        <f t="shared" si="253"/>
        <v>0</v>
      </c>
      <c r="AC186" s="285"/>
      <c r="AD186" s="286">
        <f>9*85</f>
        <v>765</v>
      </c>
      <c r="AE186" s="286"/>
      <c r="AF186" s="286"/>
      <c r="AG186" s="286">
        <v>3</v>
      </c>
      <c r="AH186" s="280">
        <f t="shared" si="254"/>
        <v>30.6</v>
      </c>
      <c r="AI186" s="281">
        <f t="shared" si="255"/>
        <v>10.200000000000001</v>
      </c>
      <c r="AJ186" s="282">
        <f t="shared" si="256"/>
        <v>5865.0000000000009</v>
      </c>
      <c r="AK186" s="287">
        <f>Tabla14[[#This Row],[Cajas por Personas]]</f>
        <v>0</v>
      </c>
      <c r="AL186" s="288">
        <f>Tabla14[[#This Row],[Valor Precorte Pesona]]</f>
        <v>0</v>
      </c>
      <c r="AM186" s="294">
        <f>Tabla14[[#This Row],[Personas Precorte]]</f>
        <v>0</v>
      </c>
      <c r="AN186" s="308">
        <f>Tabla14[[#This Row],[Valor Precorte Pesona Precorte]]*Tabla14[[#This Row],[Perzonas Precorte]]</f>
        <v>0</v>
      </c>
      <c r="AO186" s="287">
        <f>Tabla14[[#This Row],[Cajas por Personas2]]</f>
        <v>5</v>
      </c>
      <c r="AP186" s="288">
        <f>Tabla14[[#This Row],[Valor Embarque Pesona]]</f>
        <v>9000</v>
      </c>
      <c r="AQ186" s="295">
        <f>Tabla14[[#This Row],[Personas Precorte2]]</f>
        <v>3</v>
      </c>
      <c r="AR186" s="296">
        <f>Tabla14[[#This Row],[Valor Embarque Pesona3]]*Tabla14[[#This Row],[Perzona Primera]]</f>
        <v>27000</v>
      </c>
      <c r="AS186" s="287">
        <f>Tabla14[[#This Row],[Columna2]]</f>
        <v>0</v>
      </c>
      <c r="AT186" s="288">
        <f>Tabla14[[#This Row],[Columna1]]</f>
        <v>0</v>
      </c>
      <c r="AU186" s="302">
        <f>Tabla14[[#This Row],[Personas Intervienen]]</f>
        <v>0</v>
      </c>
      <c r="AV186" s="297">
        <f>Tabla14[[#This Row],[Valor Embarque Pesona5]]*Tabla14[[#This Row],[Presonas Segunda]]</f>
        <v>0</v>
      </c>
      <c r="AW186" s="287">
        <f>Tabla14[[#This Row],[Bolsas Por Personas]]</f>
        <v>10.200000000000001</v>
      </c>
      <c r="AX186" s="288">
        <f>Tabla14[[#This Row],[Valor bolsas Pesona]]</f>
        <v>5865.0000000000009</v>
      </c>
      <c r="AY186" s="309">
        <f>Tabla14[[#This Row],[Personas13]]</f>
        <v>3</v>
      </c>
      <c r="AZ186" s="310">
        <f>Tabla14[[#This Row],[Valor bolsas Pesona2]]*Tabla14[[#This Row],[Personas Rechazo]]</f>
        <v>17595.000000000004</v>
      </c>
      <c r="BA186" s="311">
        <f>+Tabla14[[#This Row],[Total Valor Segunda]]+Tabla14[[#This Row],[Total Valor Primera]]+Tabla14[[#This Row],[Total Valor Precorte]]</f>
        <v>27000</v>
      </c>
      <c r="BB186" s="292">
        <f>Tabla14[[#This Row],[Valor bolsas Pesona2]]+Tabla14[[#This Row],[Valor Embarque Pesona3]]</f>
        <v>14865</v>
      </c>
      <c r="BC186" s="332">
        <v>30000</v>
      </c>
      <c r="BD186" s="292">
        <f>Tabla14[[#This Row],[VALOR GANADO]]-Tabla14[[#This Row],[REAJUSTADO]]</f>
        <v>-15135</v>
      </c>
      <c r="BE186" s="250">
        <f>Tabla14[[#This Row],[CUANTO SE REAJUSTA]]*Tabla14[[#This Row],[Personas Rechazo]]</f>
        <v>-45405</v>
      </c>
      <c r="BF186" s="250">
        <f>Tabla14[[#This Row],[REAJUSTADO]]/25000</f>
        <v>1.2</v>
      </c>
      <c r="BG186" s="302">
        <f>Tabla14[[#This Row],[REAJUSTADO]]*Tabla14[[#This Row],[Personas Rechazo]]</f>
        <v>90000</v>
      </c>
      <c r="BH186" s="292" t="str">
        <f>Tabla14[[#This Row],[Finca]]</f>
        <v>Uveros</v>
      </c>
      <c r="BI186" s="250">
        <v>2</v>
      </c>
      <c r="BJ186" s="332">
        <f>Tabla14[[#This Row],[Numero de Ocacionales]]*Tabla14[[#This Row],[REAJUSTADO]]</f>
        <v>60000</v>
      </c>
      <c r="BK186" s="332"/>
      <c r="BL186" s="332"/>
      <c r="BM186" s="332">
        <f>+Tabla14[[#This Row],[CUANTO SE REAJUSTA]]*3</f>
        <v>-45405</v>
      </c>
      <c r="BN186" s="334"/>
      <c r="BO186" s="334"/>
      <c r="BP186" s="334"/>
    </row>
    <row r="187" spans="3:68" hidden="1" x14ac:dyDescent="0.25">
      <c r="C187" s="274">
        <v>44817</v>
      </c>
      <c r="D187" s="511">
        <f>YEAR(Tabla14[[#This Row],[Fecha]])</f>
        <v>2022</v>
      </c>
      <c r="E187" s="552">
        <f>IF(Tabla14[[#This Row],[Fecha]]&gt;0,_xlfn.ISOWEEKNUM(Tabla14[[#This Row],[Fecha]]),0)</f>
        <v>37</v>
      </c>
      <c r="F187" s="283">
        <v>130</v>
      </c>
      <c r="G187" s="275" t="s">
        <v>211</v>
      </c>
      <c r="H187" s="325" t="str">
        <f>_xlfn.XLOOKUP(Tabla14[[#This Row],[Codigo Finca]],Tabla4[Codigo Finca],Tabla4[Nombre Finca],"")</f>
        <v>San Pedro</v>
      </c>
      <c r="I187" s="277">
        <f>_xlfn.XLOOKUP(Tabla14[[#This Row],[Codigo Finca]],Tabla4[Codigo Finca],Tabla4[Precio Caja],0)</f>
        <v>1600</v>
      </c>
      <c r="J187" s="277">
        <f>_xlfn.XLOOKUP(Tabla14[[#This Row],[Codigo Finca]],Tabla4[Codigo Finca],Tabla4[Precio Caja Segunda],0)</f>
        <v>1000</v>
      </c>
      <c r="K187" s="277">
        <f>_xlfn.XLOOKUP(Tabla14[[#This Row],[Codigo Finca]],Tabla4[Codigo Finca],Tabla4[Precio Rechazo],0)</f>
        <v>500</v>
      </c>
      <c r="L187" s="277">
        <f t="shared" si="244"/>
        <v>519</v>
      </c>
      <c r="M187" s="278">
        <f t="shared" si="245"/>
        <v>3.9923076923076923</v>
      </c>
      <c r="N187" s="283">
        <v>124</v>
      </c>
      <c r="O187" s="279">
        <v>3</v>
      </c>
      <c r="P187" s="280">
        <f t="shared" si="246"/>
        <v>15.529865125240848</v>
      </c>
      <c r="Q187" s="281">
        <f t="shared" si="247"/>
        <v>5.1766217084136157</v>
      </c>
      <c r="R187" s="282">
        <f t="shared" si="248"/>
        <v>8282.5947334617849</v>
      </c>
      <c r="S187" s="283">
        <v>395</v>
      </c>
      <c r="T187" s="275">
        <v>13</v>
      </c>
      <c r="U187" s="280">
        <f t="shared" si="249"/>
        <v>114.47013487475915</v>
      </c>
      <c r="V187" s="281">
        <f t="shared" si="250"/>
        <v>8.8053949903660893</v>
      </c>
      <c r="W187" s="282">
        <f t="shared" si="251"/>
        <v>14088.631984585742</v>
      </c>
      <c r="X187" s="283"/>
      <c r="Y187" s="275"/>
      <c r="Z187" s="280">
        <f>Tabla14[[#This Row],[Cajas Segunda]]</f>
        <v>0</v>
      </c>
      <c r="AA187" s="281">
        <f t="shared" si="252"/>
        <v>0</v>
      </c>
      <c r="AB187" s="284">
        <f t="shared" si="253"/>
        <v>0</v>
      </c>
      <c r="AC187" s="285">
        <v>137.91999999999999</v>
      </c>
      <c r="AD187" s="286"/>
      <c r="AE187" s="286">
        <f>+-1410</f>
        <v>-1410</v>
      </c>
      <c r="AF187" s="286"/>
      <c r="AG187" s="286">
        <v>13</v>
      </c>
      <c r="AH187" s="280">
        <f t="shared" si="254"/>
        <v>0</v>
      </c>
      <c r="AI187" s="281">
        <f t="shared" si="255"/>
        <v>0</v>
      </c>
      <c r="AJ187" s="282">
        <f t="shared" si="256"/>
        <v>0</v>
      </c>
      <c r="AK187" s="287">
        <f>Tabla14[[#This Row],[Cajas por Personas]]</f>
        <v>5.1766217084136157</v>
      </c>
      <c r="AL187" s="288">
        <f>Tabla14[[#This Row],[Valor Precorte Pesona]]</f>
        <v>8282.5947334617849</v>
      </c>
      <c r="AM187" s="294">
        <f>Tabla14[[#This Row],[Personas Precorte]]</f>
        <v>3</v>
      </c>
      <c r="AN187" s="308">
        <f>Tabla14[[#This Row],[Valor Precorte Pesona Precorte]]*Tabla14[[#This Row],[Perzonas Precorte]]</f>
        <v>24847.784200385355</v>
      </c>
      <c r="AO187" s="287">
        <f>Tabla14[[#This Row],[Cajas por Personas2]]</f>
        <v>8.8053949903660893</v>
      </c>
      <c r="AP187" s="288">
        <f>Tabla14[[#This Row],[Valor Embarque Pesona]]</f>
        <v>14088.631984585742</v>
      </c>
      <c r="AQ187" s="295">
        <f>Tabla14[[#This Row],[Personas Precorte2]]</f>
        <v>13</v>
      </c>
      <c r="AR187" s="296">
        <f>Tabla14[[#This Row],[Valor Embarque Pesona3]]*Tabla14[[#This Row],[Perzona Primera]]</f>
        <v>183152.21579961464</v>
      </c>
      <c r="AS187" s="287">
        <f>Tabla14[[#This Row],[Columna2]]</f>
        <v>0</v>
      </c>
      <c r="AT187" s="288">
        <f>Tabla14[[#This Row],[Columna1]]</f>
        <v>0</v>
      </c>
      <c r="AU187" s="302">
        <f>Tabla14[[#This Row],[Personas Intervienen]]</f>
        <v>0</v>
      </c>
      <c r="AV187" s="297">
        <f>Tabla14[[#This Row],[Valor Embarque Pesona5]]*Tabla14[[#This Row],[Presonas Segunda]]</f>
        <v>0</v>
      </c>
      <c r="AW187" s="287">
        <f>Tabla14[[#This Row],[Bolsas Por Personas]]</f>
        <v>0</v>
      </c>
      <c r="AX187" s="288">
        <f>Tabla14[[#This Row],[Valor bolsas Pesona]]</f>
        <v>0</v>
      </c>
      <c r="AY187" s="309">
        <f>Tabla14[[#This Row],[Personas13]]</f>
        <v>13</v>
      </c>
      <c r="AZ187" s="310">
        <f>Tabla14[[#This Row],[Valor bolsas Pesona2]]*Tabla14[[#This Row],[Personas Rechazo]]</f>
        <v>0</v>
      </c>
      <c r="BA187" s="311">
        <f>+Tabla14[[#This Row],[Total Valor Segunda]]+Tabla14[[#This Row],[Total Valor Primera]]+Tabla14[[#This Row],[Total Valor Precorte]]</f>
        <v>208000</v>
      </c>
      <c r="BB187" s="292">
        <f>Tabla14[[#This Row],[Valor bolsas Pesona2]]+Tabla14[[#This Row],[Valor Embarque Pesona3]]</f>
        <v>14088.631984585742</v>
      </c>
      <c r="BD187" s="292">
        <f>Tabla14[[#This Row],[VALOR GANADO]]-Tabla14[[#This Row],[REAJUSTADO]]</f>
        <v>14088.631984585742</v>
      </c>
      <c r="BE187" s="250">
        <f>Tabla14[[#This Row],[CUANTO SE REAJUSTA]]*Tabla14[[#This Row],[Personas Rechazo]]</f>
        <v>183152.21579961464</v>
      </c>
      <c r="BF187" s="250">
        <f>Tabla14[[#This Row],[REAJUSTADO]]/25000</f>
        <v>0</v>
      </c>
      <c r="BG187" s="302">
        <f>Tabla14[[#This Row],[REAJUSTADO]]*Tabla14[[#This Row],[Personas Rechazo]]</f>
        <v>0</v>
      </c>
      <c r="BH187" s="292" t="str">
        <f>Tabla14[[#This Row],[Finca]]</f>
        <v>San Pedro</v>
      </c>
      <c r="BI187" s="250">
        <v>5</v>
      </c>
      <c r="BJ187" s="332">
        <f>Tabla14[[#This Row],[Numero de Ocacionales]]*Tabla14[[#This Row],[REAJUSTADO]]</f>
        <v>0</v>
      </c>
      <c r="BK187" s="332"/>
      <c r="BL187" s="332"/>
      <c r="BM187" s="332">
        <f>+Tabla14[[#This Row],[CUANTO SE REAJUSTA]]*3</f>
        <v>42265.895953757223</v>
      </c>
      <c r="BN187" s="334"/>
      <c r="BO187" s="334"/>
      <c r="BP187" s="334"/>
    </row>
    <row r="188" spans="3:68" hidden="1" x14ac:dyDescent="0.25">
      <c r="C188" s="274">
        <v>44817</v>
      </c>
      <c r="D188" s="507">
        <f>YEAR(Tabla14[[#This Row],[Fecha]])</f>
        <v>2022</v>
      </c>
      <c r="E188" s="313">
        <f>IF(Tabla14[[#This Row],[Fecha]]&gt;0,_xlfn.ISOWEEKNUM(Tabla14[[#This Row],[Fecha]]),0)</f>
        <v>37</v>
      </c>
      <c r="F188" s="283">
        <v>42</v>
      </c>
      <c r="G188" s="275" t="s">
        <v>155</v>
      </c>
      <c r="H188" s="325" t="str">
        <f>_xlfn.XLOOKUP(Tabla14[[#This Row],[Codigo Finca]],Tabla4[Codigo Finca],Tabla4[Nombre Finca],"")</f>
        <v>Damaquiel</v>
      </c>
      <c r="I188" s="277">
        <f>_xlfn.XLOOKUP(Tabla14[[#This Row],[Codigo Finca]],Tabla4[Codigo Finca],Tabla4[Precio Caja],0)</f>
        <v>1500</v>
      </c>
      <c r="J188" s="277">
        <f>_xlfn.XLOOKUP(Tabla14[[#This Row],[Codigo Finca]],Tabla4[Codigo Finca],Tabla4[Precio Caja Segunda],0)</f>
        <v>1000</v>
      </c>
      <c r="K188" s="277">
        <f>_xlfn.XLOOKUP(Tabla14[[#This Row],[Codigo Finca]],Tabla4[Codigo Finca],Tabla4[Precio Rechazo],0)</f>
        <v>500</v>
      </c>
      <c r="L188" s="277">
        <f t="shared" si="244"/>
        <v>0</v>
      </c>
      <c r="M188" s="278">
        <f t="shared" si="245"/>
        <v>0</v>
      </c>
      <c r="N188" s="283"/>
      <c r="O188" s="279"/>
      <c r="P188" s="280">
        <f t="shared" si="246"/>
        <v>0</v>
      </c>
      <c r="Q188" s="281">
        <f t="shared" si="247"/>
        <v>0</v>
      </c>
      <c r="R188" s="282">
        <f t="shared" si="248"/>
        <v>0</v>
      </c>
      <c r="S188" s="283"/>
      <c r="T188" s="275">
        <v>7</v>
      </c>
      <c r="U188" s="280">
        <f t="shared" si="249"/>
        <v>42</v>
      </c>
      <c r="V188" s="281">
        <f t="shared" si="250"/>
        <v>6</v>
      </c>
      <c r="W188" s="282">
        <f t="shared" si="251"/>
        <v>9000</v>
      </c>
      <c r="X188" s="283"/>
      <c r="Y188" s="275"/>
      <c r="Z188" s="280">
        <f>Tabla14[[#This Row],[Cajas Segunda]]</f>
        <v>0</v>
      </c>
      <c r="AA188" s="281">
        <f t="shared" si="252"/>
        <v>0</v>
      </c>
      <c r="AB188" s="284">
        <f t="shared" si="253"/>
        <v>0</v>
      </c>
      <c r="AC188" s="285">
        <v>28.9</v>
      </c>
      <c r="AD188" s="286"/>
      <c r="AE188" s="286"/>
      <c r="AF188" s="286"/>
      <c r="AG188" s="286">
        <v>7</v>
      </c>
      <c r="AH188" s="280">
        <f t="shared" si="254"/>
        <v>28.9</v>
      </c>
      <c r="AI188" s="281">
        <f t="shared" si="255"/>
        <v>4.1285714285714281</v>
      </c>
      <c r="AJ188" s="282">
        <f t="shared" si="256"/>
        <v>2064.2857142857142</v>
      </c>
      <c r="AK188" s="287">
        <f>Tabla14[[#This Row],[Cajas por Personas]]</f>
        <v>0</v>
      </c>
      <c r="AL188" s="288">
        <f>Tabla14[[#This Row],[Valor Precorte Pesona]]</f>
        <v>0</v>
      </c>
      <c r="AM188" s="294">
        <f>Tabla14[[#This Row],[Personas Precorte]]</f>
        <v>0</v>
      </c>
      <c r="AN188" s="308">
        <f>Tabla14[[#This Row],[Valor Precorte Pesona Precorte]]*Tabla14[[#This Row],[Perzonas Precorte]]</f>
        <v>0</v>
      </c>
      <c r="AO188" s="287">
        <f>Tabla14[[#This Row],[Cajas por Personas2]]</f>
        <v>6</v>
      </c>
      <c r="AP188" s="288">
        <f>Tabla14[[#This Row],[Valor Embarque Pesona]]</f>
        <v>9000</v>
      </c>
      <c r="AQ188" s="295">
        <f>Tabla14[[#This Row],[Personas Precorte2]]</f>
        <v>7</v>
      </c>
      <c r="AR188" s="296">
        <f>Tabla14[[#This Row],[Valor Embarque Pesona3]]*Tabla14[[#This Row],[Perzona Primera]]</f>
        <v>63000</v>
      </c>
      <c r="AS188" s="287">
        <f>Tabla14[[#This Row],[Columna2]]</f>
        <v>0</v>
      </c>
      <c r="AT188" s="288">
        <f>Tabla14[[#This Row],[Columna1]]</f>
        <v>0</v>
      </c>
      <c r="AU188" s="302">
        <f>Tabla14[[#This Row],[Personas Intervienen]]</f>
        <v>0</v>
      </c>
      <c r="AV188" s="297">
        <f>Tabla14[[#This Row],[Valor Embarque Pesona5]]*Tabla14[[#This Row],[Presonas Segunda]]</f>
        <v>0</v>
      </c>
      <c r="AW188" s="287">
        <f>Tabla14[[#This Row],[Bolsas Por Personas]]</f>
        <v>4.1285714285714281</v>
      </c>
      <c r="AX188" s="288">
        <f>Tabla14[[#This Row],[Valor bolsas Pesona]]</f>
        <v>2064.2857142857142</v>
      </c>
      <c r="AY188" s="309">
        <f>Tabla14[[#This Row],[Personas13]]</f>
        <v>7</v>
      </c>
      <c r="AZ188" s="310">
        <f>Tabla14[[#This Row],[Valor bolsas Pesona2]]*Tabla14[[#This Row],[Personas Rechazo]]</f>
        <v>14450</v>
      </c>
      <c r="BA188" s="311">
        <f>+Tabla14[[#This Row],[Total Valor Segunda]]+Tabla14[[#This Row],[Total Valor Primera]]+Tabla14[[#This Row],[Total Valor Precorte]]</f>
        <v>63000</v>
      </c>
      <c r="BB188" s="292">
        <f>Tabla14[[#This Row],[Valor bolsas Pesona2]]+Tabla14[[#This Row],[Valor Embarque Pesona3]]</f>
        <v>11064.285714285714</v>
      </c>
      <c r="BC188" s="332">
        <v>30000</v>
      </c>
      <c r="BD188" s="292">
        <f>Tabla14[[#This Row],[VALOR GANADO]]-Tabla14[[#This Row],[REAJUSTADO]]</f>
        <v>-18935.714285714286</v>
      </c>
      <c r="BE188" s="250">
        <f>Tabla14[[#This Row],[CUANTO SE REAJUSTA]]*Tabla14[[#This Row],[Personas Rechazo]]</f>
        <v>-132550</v>
      </c>
      <c r="BF188" s="250">
        <f>Tabla14[[#This Row],[REAJUSTADO]]/25000</f>
        <v>1.2</v>
      </c>
      <c r="BG188" s="302">
        <f>Tabla14[[#This Row],[REAJUSTADO]]*Tabla14[[#This Row],[Personas Rechazo]]</f>
        <v>210000</v>
      </c>
      <c r="BH188" s="292" t="str">
        <f>Tabla14[[#This Row],[Finca]]</f>
        <v>Damaquiel</v>
      </c>
      <c r="BI188" s="250">
        <v>6</v>
      </c>
      <c r="BJ188" s="332">
        <f>Tabla14[[#This Row],[Numero de Ocacionales]]*Tabla14[[#This Row],[REAJUSTADO]]</f>
        <v>180000</v>
      </c>
      <c r="BK188" s="332"/>
      <c r="BL188" s="332"/>
      <c r="BM188" s="332">
        <f>+Tabla14[[#This Row],[CUANTO SE REAJUSTA]]*3</f>
        <v>-56807.142857142855</v>
      </c>
      <c r="BN188" s="334"/>
      <c r="BO188" s="334"/>
      <c r="BP188" s="334"/>
    </row>
    <row r="189" spans="3:68" hidden="1" x14ac:dyDescent="0.25">
      <c r="C189" s="274">
        <v>44818</v>
      </c>
      <c r="D189" s="507">
        <f>YEAR(Tabla14[[#This Row],[Fecha]])</f>
        <v>2022</v>
      </c>
      <c r="E189" s="313">
        <f>IF(Tabla14[[#This Row],[Fecha]]&gt;0,_xlfn.ISOWEEKNUM(Tabla14[[#This Row],[Fecha]]),0)</f>
        <v>37</v>
      </c>
      <c r="F189" s="283">
        <v>20</v>
      </c>
      <c r="G189" s="275" t="s">
        <v>153</v>
      </c>
      <c r="H189" s="325" t="str">
        <f>_xlfn.XLOOKUP(Tabla14[[#This Row],[Codigo Finca]],Tabla4[Codigo Finca],Tabla4[Nombre Finca],"")</f>
        <v>Uveros</v>
      </c>
      <c r="I189" s="277">
        <f>_xlfn.XLOOKUP(Tabla14[[#This Row],[Codigo Finca]],Tabla4[Codigo Finca],Tabla4[Precio Caja],0)</f>
        <v>1500</v>
      </c>
      <c r="J189" s="277">
        <f>_xlfn.XLOOKUP(Tabla14[[#This Row],[Codigo Finca]],Tabla4[Codigo Finca],Tabla4[Precio Caja Segunda],0)</f>
        <v>1000</v>
      </c>
      <c r="K189" s="277">
        <f>_xlfn.XLOOKUP(Tabla14[[#This Row],[Codigo Finca]],Tabla4[Codigo Finca],Tabla4[Precio Rechazo],0)</f>
        <v>500</v>
      </c>
      <c r="L189" s="277">
        <f t="shared" si="244"/>
        <v>0</v>
      </c>
      <c r="M189" s="278">
        <f t="shared" si="245"/>
        <v>0</v>
      </c>
      <c r="N189" s="283"/>
      <c r="O189" s="279"/>
      <c r="P189" s="280">
        <f t="shared" si="246"/>
        <v>0</v>
      </c>
      <c r="Q189" s="281">
        <f t="shared" si="247"/>
        <v>0</v>
      </c>
      <c r="R189" s="282">
        <f t="shared" si="248"/>
        <v>0</v>
      </c>
      <c r="S189" s="283"/>
      <c r="T189" s="275">
        <v>4</v>
      </c>
      <c r="U189" s="280">
        <f t="shared" si="249"/>
        <v>20</v>
      </c>
      <c r="V189" s="281">
        <f t="shared" si="250"/>
        <v>5</v>
      </c>
      <c r="W189" s="282">
        <f t="shared" si="251"/>
        <v>7500</v>
      </c>
      <c r="X189" s="283"/>
      <c r="Y189" s="275"/>
      <c r="Z189" s="280">
        <f>Tabla14[[#This Row],[Cajas Segunda]]</f>
        <v>0</v>
      </c>
      <c r="AA189" s="281">
        <f t="shared" si="252"/>
        <v>0</v>
      </c>
      <c r="AB189" s="284">
        <f t="shared" si="253"/>
        <v>0</v>
      </c>
      <c r="AC189" s="285"/>
      <c r="AD189" s="286"/>
      <c r="AE189" s="286"/>
      <c r="AF189" s="286"/>
      <c r="AG189" s="286">
        <v>4</v>
      </c>
      <c r="AH189" s="280">
        <f t="shared" si="254"/>
        <v>0</v>
      </c>
      <c r="AI189" s="281">
        <f t="shared" si="255"/>
        <v>0</v>
      </c>
      <c r="AJ189" s="282">
        <f t="shared" si="256"/>
        <v>0</v>
      </c>
      <c r="AK189" s="287">
        <f>Tabla14[[#This Row],[Cajas por Personas]]</f>
        <v>0</v>
      </c>
      <c r="AL189" s="288">
        <f>Tabla14[[#This Row],[Valor Precorte Pesona]]</f>
        <v>0</v>
      </c>
      <c r="AM189" s="294">
        <f>Tabla14[[#This Row],[Personas Precorte]]</f>
        <v>0</v>
      </c>
      <c r="AN189" s="308">
        <f>Tabla14[[#This Row],[Valor Precorte Pesona Precorte]]*Tabla14[[#This Row],[Perzonas Precorte]]</f>
        <v>0</v>
      </c>
      <c r="AO189" s="287">
        <f>Tabla14[[#This Row],[Cajas por Personas2]]</f>
        <v>5</v>
      </c>
      <c r="AP189" s="288">
        <f>Tabla14[[#This Row],[Valor Embarque Pesona]]</f>
        <v>7500</v>
      </c>
      <c r="AQ189" s="295">
        <f>Tabla14[[#This Row],[Personas Precorte2]]</f>
        <v>4</v>
      </c>
      <c r="AR189" s="296">
        <f>Tabla14[[#This Row],[Valor Embarque Pesona3]]*Tabla14[[#This Row],[Perzona Primera]]</f>
        <v>30000</v>
      </c>
      <c r="AS189" s="287">
        <f>Tabla14[[#This Row],[Columna2]]</f>
        <v>0</v>
      </c>
      <c r="AT189" s="288">
        <f>Tabla14[[#This Row],[Columna1]]</f>
        <v>0</v>
      </c>
      <c r="AU189" s="302">
        <f>Tabla14[[#This Row],[Personas Intervienen]]</f>
        <v>0</v>
      </c>
      <c r="AV189" s="297">
        <f>Tabla14[[#This Row],[Valor Embarque Pesona5]]*Tabla14[[#This Row],[Presonas Segunda]]</f>
        <v>0</v>
      </c>
      <c r="AW189" s="287">
        <f>Tabla14[[#This Row],[Bolsas Por Personas]]</f>
        <v>0</v>
      </c>
      <c r="AX189" s="288">
        <f>Tabla14[[#This Row],[Valor bolsas Pesona]]</f>
        <v>0</v>
      </c>
      <c r="AY189" s="309">
        <f>Tabla14[[#This Row],[Personas13]]</f>
        <v>4</v>
      </c>
      <c r="AZ189" s="310">
        <f>Tabla14[[#This Row],[Valor bolsas Pesona2]]*Tabla14[[#This Row],[Personas Rechazo]]</f>
        <v>0</v>
      </c>
      <c r="BA189" s="311">
        <f>+Tabla14[[#This Row],[Total Valor Segunda]]+Tabla14[[#This Row],[Total Valor Primera]]+Tabla14[[#This Row],[Total Valor Precorte]]</f>
        <v>30000</v>
      </c>
      <c r="BB189" s="292">
        <f>Tabla14[[#This Row],[Valor bolsas Pesona2]]+Tabla14[[#This Row],[Valor Embarque Pesona3]]</f>
        <v>7500</v>
      </c>
      <c r="BC189" s="332">
        <v>30000</v>
      </c>
      <c r="BD189" s="292">
        <f>Tabla14[[#This Row],[VALOR GANADO]]-Tabla14[[#This Row],[REAJUSTADO]]</f>
        <v>-22500</v>
      </c>
      <c r="BE189" s="250">
        <f>Tabla14[[#This Row],[CUANTO SE REAJUSTA]]*Tabla14[[#This Row],[Personas Rechazo]]</f>
        <v>-90000</v>
      </c>
      <c r="BF189" s="250">
        <f>Tabla14[[#This Row],[REAJUSTADO]]/25000</f>
        <v>1.2</v>
      </c>
      <c r="BG189" s="302">
        <f>Tabla14[[#This Row],[REAJUSTADO]]*Tabla14[[#This Row],[Personas Rechazo]]</f>
        <v>120000</v>
      </c>
      <c r="BH189" s="292" t="str">
        <f>Tabla14[[#This Row],[Finca]]</f>
        <v>Uveros</v>
      </c>
      <c r="BI189" s="250">
        <v>3</v>
      </c>
      <c r="BJ189" s="332">
        <f>Tabla14[[#This Row],[Numero de Ocacionales]]*Tabla14[[#This Row],[REAJUSTADO]]</f>
        <v>90000</v>
      </c>
      <c r="BK189" s="332"/>
      <c r="BL189" s="332"/>
      <c r="BM189" s="332">
        <f>+Tabla14[[#This Row],[CUANTO SE REAJUSTA]]*3</f>
        <v>-67500</v>
      </c>
      <c r="BN189" s="334"/>
      <c r="BO189" s="334"/>
      <c r="BP189" s="334"/>
    </row>
    <row r="190" spans="3:68" hidden="1" x14ac:dyDescent="0.25">
      <c r="C190" s="274">
        <v>44817</v>
      </c>
      <c r="D190" s="507">
        <f>YEAR(Tabla14[[#This Row],[Fecha]])</f>
        <v>2022</v>
      </c>
      <c r="E190" s="313">
        <f>IF(Tabla14[[#This Row],[Fecha]]&gt;0,_xlfn.ISOWEEKNUM(Tabla14[[#This Row],[Fecha]]),0)</f>
        <v>37</v>
      </c>
      <c r="F190" s="283">
        <v>199</v>
      </c>
      <c r="G190" s="275" t="s">
        <v>211</v>
      </c>
      <c r="H190" s="325" t="str">
        <f>_xlfn.XLOOKUP(Tabla14[[#This Row],[Codigo Finca]],Tabla4[Codigo Finca],Tabla4[Nombre Finca],"")</f>
        <v>San Pedro</v>
      </c>
      <c r="I190" s="277">
        <f>_xlfn.XLOOKUP(Tabla14[[#This Row],[Codigo Finca]],Tabla4[Codigo Finca],Tabla4[Precio Caja],0)</f>
        <v>1600</v>
      </c>
      <c r="J190" s="277">
        <f>_xlfn.XLOOKUP(Tabla14[[#This Row],[Codigo Finca]],Tabla4[Codigo Finca],Tabla4[Precio Caja Segunda],0)</f>
        <v>1000</v>
      </c>
      <c r="K190" s="277">
        <f>_xlfn.XLOOKUP(Tabla14[[#This Row],[Codigo Finca]],Tabla4[Codigo Finca],Tabla4[Precio Rechazo],0)</f>
        <v>500</v>
      </c>
      <c r="L190" s="277">
        <f t="shared" si="244"/>
        <v>795</v>
      </c>
      <c r="M190" s="278">
        <f t="shared" si="245"/>
        <v>3.9949748743718594</v>
      </c>
      <c r="N190" s="283"/>
      <c r="O190" s="279"/>
      <c r="P190" s="280">
        <f t="shared" si="246"/>
        <v>0</v>
      </c>
      <c r="Q190" s="281">
        <f t="shared" si="247"/>
        <v>0</v>
      </c>
      <c r="R190" s="282">
        <f t="shared" si="248"/>
        <v>0</v>
      </c>
      <c r="S190" s="283">
        <v>795</v>
      </c>
      <c r="T190" s="275">
        <v>15</v>
      </c>
      <c r="U190" s="280">
        <f t="shared" si="249"/>
        <v>199</v>
      </c>
      <c r="V190" s="281">
        <f t="shared" si="250"/>
        <v>13.266666666666667</v>
      </c>
      <c r="W190" s="282">
        <f t="shared" si="251"/>
        <v>21226.666666666668</v>
      </c>
      <c r="X190" s="283"/>
      <c r="Y190" s="275"/>
      <c r="Z190" s="280">
        <f>Tabla14[[#This Row],[Cajas Segunda]]</f>
        <v>0</v>
      </c>
      <c r="AA190" s="281">
        <f t="shared" si="252"/>
        <v>0</v>
      </c>
      <c r="AB190" s="284">
        <f t="shared" si="253"/>
        <v>0</v>
      </c>
      <c r="AC190" s="285"/>
      <c r="AD190" s="286"/>
      <c r="AE190" s="286"/>
      <c r="AF190" s="286"/>
      <c r="AG190" s="286">
        <v>15</v>
      </c>
      <c r="AH190" s="280">
        <f t="shared" si="254"/>
        <v>0</v>
      </c>
      <c r="AI190" s="281">
        <f t="shared" si="255"/>
        <v>0</v>
      </c>
      <c r="AJ190" s="282">
        <f t="shared" si="256"/>
        <v>0</v>
      </c>
      <c r="AK190" s="287">
        <f>Tabla14[[#This Row],[Cajas por Personas]]</f>
        <v>0</v>
      </c>
      <c r="AL190" s="288">
        <f>Tabla14[[#This Row],[Valor Precorte Pesona]]</f>
        <v>0</v>
      </c>
      <c r="AM190" s="294">
        <f>Tabla14[[#This Row],[Personas Precorte]]</f>
        <v>0</v>
      </c>
      <c r="AN190" s="308">
        <f>Tabla14[[#This Row],[Valor Precorte Pesona Precorte]]*Tabla14[[#This Row],[Perzonas Precorte]]</f>
        <v>0</v>
      </c>
      <c r="AO190" s="287">
        <f>Tabla14[[#This Row],[Cajas por Personas2]]</f>
        <v>13.266666666666667</v>
      </c>
      <c r="AP190" s="288">
        <f>Tabla14[[#This Row],[Valor Embarque Pesona]]</f>
        <v>21226.666666666668</v>
      </c>
      <c r="AQ190" s="295">
        <f>Tabla14[[#This Row],[Personas Precorte2]]</f>
        <v>15</v>
      </c>
      <c r="AR190" s="296">
        <f>Tabla14[[#This Row],[Valor Embarque Pesona3]]*Tabla14[[#This Row],[Perzona Primera]]</f>
        <v>318400</v>
      </c>
      <c r="AS190" s="287">
        <f>Tabla14[[#This Row],[Columna2]]</f>
        <v>0</v>
      </c>
      <c r="AT190" s="288">
        <f>Tabla14[[#This Row],[Columna1]]</f>
        <v>0</v>
      </c>
      <c r="AU190" s="302">
        <f>Tabla14[[#This Row],[Personas Intervienen]]</f>
        <v>0</v>
      </c>
      <c r="AV190" s="297">
        <f>Tabla14[[#This Row],[Valor Embarque Pesona5]]*Tabla14[[#This Row],[Presonas Segunda]]</f>
        <v>0</v>
      </c>
      <c r="AW190" s="287">
        <f>Tabla14[[#This Row],[Bolsas Por Personas]]</f>
        <v>0</v>
      </c>
      <c r="AX190" s="288">
        <f>Tabla14[[#This Row],[Valor bolsas Pesona]]</f>
        <v>0</v>
      </c>
      <c r="AY190" s="309">
        <f>Tabla14[[#This Row],[Personas13]]</f>
        <v>15</v>
      </c>
      <c r="AZ190" s="310">
        <f>Tabla14[[#This Row],[Valor bolsas Pesona2]]*Tabla14[[#This Row],[Personas Rechazo]]</f>
        <v>0</v>
      </c>
      <c r="BA190" s="311">
        <f>+Tabla14[[#This Row],[Total Valor Segunda]]+Tabla14[[#This Row],[Total Valor Primera]]+Tabla14[[#This Row],[Total Valor Precorte]]</f>
        <v>318400</v>
      </c>
      <c r="BB190" s="292">
        <f>Tabla14[[#This Row],[Valor bolsas Pesona2]]+Tabla14[[#This Row],[Valor Embarque Pesona3]]</f>
        <v>21226.666666666668</v>
      </c>
      <c r="BD190" s="292">
        <f>Tabla14[[#This Row],[VALOR GANADO]]-Tabla14[[#This Row],[REAJUSTADO]]</f>
        <v>21226.666666666668</v>
      </c>
      <c r="BE190" s="250">
        <f>Tabla14[[#This Row],[CUANTO SE REAJUSTA]]*Tabla14[[#This Row],[Personas Rechazo]]</f>
        <v>318400</v>
      </c>
      <c r="BF190" s="250">
        <f>Tabla14[[#This Row],[REAJUSTADO]]/25000</f>
        <v>0</v>
      </c>
      <c r="BG190" s="302">
        <f>Tabla14[[#This Row],[REAJUSTADO]]*Tabla14[[#This Row],[Personas Rechazo]]</f>
        <v>0</v>
      </c>
      <c r="BH190" s="292" t="str">
        <f>Tabla14[[#This Row],[Finca]]</f>
        <v>San Pedro</v>
      </c>
      <c r="BJ190" s="332">
        <f>Tabla14[[#This Row],[Numero de Ocacionales]]*Tabla14[[#This Row],[REAJUSTADO]]</f>
        <v>0</v>
      </c>
      <c r="BK190" s="332"/>
      <c r="BL190" s="332"/>
      <c r="BM190" s="332">
        <f>+Tabla14[[#This Row],[CUANTO SE REAJUSTA]]*3</f>
        <v>63680</v>
      </c>
      <c r="BN190" s="334"/>
      <c r="BO190" s="334"/>
      <c r="BP190" s="334"/>
    </row>
    <row r="191" spans="3:68" hidden="1" x14ac:dyDescent="0.25">
      <c r="C191" s="274">
        <v>44824</v>
      </c>
      <c r="D191" s="507">
        <f>YEAR(Tabla14[[#This Row],[Fecha]])</f>
        <v>2022</v>
      </c>
      <c r="E191" s="313">
        <f>IF(Tabla14[[#This Row],[Fecha]]&gt;0,_xlfn.ISOWEEKNUM(Tabla14[[#This Row],[Fecha]]),0)</f>
        <v>38</v>
      </c>
      <c r="F191" s="283">
        <v>373</v>
      </c>
      <c r="G191" s="275" t="s">
        <v>211</v>
      </c>
      <c r="H191" s="325" t="str">
        <f>_xlfn.XLOOKUP(Tabla14[[#This Row],[Codigo Finca]],Tabla4[Codigo Finca],Tabla4[Nombre Finca],"")</f>
        <v>San Pedro</v>
      </c>
      <c r="I191" s="277">
        <f>_xlfn.XLOOKUP(Tabla14[[#This Row],[Codigo Finca]],Tabla4[Codigo Finca],Tabla4[Precio Caja],0)</f>
        <v>1600</v>
      </c>
      <c r="J191" s="277">
        <f>_xlfn.XLOOKUP(Tabla14[[#This Row],[Codigo Finca]],Tabla4[Codigo Finca],Tabla4[Precio Caja Segunda],0)</f>
        <v>1000</v>
      </c>
      <c r="K191" s="277">
        <f>_xlfn.XLOOKUP(Tabla14[[#This Row],[Codigo Finca]],Tabla4[Codigo Finca],Tabla4[Precio Rechazo],0)</f>
        <v>500</v>
      </c>
      <c r="L191" s="277">
        <f t="shared" ref="L191:L196" si="257">S191+N191</f>
        <v>0</v>
      </c>
      <c r="M191" s="278">
        <f t="shared" ref="M191:M196" si="258">IF(F191&gt;0,L191/F191,0)</f>
        <v>0</v>
      </c>
      <c r="N191" s="283"/>
      <c r="O191" s="279"/>
      <c r="P191" s="280">
        <f t="shared" ref="P191:P196" si="259">IF(N191&gt;0,(N191/M191)/2,0)</f>
        <v>0</v>
      </c>
      <c r="Q191" s="281">
        <f t="shared" ref="Q191:Q196" si="260">IF(O191&gt;0,P191/O191,0)</f>
        <v>0</v>
      </c>
      <c r="R191" s="282">
        <f t="shared" ref="R191:R196" si="261">IF(I191&gt;0,Q191*I191,)</f>
        <v>0</v>
      </c>
      <c r="S191" s="283"/>
      <c r="T191" s="275">
        <v>17</v>
      </c>
      <c r="U191" s="280">
        <f t="shared" ref="U191:U196" si="262">F191-P191</f>
        <v>373</v>
      </c>
      <c r="V191" s="281">
        <f t="shared" ref="V191:V196" si="263">IF(T191&gt;0,U191/T191,0)</f>
        <v>21.941176470588236</v>
      </c>
      <c r="W191" s="282">
        <f t="shared" ref="W191:W196" si="264">IF(T191&gt;0,(U191*I191)/T191,0)</f>
        <v>35105.882352941175</v>
      </c>
      <c r="X191" s="283"/>
      <c r="Y191" s="275"/>
      <c r="Z191" s="280">
        <f>Tabla14[[#This Row],[Cajas Segunda]]</f>
        <v>0</v>
      </c>
      <c r="AA191" s="281">
        <f t="shared" ref="AA191:AA196" si="265">IF(Y191&gt;0,Z191/Y191,0)</f>
        <v>0</v>
      </c>
      <c r="AB191" s="284">
        <f t="shared" ref="AB191:AB196" si="266">IF(Y191&gt;0,(Z191*J191)/Y191,0)</f>
        <v>0</v>
      </c>
      <c r="AC191" s="285">
        <v>95</v>
      </c>
      <c r="AD191" s="286"/>
      <c r="AE191" s="286"/>
      <c r="AF191" s="286"/>
      <c r="AG191" s="286">
        <v>17</v>
      </c>
      <c r="AH191" s="280">
        <f t="shared" ref="AH191:AH196" si="267">IF(AND(AC191&gt;0,AE191=0,AF191=0,AD191=0),AC191,IF(AND(AC191=0,AE191&gt;0,AF191&gt;0,AD191=0),AE191*AF191/25,IF(AND(AC191=0,AE191=0,AF191=0,AD191&gt;0),AD191/25,0)))</f>
        <v>95</v>
      </c>
      <c r="AI191" s="281">
        <f t="shared" ref="AI191:AI196" si="268">IF(AG191&gt;0,AH191/AG191,0)</f>
        <v>5.5882352941176467</v>
      </c>
      <c r="AJ191" s="282">
        <f t="shared" ref="AJ191:AJ196" si="269">AI191*K191</f>
        <v>2794.1176470588234</v>
      </c>
      <c r="AK191" s="287">
        <f>Tabla14[[#This Row],[Cajas por Personas]]</f>
        <v>0</v>
      </c>
      <c r="AL191" s="288">
        <f>Tabla14[[#This Row],[Valor Precorte Pesona]]</f>
        <v>0</v>
      </c>
      <c r="AM191" s="294">
        <f>Tabla14[[#This Row],[Personas Precorte]]</f>
        <v>0</v>
      </c>
      <c r="AN191" s="308">
        <f>Tabla14[[#This Row],[Valor Precorte Pesona Precorte]]*Tabla14[[#This Row],[Perzonas Precorte]]</f>
        <v>0</v>
      </c>
      <c r="AO191" s="287">
        <f>Tabla14[[#This Row],[Cajas por Personas2]]</f>
        <v>21.941176470588236</v>
      </c>
      <c r="AP191" s="288">
        <f>Tabla14[[#This Row],[Valor Embarque Pesona]]</f>
        <v>35105.882352941175</v>
      </c>
      <c r="AQ191" s="295">
        <f>Tabla14[[#This Row],[Personas Precorte2]]</f>
        <v>17</v>
      </c>
      <c r="AR191" s="296">
        <f>Tabla14[[#This Row],[Valor Embarque Pesona3]]*Tabla14[[#This Row],[Perzona Primera]]</f>
        <v>596800</v>
      </c>
      <c r="AS191" s="287">
        <f>Tabla14[[#This Row],[Columna2]]</f>
        <v>0</v>
      </c>
      <c r="AT191" s="288">
        <f>Tabla14[[#This Row],[Columna1]]</f>
        <v>0</v>
      </c>
      <c r="AU191" s="302">
        <f>Tabla14[[#This Row],[Personas Intervienen]]</f>
        <v>0</v>
      </c>
      <c r="AV191" s="297">
        <f>Tabla14[[#This Row],[Valor Embarque Pesona5]]*Tabla14[[#This Row],[Presonas Segunda]]</f>
        <v>0</v>
      </c>
      <c r="AW191" s="287">
        <f>Tabla14[[#This Row],[Bolsas Por Personas]]</f>
        <v>5.5882352941176467</v>
      </c>
      <c r="AX191" s="288">
        <f>Tabla14[[#This Row],[Valor bolsas Pesona]]</f>
        <v>2794.1176470588234</v>
      </c>
      <c r="AY191" s="309">
        <f>Tabla14[[#This Row],[Personas13]]</f>
        <v>17</v>
      </c>
      <c r="AZ191" s="310">
        <f>Tabla14[[#This Row],[Valor bolsas Pesona2]]*Tabla14[[#This Row],[Personas Rechazo]]</f>
        <v>47500</v>
      </c>
      <c r="BA191" s="311">
        <f>+Tabla14[[#This Row],[Total Valor Segunda]]+Tabla14[[#This Row],[Total Valor Primera]]+Tabla14[[#This Row],[Total Valor Precorte]]</f>
        <v>596800</v>
      </c>
      <c r="BB191" s="292">
        <f>Tabla14[[#This Row],[Valor bolsas Pesona2]]+Tabla14[[#This Row],[Valor Embarque Pesona3]]</f>
        <v>37900</v>
      </c>
      <c r="BC191" s="332">
        <v>40000</v>
      </c>
      <c r="BD191" s="292">
        <f>Tabla14[[#This Row],[VALOR GANADO]]-Tabla14[[#This Row],[REAJUSTADO]]</f>
        <v>-2100</v>
      </c>
      <c r="BE191" s="250">
        <f>Tabla14[[#This Row],[CUANTO SE REAJUSTA]]*Tabla14[[#This Row],[Personas Rechazo]]</f>
        <v>-35700</v>
      </c>
      <c r="BF191" s="250">
        <f>Tabla14[[#This Row],[REAJUSTADO]]/25000</f>
        <v>1.6</v>
      </c>
      <c r="BG191" s="302">
        <f>Tabla14[[#This Row],[REAJUSTADO]]*Tabla14[[#This Row],[Personas Rechazo]]</f>
        <v>680000</v>
      </c>
      <c r="BH191" s="292" t="str">
        <f>Tabla14[[#This Row],[Finca]]</f>
        <v>San Pedro</v>
      </c>
      <c r="BI191" s="250">
        <v>5</v>
      </c>
      <c r="BJ191" s="332">
        <f>Tabla14[[#This Row],[Numero de Ocacionales]]*Tabla14[[#This Row],[REAJUSTADO]]</f>
        <v>200000</v>
      </c>
      <c r="BK191" s="332"/>
      <c r="BL191" s="332"/>
      <c r="BM191" s="332">
        <f>+Tabla14[[#This Row],[CUANTO SE REAJUSTA]]*3</f>
        <v>-6300</v>
      </c>
      <c r="BN191" s="334"/>
      <c r="BO191" s="334"/>
      <c r="BP191" s="334"/>
    </row>
    <row r="192" spans="3:68" hidden="1" x14ac:dyDescent="0.25">
      <c r="C192" s="274">
        <v>44824</v>
      </c>
      <c r="D192" s="507">
        <f>YEAR(Tabla14[[#This Row],[Fecha]])</f>
        <v>2022</v>
      </c>
      <c r="E192" s="313">
        <f>IF(Tabla14[[#This Row],[Fecha]]&gt;0,_xlfn.ISOWEEKNUM(Tabla14[[#This Row],[Fecha]]),0)</f>
        <v>38</v>
      </c>
      <c r="F192" s="283">
        <v>46</v>
      </c>
      <c r="G192" s="275" t="s">
        <v>155</v>
      </c>
      <c r="H192" s="325" t="str">
        <f>_xlfn.XLOOKUP(Tabla14[[#This Row],[Codigo Finca]],Tabla4[Codigo Finca],Tabla4[Nombre Finca],"")</f>
        <v>Damaquiel</v>
      </c>
      <c r="I192" s="277">
        <f>_xlfn.XLOOKUP(Tabla14[[#This Row],[Codigo Finca]],Tabla4[Codigo Finca],Tabla4[Precio Caja],0)</f>
        <v>1500</v>
      </c>
      <c r="J192" s="277">
        <f>_xlfn.XLOOKUP(Tabla14[[#This Row],[Codigo Finca]],Tabla4[Codigo Finca],Tabla4[Precio Caja Segunda],0)</f>
        <v>1000</v>
      </c>
      <c r="K192" s="277">
        <f>_xlfn.XLOOKUP(Tabla14[[#This Row],[Codigo Finca]],Tabla4[Codigo Finca],Tabla4[Precio Rechazo],0)</f>
        <v>500</v>
      </c>
      <c r="L192" s="277">
        <f t="shared" si="257"/>
        <v>0</v>
      </c>
      <c r="M192" s="278">
        <f t="shared" si="258"/>
        <v>0</v>
      </c>
      <c r="N192" s="283"/>
      <c r="O192" s="279"/>
      <c r="P192" s="280">
        <f t="shared" si="259"/>
        <v>0</v>
      </c>
      <c r="Q192" s="281">
        <f t="shared" si="260"/>
        <v>0</v>
      </c>
      <c r="R192" s="282">
        <f t="shared" si="261"/>
        <v>0</v>
      </c>
      <c r="S192" s="283"/>
      <c r="T192" s="275">
        <v>5</v>
      </c>
      <c r="U192" s="280">
        <f t="shared" si="262"/>
        <v>46</v>
      </c>
      <c r="V192" s="281">
        <f t="shared" si="263"/>
        <v>9.1999999999999993</v>
      </c>
      <c r="W192" s="282">
        <f t="shared" si="264"/>
        <v>13800</v>
      </c>
      <c r="X192" s="283"/>
      <c r="Y192" s="275"/>
      <c r="Z192" s="280">
        <f>Tabla14[[#This Row],[Cajas Segunda]]</f>
        <v>0</v>
      </c>
      <c r="AA192" s="281">
        <f t="shared" si="265"/>
        <v>0</v>
      </c>
      <c r="AB192" s="284">
        <f t="shared" si="266"/>
        <v>0</v>
      </c>
      <c r="AC192" s="285">
        <v>36.72</v>
      </c>
      <c r="AD192" s="286"/>
      <c r="AE192" s="286"/>
      <c r="AF192" s="286"/>
      <c r="AG192" s="286">
        <v>5</v>
      </c>
      <c r="AH192" s="280">
        <f t="shared" si="267"/>
        <v>36.72</v>
      </c>
      <c r="AI192" s="281">
        <f t="shared" si="268"/>
        <v>7.3439999999999994</v>
      </c>
      <c r="AJ192" s="282">
        <f t="shared" si="269"/>
        <v>3671.9999999999995</v>
      </c>
      <c r="AK192" s="287">
        <f>Tabla14[[#This Row],[Cajas por Personas]]</f>
        <v>0</v>
      </c>
      <c r="AL192" s="288">
        <f>Tabla14[[#This Row],[Valor Precorte Pesona]]</f>
        <v>0</v>
      </c>
      <c r="AM192" s="294">
        <f>Tabla14[[#This Row],[Personas Precorte]]</f>
        <v>0</v>
      </c>
      <c r="AN192" s="308">
        <f>Tabla14[[#This Row],[Valor Precorte Pesona Precorte]]*Tabla14[[#This Row],[Perzonas Precorte]]</f>
        <v>0</v>
      </c>
      <c r="AO192" s="287">
        <f>Tabla14[[#This Row],[Cajas por Personas2]]</f>
        <v>9.1999999999999993</v>
      </c>
      <c r="AP192" s="288">
        <f>Tabla14[[#This Row],[Valor Embarque Pesona]]</f>
        <v>13800</v>
      </c>
      <c r="AQ192" s="295">
        <f>Tabla14[[#This Row],[Personas Precorte2]]</f>
        <v>5</v>
      </c>
      <c r="AR192" s="296">
        <f>Tabla14[[#This Row],[Valor Embarque Pesona3]]*Tabla14[[#This Row],[Perzona Primera]]</f>
        <v>69000</v>
      </c>
      <c r="AS192" s="287">
        <f>Tabla14[[#This Row],[Columna2]]</f>
        <v>0</v>
      </c>
      <c r="AT192" s="288">
        <f>Tabla14[[#This Row],[Columna1]]</f>
        <v>0</v>
      </c>
      <c r="AU192" s="302">
        <f>Tabla14[[#This Row],[Personas Intervienen]]</f>
        <v>0</v>
      </c>
      <c r="AV192" s="297">
        <f>Tabla14[[#This Row],[Valor Embarque Pesona5]]*Tabla14[[#This Row],[Presonas Segunda]]</f>
        <v>0</v>
      </c>
      <c r="AW192" s="287">
        <f>Tabla14[[#This Row],[Bolsas Por Personas]]</f>
        <v>7.3439999999999994</v>
      </c>
      <c r="AX192" s="288">
        <f>Tabla14[[#This Row],[Valor bolsas Pesona]]</f>
        <v>3671.9999999999995</v>
      </c>
      <c r="AY192" s="309">
        <f>Tabla14[[#This Row],[Personas13]]</f>
        <v>5</v>
      </c>
      <c r="AZ192" s="310">
        <f>Tabla14[[#This Row],[Valor bolsas Pesona2]]*Tabla14[[#This Row],[Personas Rechazo]]</f>
        <v>18359.999999999996</v>
      </c>
      <c r="BA192" s="311">
        <f>+Tabla14[[#This Row],[Total Valor Segunda]]+Tabla14[[#This Row],[Total Valor Primera]]+Tabla14[[#This Row],[Total Valor Precorte]]</f>
        <v>69000</v>
      </c>
      <c r="BB192" s="292">
        <f>Tabla14[[#This Row],[Valor bolsas Pesona2]]+Tabla14[[#This Row],[Valor Embarque Pesona3]]</f>
        <v>17472</v>
      </c>
      <c r="BC192" s="332">
        <v>30000</v>
      </c>
      <c r="BD192" s="292">
        <f>Tabla14[[#This Row],[VALOR GANADO]]-Tabla14[[#This Row],[REAJUSTADO]]</f>
        <v>-12528</v>
      </c>
      <c r="BE192" s="250">
        <f>Tabla14[[#This Row],[CUANTO SE REAJUSTA]]*Tabla14[[#This Row],[Personas Rechazo]]</f>
        <v>-62640</v>
      </c>
      <c r="BF192" s="250">
        <f>Tabla14[[#This Row],[REAJUSTADO]]/25000</f>
        <v>1.2</v>
      </c>
      <c r="BG192" s="302">
        <f>Tabla14[[#This Row],[REAJUSTADO]]*Tabla14[[#This Row],[Personas Rechazo]]</f>
        <v>150000</v>
      </c>
      <c r="BH192" s="292" t="str">
        <f>Tabla14[[#This Row],[Finca]]</f>
        <v>Damaquiel</v>
      </c>
      <c r="BI192" s="250">
        <v>4</v>
      </c>
      <c r="BJ192" s="332">
        <f>Tabla14[[#This Row],[Numero de Ocacionales]]*Tabla14[[#This Row],[REAJUSTADO]]</f>
        <v>120000</v>
      </c>
      <c r="BK192" s="332"/>
      <c r="BL192" s="332"/>
      <c r="BM192" s="332">
        <f>+Tabla14[[#This Row],[CUANTO SE REAJUSTA]]*3</f>
        <v>-37584</v>
      </c>
      <c r="BN192" s="334"/>
      <c r="BO192" s="334"/>
      <c r="BP192" s="334"/>
    </row>
    <row r="193" spans="3:68" hidden="1" x14ac:dyDescent="0.25">
      <c r="C193" s="274">
        <v>44825</v>
      </c>
      <c r="D193" s="507">
        <f>YEAR(Tabla14[[#This Row],[Fecha]])</f>
        <v>2022</v>
      </c>
      <c r="E193" s="313">
        <f>IF(Tabla14[[#This Row],[Fecha]]&gt;0,_xlfn.ISOWEEKNUM(Tabla14[[#This Row],[Fecha]]),0)</f>
        <v>38</v>
      </c>
      <c r="F193" s="283">
        <v>88</v>
      </c>
      <c r="G193" s="275" t="s">
        <v>209</v>
      </c>
      <c r="H193" s="325" t="str">
        <f>_xlfn.XLOOKUP(Tabla14[[#This Row],[Codigo Finca]],Tabla4[Codigo Finca],Tabla4[Nombre Finca],"")</f>
        <v>San Pedro</v>
      </c>
      <c r="I193" s="277">
        <f>_xlfn.XLOOKUP(Tabla14[[#This Row],[Codigo Finca]],Tabla4[Codigo Finca],Tabla4[Precio Caja],0)</f>
        <v>1800</v>
      </c>
      <c r="J193" s="277">
        <f>_xlfn.XLOOKUP(Tabla14[[#This Row],[Codigo Finca]],Tabla4[Codigo Finca],Tabla4[Precio Caja Segunda],0)</f>
        <v>1000</v>
      </c>
      <c r="K193" s="277">
        <f>_xlfn.XLOOKUP(Tabla14[[#This Row],[Codigo Finca]],Tabla4[Codigo Finca],Tabla4[Precio Rechazo],0)</f>
        <v>600</v>
      </c>
      <c r="L193" s="277">
        <f t="shared" si="257"/>
        <v>0</v>
      </c>
      <c r="M193" s="278">
        <f t="shared" si="258"/>
        <v>0</v>
      </c>
      <c r="N193" s="283"/>
      <c r="O193" s="279"/>
      <c r="P193" s="280">
        <f t="shared" si="259"/>
        <v>0</v>
      </c>
      <c r="Q193" s="281">
        <f t="shared" si="260"/>
        <v>0</v>
      </c>
      <c r="R193" s="282">
        <f t="shared" si="261"/>
        <v>0</v>
      </c>
      <c r="S193" s="283"/>
      <c r="T193" s="275">
        <v>7</v>
      </c>
      <c r="U193" s="280">
        <f t="shared" si="262"/>
        <v>88</v>
      </c>
      <c r="V193" s="281">
        <f t="shared" si="263"/>
        <v>12.571428571428571</v>
      </c>
      <c r="W193" s="282">
        <f t="shared" si="264"/>
        <v>22628.571428571428</v>
      </c>
      <c r="X193" s="283"/>
      <c r="Y193" s="275"/>
      <c r="Z193" s="280">
        <f>Tabla14[[#This Row],[Cajas Segunda]]</f>
        <v>0</v>
      </c>
      <c r="AA193" s="281">
        <f t="shared" si="265"/>
        <v>0</v>
      </c>
      <c r="AB193" s="284">
        <f t="shared" si="266"/>
        <v>0</v>
      </c>
      <c r="AC193" s="285">
        <v>29</v>
      </c>
      <c r="AD193" s="286"/>
      <c r="AE193" s="286"/>
      <c r="AF193" s="286"/>
      <c r="AG193" s="286">
        <v>7</v>
      </c>
      <c r="AH193" s="280">
        <f t="shared" si="267"/>
        <v>29</v>
      </c>
      <c r="AI193" s="281">
        <f t="shared" si="268"/>
        <v>4.1428571428571432</v>
      </c>
      <c r="AJ193" s="282">
        <f t="shared" si="269"/>
        <v>2485.7142857142858</v>
      </c>
      <c r="AK193" s="287">
        <f>Tabla14[[#This Row],[Cajas por Personas]]</f>
        <v>0</v>
      </c>
      <c r="AL193" s="288">
        <f>Tabla14[[#This Row],[Valor Precorte Pesona]]</f>
        <v>0</v>
      </c>
      <c r="AM193" s="294">
        <f>Tabla14[[#This Row],[Personas Precorte]]</f>
        <v>0</v>
      </c>
      <c r="AN193" s="308">
        <f>Tabla14[[#This Row],[Valor Precorte Pesona Precorte]]*Tabla14[[#This Row],[Perzonas Precorte]]</f>
        <v>0</v>
      </c>
      <c r="AO193" s="287">
        <f>Tabla14[[#This Row],[Cajas por Personas2]]</f>
        <v>12.571428571428571</v>
      </c>
      <c r="AP193" s="288">
        <f>Tabla14[[#This Row],[Valor Embarque Pesona]]</f>
        <v>22628.571428571428</v>
      </c>
      <c r="AQ193" s="295">
        <f>Tabla14[[#This Row],[Personas Precorte2]]</f>
        <v>7</v>
      </c>
      <c r="AR193" s="296">
        <f>Tabla14[[#This Row],[Valor Embarque Pesona3]]*Tabla14[[#This Row],[Perzona Primera]]</f>
        <v>158400</v>
      </c>
      <c r="AS193" s="287">
        <f>Tabla14[[#This Row],[Columna2]]</f>
        <v>0</v>
      </c>
      <c r="AT193" s="288">
        <f>Tabla14[[#This Row],[Columna1]]</f>
        <v>0</v>
      </c>
      <c r="AU193" s="302">
        <f>Tabla14[[#This Row],[Personas Intervienen]]</f>
        <v>0</v>
      </c>
      <c r="AV193" s="297">
        <f>Tabla14[[#This Row],[Valor Embarque Pesona5]]*Tabla14[[#This Row],[Presonas Segunda]]</f>
        <v>0</v>
      </c>
      <c r="AW193" s="287">
        <f>Tabla14[[#This Row],[Bolsas Por Personas]]</f>
        <v>4.1428571428571432</v>
      </c>
      <c r="AX193" s="288">
        <f>Tabla14[[#This Row],[Valor bolsas Pesona]]</f>
        <v>2485.7142857142858</v>
      </c>
      <c r="AY193" s="309">
        <f>Tabla14[[#This Row],[Personas13]]</f>
        <v>7</v>
      </c>
      <c r="AZ193" s="310">
        <f>Tabla14[[#This Row],[Valor bolsas Pesona2]]*Tabla14[[#This Row],[Personas Rechazo]]</f>
        <v>17400</v>
      </c>
      <c r="BA193" s="311">
        <f>+Tabla14[[#This Row],[Total Valor Segunda]]+Tabla14[[#This Row],[Total Valor Primera]]+Tabla14[[#This Row],[Total Valor Precorte]]</f>
        <v>158400</v>
      </c>
      <c r="BB193" s="292">
        <f>Tabla14[[#This Row],[Valor bolsas Pesona2]]+Tabla14[[#This Row],[Valor Embarque Pesona3]]</f>
        <v>25114.285714285714</v>
      </c>
      <c r="BC193" s="332">
        <v>27000</v>
      </c>
      <c r="BD193" s="292">
        <f>Tabla14[[#This Row],[VALOR GANADO]]-Tabla14[[#This Row],[REAJUSTADO]]</f>
        <v>-1885.7142857142862</v>
      </c>
      <c r="BE193" s="250">
        <f>Tabla14[[#This Row],[CUANTO SE REAJUSTA]]*Tabla14[[#This Row],[Personas Rechazo]]</f>
        <v>-13200.000000000004</v>
      </c>
      <c r="BF193" s="250">
        <f>Tabla14[[#This Row],[REAJUSTADO]]/25000</f>
        <v>1.08</v>
      </c>
      <c r="BG193" s="302">
        <f>Tabla14[[#This Row],[REAJUSTADO]]*Tabla14[[#This Row],[Personas Rechazo]]</f>
        <v>189000</v>
      </c>
      <c r="BH193" s="292" t="str">
        <f>Tabla14[[#This Row],[Finca]]</f>
        <v>San Pedro</v>
      </c>
      <c r="BI193" s="250">
        <v>2</v>
      </c>
      <c r="BJ193" s="332">
        <f>Tabla14[[#This Row],[Numero de Ocacionales]]*Tabla14[[#This Row],[REAJUSTADO]]</f>
        <v>54000</v>
      </c>
      <c r="BK193" s="332"/>
      <c r="BL193" s="332"/>
      <c r="BM193" s="332">
        <f>+Tabla14[[#This Row],[CUANTO SE REAJUSTA]]*3</f>
        <v>-5657.1428571428587</v>
      </c>
      <c r="BN193" s="334"/>
      <c r="BO193" s="334"/>
      <c r="BP193" s="334"/>
    </row>
    <row r="194" spans="3:68" hidden="1" x14ac:dyDescent="0.25">
      <c r="C194" s="274">
        <v>44825</v>
      </c>
      <c r="D194" s="507">
        <f>YEAR(Tabla14[[#This Row],[Fecha]])</f>
        <v>2022</v>
      </c>
      <c r="E194" s="313">
        <f>IF(Tabla14[[#This Row],[Fecha]]&gt;0,_xlfn.ISOWEEKNUM(Tabla14[[#This Row],[Fecha]]),0)</f>
        <v>38</v>
      </c>
      <c r="F194" s="283">
        <v>7</v>
      </c>
      <c r="G194" s="275" t="s">
        <v>153</v>
      </c>
      <c r="H194" s="325" t="str">
        <f>_xlfn.XLOOKUP(Tabla14[[#This Row],[Codigo Finca]],Tabla4[Codigo Finca],Tabla4[Nombre Finca],"")</f>
        <v>Uveros</v>
      </c>
      <c r="I194" s="277">
        <f>_xlfn.XLOOKUP(Tabla14[[#This Row],[Codigo Finca]],Tabla4[Codigo Finca],Tabla4[Precio Caja],0)</f>
        <v>1500</v>
      </c>
      <c r="J194" s="277">
        <f>_xlfn.XLOOKUP(Tabla14[[#This Row],[Codigo Finca]],Tabla4[Codigo Finca],Tabla4[Precio Caja Segunda],0)</f>
        <v>1000</v>
      </c>
      <c r="K194" s="277">
        <f>_xlfn.XLOOKUP(Tabla14[[#This Row],[Codigo Finca]],Tabla4[Codigo Finca],Tabla4[Precio Rechazo],0)</f>
        <v>500</v>
      </c>
      <c r="L194" s="277">
        <f t="shared" si="257"/>
        <v>0</v>
      </c>
      <c r="M194" s="278">
        <f t="shared" si="258"/>
        <v>0</v>
      </c>
      <c r="N194" s="283"/>
      <c r="O194" s="279"/>
      <c r="P194" s="280">
        <f t="shared" si="259"/>
        <v>0</v>
      </c>
      <c r="Q194" s="281">
        <f t="shared" si="260"/>
        <v>0</v>
      </c>
      <c r="R194" s="282">
        <f t="shared" si="261"/>
        <v>0</v>
      </c>
      <c r="S194" s="283"/>
      <c r="T194" s="275">
        <v>4</v>
      </c>
      <c r="U194" s="280">
        <f t="shared" si="262"/>
        <v>7</v>
      </c>
      <c r="V194" s="281">
        <f t="shared" si="263"/>
        <v>1.75</v>
      </c>
      <c r="W194" s="282">
        <f t="shared" si="264"/>
        <v>2625</v>
      </c>
      <c r="X194" s="283"/>
      <c r="Y194" s="275"/>
      <c r="Z194" s="280">
        <f>Tabla14[[#This Row],[Cajas Segunda]]</f>
        <v>0</v>
      </c>
      <c r="AA194" s="281">
        <f t="shared" si="265"/>
        <v>0</v>
      </c>
      <c r="AB194" s="284">
        <f t="shared" si="266"/>
        <v>0</v>
      </c>
      <c r="AC194" s="285">
        <v>40.799999999999997</v>
      </c>
      <c r="AD194" s="286"/>
      <c r="AE194" s="286"/>
      <c r="AF194" s="286"/>
      <c r="AG194" s="286">
        <v>4</v>
      </c>
      <c r="AH194" s="280">
        <f t="shared" si="267"/>
        <v>40.799999999999997</v>
      </c>
      <c r="AI194" s="281">
        <f t="shared" si="268"/>
        <v>10.199999999999999</v>
      </c>
      <c r="AJ194" s="282">
        <f t="shared" si="269"/>
        <v>5100</v>
      </c>
      <c r="AK194" s="287">
        <f>Tabla14[[#This Row],[Cajas por Personas]]</f>
        <v>0</v>
      </c>
      <c r="AL194" s="288">
        <f>Tabla14[[#This Row],[Valor Precorte Pesona]]</f>
        <v>0</v>
      </c>
      <c r="AM194" s="294">
        <f>Tabla14[[#This Row],[Personas Precorte]]</f>
        <v>0</v>
      </c>
      <c r="AN194" s="308">
        <f>Tabla14[[#This Row],[Valor Precorte Pesona Precorte]]*Tabla14[[#This Row],[Perzonas Precorte]]</f>
        <v>0</v>
      </c>
      <c r="AO194" s="287">
        <f>Tabla14[[#This Row],[Cajas por Personas2]]</f>
        <v>1.75</v>
      </c>
      <c r="AP194" s="288">
        <f>Tabla14[[#This Row],[Valor Embarque Pesona]]</f>
        <v>2625</v>
      </c>
      <c r="AQ194" s="295">
        <f>Tabla14[[#This Row],[Personas Precorte2]]</f>
        <v>4</v>
      </c>
      <c r="AR194" s="296">
        <f>Tabla14[[#This Row],[Valor Embarque Pesona3]]*Tabla14[[#This Row],[Perzona Primera]]</f>
        <v>10500</v>
      </c>
      <c r="AS194" s="287">
        <f>Tabla14[[#This Row],[Columna2]]</f>
        <v>0</v>
      </c>
      <c r="AT194" s="288">
        <f>Tabla14[[#This Row],[Columna1]]</f>
        <v>0</v>
      </c>
      <c r="AU194" s="302">
        <f>Tabla14[[#This Row],[Personas Intervienen]]</f>
        <v>0</v>
      </c>
      <c r="AV194" s="297">
        <f>Tabla14[[#This Row],[Valor Embarque Pesona5]]*Tabla14[[#This Row],[Presonas Segunda]]</f>
        <v>0</v>
      </c>
      <c r="AW194" s="287">
        <f>Tabla14[[#This Row],[Bolsas Por Personas]]</f>
        <v>10.199999999999999</v>
      </c>
      <c r="AX194" s="288">
        <f>Tabla14[[#This Row],[Valor bolsas Pesona]]</f>
        <v>5100</v>
      </c>
      <c r="AY194" s="309">
        <f>Tabla14[[#This Row],[Personas13]]</f>
        <v>4</v>
      </c>
      <c r="AZ194" s="310">
        <f>Tabla14[[#This Row],[Valor bolsas Pesona2]]*Tabla14[[#This Row],[Personas Rechazo]]</f>
        <v>20400</v>
      </c>
      <c r="BA194" s="311">
        <f>+Tabla14[[#This Row],[Total Valor Segunda]]+Tabla14[[#This Row],[Total Valor Primera]]+Tabla14[[#This Row],[Total Valor Precorte]]</f>
        <v>10500</v>
      </c>
      <c r="BB194" s="292">
        <f>Tabla14[[#This Row],[Valor bolsas Pesona2]]+Tabla14[[#This Row],[Valor Embarque Pesona3]]</f>
        <v>7725</v>
      </c>
      <c r="BC194" s="332">
        <v>25000</v>
      </c>
      <c r="BD194" s="292">
        <f>Tabla14[[#This Row],[VALOR GANADO]]-Tabla14[[#This Row],[REAJUSTADO]]</f>
        <v>-17275</v>
      </c>
      <c r="BE194" s="250">
        <f>Tabla14[[#This Row],[CUANTO SE REAJUSTA]]*Tabla14[[#This Row],[Personas Rechazo]]</f>
        <v>-69100</v>
      </c>
      <c r="BF194" s="250">
        <f>Tabla14[[#This Row],[REAJUSTADO]]/25000</f>
        <v>1</v>
      </c>
      <c r="BG194" s="302">
        <f>Tabla14[[#This Row],[REAJUSTADO]]*Tabla14[[#This Row],[Personas Rechazo]]</f>
        <v>100000</v>
      </c>
      <c r="BH194" s="292" t="str">
        <f>Tabla14[[#This Row],[Finca]]</f>
        <v>Uveros</v>
      </c>
      <c r="BI194" s="250">
        <v>1</v>
      </c>
      <c r="BJ194" s="332">
        <f>Tabla14[[#This Row],[Numero de Ocacionales]]*Tabla14[[#This Row],[REAJUSTADO]]</f>
        <v>25000</v>
      </c>
      <c r="BK194" s="332"/>
      <c r="BL194" s="332"/>
      <c r="BM194" s="332">
        <f>+Tabla14[[#This Row],[CUANTO SE REAJUSTA]]*3</f>
        <v>-51825</v>
      </c>
      <c r="BN194" s="334"/>
      <c r="BO194" s="334"/>
      <c r="BP194" s="334"/>
    </row>
    <row r="195" spans="3:68" hidden="1" x14ac:dyDescent="0.25">
      <c r="C195" s="274">
        <v>44818</v>
      </c>
      <c r="D195" s="507">
        <f>YEAR(Tabla14[[#This Row],[Fecha]])</f>
        <v>2022</v>
      </c>
      <c r="E195" s="313">
        <f>IF(Tabla14[[#This Row],[Fecha]]&gt;0,_xlfn.ISOWEEKNUM(Tabla14[[#This Row],[Fecha]]),0)</f>
        <v>37</v>
      </c>
      <c r="F195" s="283">
        <v>95</v>
      </c>
      <c r="G195" s="275" t="s">
        <v>157</v>
      </c>
      <c r="H195" s="325" t="str">
        <f>_xlfn.XLOOKUP(Tabla14[[#This Row],[Codigo Finca]],Tabla4[Codigo Finca],Tabla4[Nombre Finca],"")</f>
        <v>Pedrito</v>
      </c>
      <c r="I195" s="277">
        <f>_xlfn.XLOOKUP(Tabla14[[#This Row],[Codigo Finca]],Tabla4[Codigo Finca],Tabla4[Precio Caja],0)</f>
        <v>2100</v>
      </c>
      <c r="J195" s="277">
        <f>_xlfn.XLOOKUP(Tabla14[[#This Row],[Codigo Finca]],Tabla4[Codigo Finca],Tabla4[Precio Caja Segunda],0)</f>
        <v>1000</v>
      </c>
      <c r="K195" s="277">
        <f>_xlfn.XLOOKUP(Tabla14[[#This Row],[Codigo Finca]],Tabla4[Codigo Finca],Tabla4[Precio Rechazo],0)</f>
        <v>500</v>
      </c>
      <c r="L195" s="277">
        <f t="shared" si="257"/>
        <v>653</v>
      </c>
      <c r="M195" s="278">
        <f t="shared" si="258"/>
        <v>6.8736842105263154</v>
      </c>
      <c r="N195" s="283"/>
      <c r="O195" s="279"/>
      <c r="P195" s="280">
        <f t="shared" si="259"/>
        <v>0</v>
      </c>
      <c r="Q195" s="281">
        <f t="shared" si="260"/>
        <v>0</v>
      </c>
      <c r="R195" s="282">
        <f t="shared" si="261"/>
        <v>0</v>
      </c>
      <c r="S195" s="283">
        <v>653</v>
      </c>
      <c r="T195" s="275">
        <v>11</v>
      </c>
      <c r="U195" s="280">
        <f t="shared" si="262"/>
        <v>95</v>
      </c>
      <c r="V195" s="281">
        <f t="shared" si="263"/>
        <v>8.6363636363636367</v>
      </c>
      <c r="W195" s="282">
        <f t="shared" si="264"/>
        <v>18136.363636363636</v>
      </c>
      <c r="X195" s="283"/>
      <c r="Y195" s="275"/>
      <c r="Z195" s="280">
        <f>Tabla14[[#This Row],[Cajas Segunda]]</f>
        <v>0</v>
      </c>
      <c r="AA195" s="281">
        <f t="shared" si="265"/>
        <v>0</v>
      </c>
      <c r="AB195" s="284">
        <f t="shared" si="266"/>
        <v>0</v>
      </c>
      <c r="AC195" s="285"/>
      <c r="AD195" s="286">
        <v>2345</v>
      </c>
      <c r="AE195" s="286"/>
      <c r="AF195" s="286"/>
      <c r="AG195" s="286">
        <v>11</v>
      </c>
      <c r="AH195" s="280">
        <f t="shared" si="267"/>
        <v>93.8</v>
      </c>
      <c r="AI195" s="281">
        <f t="shared" si="268"/>
        <v>8.5272727272727273</v>
      </c>
      <c r="AJ195" s="282">
        <f t="shared" si="269"/>
        <v>4263.636363636364</v>
      </c>
      <c r="AK195" s="287">
        <f>Tabla14[[#This Row],[Cajas por Personas]]</f>
        <v>0</v>
      </c>
      <c r="AL195" s="288">
        <f>Tabla14[[#This Row],[Valor Precorte Pesona]]</f>
        <v>0</v>
      </c>
      <c r="AM195" s="294">
        <f>Tabla14[[#This Row],[Personas Precorte]]</f>
        <v>0</v>
      </c>
      <c r="AN195" s="308">
        <f>Tabla14[[#This Row],[Valor Precorte Pesona Precorte]]*Tabla14[[#This Row],[Perzonas Precorte]]</f>
        <v>0</v>
      </c>
      <c r="AO195" s="287">
        <f>Tabla14[[#This Row],[Cajas por Personas2]]</f>
        <v>8.6363636363636367</v>
      </c>
      <c r="AP195" s="288">
        <f>Tabla14[[#This Row],[Valor Embarque Pesona]]</f>
        <v>18136.363636363636</v>
      </c>
      <c r="AQ195" s="295">
        <f>Tabla14[[#This Row],[Personas Precorte2]]</f>
        <v>11</v>
      </c>
      <c r="AR195" s="296">
        <f>Tabla14[[#This Row],[Valor Embarque Pesona3]]*Tabla14[[#This Row],[Perzona Primera]]</f>
        <v>199500</v>
      </c>
      <c r="AS195" s="287">
        <f>Tabla14[[#This Row],[Columna2]]</f>
        <v>0</v>
      </c>
      <c r="AT195" s="288">
        <f>Tabla14[[#This Row],[Columna1]]</f>
        <v>0</v>
      </c>
      <c r="AU195" s="302">
        <f>Tabla14[[#This Row],[Personas Intervienen]]</f>
        <v>0</v>
      </c>
      <c r="AV195" s="297">
        <f>Tabla14[[#This Row],[Valor Embarque Pesona5]]*Tabla14[[#This Row],[Presonas Segunda]]</f>
        <v>0</v>
      </c>
      <c r="AW195" s="287">
        <f>Tabla14[[#This Row],[Bolsas Por Personas]]</f>
        <v>8.5272727272727273</v>
      </c>
      <c r="AX195" s="288">
        <f>Tabla14[[#This Row],[Valor bolsas Pesona]]</f>
        <v>4263.636363636364</v>
      </c>
      <c r="AY195" s="309">
        <f>Tabla14[[#This Row],[Personas13]]</f>
        <v>11</v>
      </c>
      <c r="AZ195" s="310">
        <f>Tabla14[[#This Row],[Valor bolsas Pesona2]]*Tabla14[[#This Row],[Personas Rechazo]]</f>
        <v>46900</v>
      </c>
      <c r="BA195" s="311">
        <f>+Tabla14[[#This Row],[Total Valor Segunda]]+Tabla14[[#This Row],[Total Valor Primera]]+Tabla14[[#This Row],[Total Valor Precorte]]</f>
        <v>199500</v>
      </c>
      <c r="BB195" s="292">
        <f>Tabla14[[#This Row],[Valor bolsas Pesona2]]+Tabla14[[#This Row],[Valor Embarque Pesona3]]</f>
        <v>22400</v>
      </c>
      <c r="BC195" s="332">
        <v>35000</v>
      </c>
      <c r="BD195" s="292">
        <f>Tabla14[[#This Row],[VALOR GANADO]]-Tabla14[[#This Row],[REAJUSTADO]]</f>
        <v>-12600</v>
      </c>
      <c r="BE195" s="250">
        <f>Tabla14[[#This Row],[CUANTO SE REAJUSTA]]*Tabla14[[#This Row],[Personas Rechazo]]</f>
        <v>-138600</v>
      </c>
      <c r="BF195" s="250">
        <f>Tabla14[[#This Row],[REAJUSTADO]]/25000</f>
        <v>1.4</v>
      </c>
      <c r="BG195" s="302">
        <f>Tabla14[[#This Row],[REAJUSTADO]]*Tabla14[[#This Row],[Personas Rechazo]]</f>
        <v>385000</v>
      </c>
      <c r="BH195" s="292" t="str">
        <f>Tabla14[[#This Row],[Finca]]</f>
        <v>Pedrito</v>
      </c>
      <c r="BJ195" s="332">
        <f>Tabla14[[#This Row],[Numero de Ocacionales]]*Tabla14[[#This Row],[REAJUSTADO]]</f>
        <v>0</v>
      </c>
      <c r="BK195" s="332"/>
      <c r="BL195" s="332"/>
      <c r="BM195" s="332">
        <f>+Tabla14[[#This Row],[CUANTO SE REAJUSTA]]*3</f>
        <v>-37800</v>
      </c>
      <c r="BN195" s="334"/>
      <c r="BO195" s="334"/>
      <c r="BP195" s="334"/>
    </row>
    <row r="196" spans="3:68" hidden="1" x14ac:dyDescent="0.25">
      <c r="C196" s="274">
        <v>44825</v>
      </c>
      <c r="D196" s="507">
        <f>YEAR(Tabla14[[#This Row],[Fecha]])</f>
        <v>2022</v>
      </c>
      <c r="E196" s="313">
        <f>IF(Tabla14[[#This Row],[Fecha]]&gt;0,_xlfn.ISOWEEKNUM(Tabla14[[#This Row],[Fecha]]),0)</f>
        <v>38</v>
      </c>
      <c r="F196" s="283">
        <v>35</v>
      </c>
      <c r="G196" s="275" t="s">
        <v>152</v>
      </c>
      <c r="H196" s="325" t="str">
        <f>_xlfn.XLOOKUP(Tabla14[[#This Row],[Codigo Finca]],Tabla4[Codigo Finca],Tabla4[Nombre Finca],"")</f>
        <v>San Pedro</v>
      </c>
      <c r="I196" s="277">
        <f>_xlfn.XLOOKUP(Tabla14[[#This Row],[Codigo Finca]],Tabla4[Codigo Finca],Tabla4[Precio Caja],0)</f>
        <v>1500</v>
      </c>
      <c r="J196" s="277">
        <f>_xlfn.XLOOKUP(Tabla14[[#This Row],[Codigo Finca]],Tabla4[Codigo Finca],Tabla4[Precio Caja Segunda],0)</f>
        <v>1000</v>
      </c>
      <c r="K196" s="277">
        <f>_xlfn.XLOOKUP(Tabla14[[#This Row],[Codigo Finca]],Tabla4[Codigo Finca],Tabla4[Precio Rechazo],0)</f>
        <v>500</v>
      </c>
      <c r="L196" s="277">
        <f t="shared" si="257"/>
        <v>0</v>
      </c>
      <c r="M196" s="278">
        <f t="shared" si="258"/>
        <v>0</v>
      </c>
      <c r="N196" s="283"/>
      <c r="O196" s="279"/>
      <c r="P196" s="280">
        <f t="shared" si="259"/>
        <v>0</v>
      </c>
      <c r="Q196" s="281">
        <f t="shared" si="260"/>
        <v>0</v>
      </c>
      <c r="R196" s="282">
        <f t="shared" si="261"/>
        <v>0</v>
      </c>
      <c r="S196" s="283"/>
      <c r="T196" s="275">
        <v>7</v>
      </c>
      <c r="U196" s="280">
        <f t="shared" si="262"/>
        <v>35</v>
      </c>
      <c r="V196" s="281">
        <f t="shared" si="263"/>
        <v>5</v>
      </c>
      <c r="W196" s="282">
        <f t="shared" si="264"/>
        <v>7500</v>
      </c>
      <c r="X196" s="283"/>
      <c r="Y196" s="275"/>
      <c r="Z196" s="280">
        <f>Tabla14[[#This Row],[Cajas Segunda]]</f>
        <v>0</v>
      </c>
      <c r="AA196" s="281">
        <f t="shared" si="265"/>
        <v>0</v>
      </c>
      <c r="AB196" s="284">
        <f t="shared" si="266"/>
        <v>0</v>
      </c>
      <c r="AC196" s="285">
        <v>38</v>
      </c>
      <c r="AD196" s="286"/>
      <c r="AE196" s="286"/>
      <c r="AF196" s="286"/>
      <c r="AG196" s="286">
        <v>7</v>
      </c>
      <c r="AH196" s="280">
        <f t="shared" si="267"/>
        <v>38</v>
      </c>
      <c r="AI196" s="281">
        <f t="shared" si="268"/>
        <v>5.4285714285714288</v>
      </c>
      <c r="AJ196" s="282">
        <f t="shared" si="269"/>
        <v>2714.2857142857142</v>
      </c>
      <c r="AK196" s="287">
        <f>Tabla14[[#This Row],[Cajas por Personas]]</f>
        <v>0</v>
      </c>
      <c r="AL196" s="288">
        <f>Tabla14[[#This Row],[Valor Precorte Pesona]]</f>
        <v>0</v>
      </c>
      <c r="AM196" s="294">
        <f>Tabla14[[#This Row],[Personas Precorte]]</f>
        <v>0</v>
      </c>
      <c r="AN196" s="308">
        <f>Tabla14[[#This Row],[Valor Precorte Pesona Precorte]]*Tabla14[[#This Row],[Perzonas Precorte]]</f>
        <v>0</v>
      </c>
      <c r="AO196" s="287">
        <f>Tabla14[[#This Row],[Cajas por Personas2]]</f>
        <v>5</v>
      </c>
      <c r="AP196" s="288">
        <f>Tabla14[[#This Row],[Valor Embarque Pesona]]</f>
        <v>7500</v>
      </c>
      <c r="AQ196" s="295">
        <f>Tabla14[[#This Row],[Personas Precorte2]]</f>
        <v>7</v>
      </c>
      <c r="AR196" s="296">
        <f>Tabla14[[#This Row],[Valor Embarque Pesona3]]*Tabla14[[#This Row],[Perzona Primera]]</f>
        <v>52500</v>
      </c>
      <c r="AS196" s="287">
        <f>Tabla14[[#This Row],[Columna2]]</f>
        <v>0</v>
      </c>
      <c r="AT196" s="288">
        <f>Tabla14[[#This Row],[Columna1]]</f>
        <v>0</v>
      </c>
      <c r="AU196" s="302">
        <f>Tabla14[[#This Row],[Personas Intervienen]]</f>
        <v>0</v>
      </c>
      <c r="AV196" s="297">
        <f>Tabla14[[#This Row],[Valor Embarque Pesona5]]*Tabla14[[#This Row],[Presonas Segunda]]</f>
        <v>0</v>
      </c>
      <c r="AW196" s="287">
        <f>Tabla14[[#This Row],[Bolsas Por Personas]]</f>
        <v>5.4285714285714288</v>
      </c>
      <c r="AX196" s="288">
        <f>Tabla14[[#This Row],[Valor bolsas Pesona]]</f>
        <v>2714.2857142857142</v>
      </c>
      <c r="AY196" s="309">
        <f>Tabla14[[#This Row],[Personas13]]</f>
        <v>7</v>
      </c>
      <c r="AZ196" s="310">
        <f>Tabla14[[#This Row],[Valor bolsas Pesona2]]*Tabla14[[#This Row],[Personas Rechazo]]</f>
        <v>19000</v>
      </c>
      <c r="BA196" s="311">
        <f>+Tabla14[[#This Row],[Total Valor Segunda]]+Tabla14[[#This Row],[Total Valor Primera]]+Tabla14[[#This Row],[Total Valor Precorte]]</f>
        <v>52500</v>
      </c>
      <c r="BB196" s="292">
        <f>Tabla14[[#This Row],[Valor bolsas Pesona2]]+Tabla14[[#This Row],[Valor Embarque Pesona3]]</f>
        <v>10214.285714285714</v>
      </c>
      <c r="BC196" s="332">
        <v>11000</v>
      </c>
      <c r="BD196" s="292">
        <f>Tabla14[[#This Row],[VALOR GANADO]]-Tabla14[[#This Row],[REAJUSTADO]]</f>
        <v>-785.71428571428623</v>
      </c>
      <c r="BE196" s="250">
        <f>Tabla14[[#This Row],[CUANTO SE REAJUSTA]]*Tabla14[[#This Row],[Personas Rechazo]]</f>
        <v>-5500.0000000000036</v>
      </c>
      <c r="BF196" s="250">
        <f>Tabla14[[#This Row],[REAJUSTADO]]/25000</f>
        <v>0.44</v>
      </c>
      <c r="BG196" s="302">
        <f>Tabla14[[#This Row],[REAJUSTADO]]*Tabla14[[#This Row],[Personas Rechazo]]</f>
        <v>77000</v>
      </c>
      <c r="BH196" s="292" t="str">
        <f>Tabla14[[#This Row],[Finca]]</f>
        <v>San Pedro</v>
      </c>
      <c r="BI196" s="250">
        <v>2</v>
      </c>
      <c r="BJ196" s="332">
        <f>Tabla14[[#This Row],[Numero de Ocacionales]]*Tabla14[[#This Row],[REAJUSTADO]]</f>
        <v>22000</v>
      </c>
      <c r="BK196" s="332"/>
      <c r="BL196" s="332"/>
      <c r="BM196" s="332">
        <f>+Tabla14[[#This Row],[CUANTO SE REAJUSTA]]*3</f>
        <v>-2357.1428571428587</v>
      </c>
      <c r="BN196" s="334"/>
      <c r="BO196" s="334"/>
      <c r="BP196" s="334"/>
    </row>
    <row r="197" spans="3:68" hidden="1" x14ac:dyDescent="0.25">
      <c r="C197" s="274">
        <v>44826</v>
      </c>
      <c r="D197" s="507">
        <f>YEAR(Tabla14[[#This Row],[Fecha]])</f>
        <v>2022</v>
      </c>
      <c r="E197" s="313">
        <f>IF(Tabla14[[#This Row],[Fecha]]&gt;0,_xlfn.ISOWEEKNUM(Tabla14[[#This Row],[Fecha]]),0)</f>
        <v>38</v>
      </c>
      <c r="F197" s="283">
        <v>93</v>
      </c>
      <c r="G197" s="275" t="s">
        <v>157</v>
      </c>
      <c r="H197" s="325" t="str">
        <f>_xlfn.XLOOKUP(Tabla14[[#This Row],[Codigo Finca]],Tabla4[Codigo Finca],Tabla4[Nombre Finca],"")</f>
        <v>Pedrito</v>
      </c>
      <c r="I197" s="277">
        <f>_xlfn.XLOOKUP(Tabla14[[#This Row],[Codigo Finca]],Tabla4[Codigo Finca],Tabla4[Precio Caja],0)</f>
        <v>2100</v>
      </c>
      <c r="J197" s="277">
        <f>_xlfn.XLOOKUP(Tabla14[[#This Row],[Codigo Finca]],Tabla4[Codigo Finca],Tabla4[Precio Caja Segunda],0)</f>
        <v>1000</v>
      </c>
      <c r="K197" s="277">
        <f>_xlfn.XLOOKUP(Tabla14[[#This Row],[Codigo Finca]],Tabla4[Codigo Finca],Tabla4[Precio Rechazo],0)</f>
        <v>500</v>
      </c>
      <c r="L197" s="277">
        <f t="shared" ref="L197:L202" si="270">S197+N197</f>
        <v>604</v>
      </c>
      <c r="M197" s="278">
        <f t="shared" ref="M197:M202" si="271">IF(F197&gt;0,L197/F197,0)</f>
        <v>6.4946236559139781</v>
      </c>
      <c r="N197" s="283"/>
      <c r="O197" s="279"/>
      <c r="P197" s="280">
        <f t="shared" ref="P197:P202" si="272">IF(N197&gt;0,(N197/M197)/2,0)</f>
        <v>0</v>
      </c>
      <c r="Q197" s="281">
        <f t="shared" ref="Q197:Q202" si="273">IF(O197&gt;0,P197/O197,0)</f>
        <v>0</v>
      </c>
      <c r="R197" s="282">
        <f t="shared" ref="R197:R202" si="274">IF(I197&gt;0,Q197*I197,)</f>
        <v>0</v>
      </c>
      <c r="S197" s="283">
        <v>604</v>
      </c>
      <c r="T197" s="275">
        <v>11</v>
      </c>
      <c r="U197" s="280">
        <f t="shared" ref="U197:U202" si="275">F197-P197</f>
        <v>93</v>
      </c>
      <c r="V197" s="281">
        <f t="shared" ref="V197:V202" si="276">IF(T197&gt;0,U197/T197,0)</f>
        <v>8.454545454545455</v>
      </c>
      <c r="W197" s="282">
        <f t="shared" ref="W197:W202" si="277">IF(T197&gt;0,(U197*I197)/T197,0)</f>
        <v>17754.545454545456</v>
      </c>
      <c r="X197" s="283"/>
      <c r="Y197" s="275"/>
      <c r="Z197" s="280">
        <f>Tabla14[[#This Row],[Cajas Segunda]]</f>
        <v>0</v>
      </c>
      <c r="AA197" s="281">
        <f t="shared" ref="AA197:AA202" si="278">IF(Y197&gt;0,Z197/Y197,0)</f>
        <v>0</v>
      </c>
      <c r="AB197" s="284">
        <f t="shared" ref="AB197:AB202" si="279">IF(Y197&gt;0,(Z197*J197)/Y197,0)</f>
        <v>0</v>
      </c>
      <c r="AC197" s="285">
        <v>85</v>
      </c>
      <c r="AD197" s="286"/>
      <c r="AE197" s="286"/>
      <c r="AF197" s="286"/>
      <c r="AG197" s="286">
        <v>11</v>
      </c>
      <c r="AH197" s="280">
        <f t="shared" ref="AH197:AH202" si="280">IF(AND(AC197&gt;0,AE197=0,AF197=0,AD197=0),AC197,IF(AND(AC197=0,AE197&gt;0,AF197&gt;0,AD197=0),AE197*AF197/25,IF(AND(AC197=0,AE197=0,AF197=0,AD197&gt;0),AD197/25,0)))</f>
        <v>85</v>
      </c>
      <c r="AI197" s="281">
        <f t="shared" ref="AI197:AI202" si="281">IF(AG197&gt;0,AH197/AG197,0)</f>
        <v>7.7272727272727275</v>
      </c>
      <c r="AJ197" s="282">
        <f t="shared" ref="AJ197:AJ202" si="282">AI197*K197</f>
        <v>3863.636363636364</v>
      </c>
      <c r="AK197" s="287">
        <f>Tabla14[[#This Row],[Cajas por Personas]]</f>
        <v>0</v>
      </c>
      <c r="AL197" s="288">
        <f>Tabla14[[#This Row],[Valor Precorte Pesona]]</f>
        <v>0</v>
      </c>
      <c r="AM197" s="294">
        <f>Tabla14[[#This Row],[Personas Precorte]]</f>
        <v>0</v>
      </c>
      <c r="AN197" s="308">
        <f>Tabla14[[#This Row],[Valor Precorte Pesona Precorte]]*Tabla14[[#This Row],[Perzonas Precorte]]</f>
        <v>0</v>
      </c>
      <c r="AO197" s="287">
        <f>Tabla14[[#This Row],[Cajas por Personas2]]</f>
        <v>8.454545454545455</v>
      </c>
      <c r="AP197" s="288">
        <f>Tabla14[[#This Row],[Valor Embarque Pesona]]</f>
        <v>17754.545454545456</v>
      </c>
      <c r="AQ197" s="295">
        <f>Tabla14[[#This Row],[Personas Precorte2]]</f>
        <v>11</v>
      </c>
      <c r="AR197" s="296">
        <f>Tabla14[[#This Row],[Valor Embarque Pesona3]]*Tabla14[[#This Row],[Perzona Primera]]</f>
        <v>195300</v>
      </c>
      <c r="AS197" s="287">
        <f>Tabla14[[#This Row],[Columna2]]</f>
        <v>0</v>
      </c>
      <c r="AT197" s="288">
        <f>Tabla14[[#This Row],[Columna1]]</f>
        <v>0</v>
      </c>
      <c r="AU197" s="302">
        <f>Tabla14[[#This Row],[Personas Intervienen]]</f>
        <v>0</v>
      </c>
      <c r="AV197" s="297">
        <f>Tabla14[[#This Row],[Valor Embarque Pesona5]]*Tabla14[[#This Row],[Presonas Segunda]]</f>
        <v>0</v>
      </c>
      <c r="AW197" s="287">
        <f>Tabla14[[#This Row],[Bolsas Por Personas]]</f>
        <v>7.7272727272727275</v>
      </c>
      <c r="AX197" s="288">
        <f>Tabla14[[#This Row],[Valor bolsas Pesona]]</f>
        <v>3863.636363636364</v>
      </c>
      <c r="AY197" s="309">
        <f>Tabla14[[#This Row],[Personas13]]</f>
        <v>11</v>
      </c>
      <c r="AZ197" s="310">
        <f>Tabla14[[#This Row],[Valor bolsas Pesona2]]*Tabla14[[#This Row],[Personas Rechazo]]</f>
        <v>42500</v>
      </c>
      <c r="BA197" s="311">
        <f>+Tabla14[[#This Row],[Total Valor Segunda]]+Tabla14[[#This Row],[Total Valor Primera]]+Tabla14[[#This Row],[Total Valor Precorte]]</f>
        <v>195300</v>
      </c>
      <c r="BB197" s="292">
        <f>Tabla14[[#This Row],[Valor bolsas Pesona2]]+Tabla14[[#This Row],[Valor Embarque Pesona3]]</f>
        <v>21618.18181818182</v>
      </c>
      <c r="BC197" s="332">
        <v>35000</v>
      </c>
      <c r="BD197" s="292">
        <f>Tabla14[[#This Row],[VALOR GANADO]]-Tabla14[[#This Row],[REAJUSTADO]]</f>
        <v>-13381.81818181818</v>
      </c>
      <c r="BE197" s="250">
        <f>Tabla14[[#This Row],[CUANTO SE REAJUSTA]]*Tabla14[[#This Row],[Personas Rechazo]]</f>
        <v>-147199.99999999997</v>
      </c>
      <c r="BF197" s="250">
        <f>Tabla14[[#This Row],[REAJUSTADO]]/25000</f>
        <v>1.4</v>
      </c>
      <c r="BG197" s="302">
        <f>Tabla14[[#This Row],[REAJUSTADO]]*Tabla14[[#This Row],[Personas Rechazo]]</f>
        <v>385000</v>
      </c>
      <c r="BH197" s="292" t="str">
        <f>Tabla14[[#This Row],[Finca]]</f>
        <v>Pedrito</v>
      </c>
      <c r="BJ197" s="332">
        <f>Tabla14[[#This Row],[Numero de Ocacionales]]*Tabla14[[#This Row],[REAJUSTADO]]</f>
        <v>0</v>
      </c>
      <c r="BK197" s="332"/>
      <c r="BL197" s="332"/>
      <c r="BM197" s="332">
        <f>+Tabla14[[#This Row],[CUANTO SE REAJUSTA]]*3</f>
        <v>-40145.454545454544</v>
      </c>
      <c r="BN197" s="334"/>
      <c r="BO197" s="334"/>
      <c r="BP197" s="334"/>
    </row>
    <row r="198" spans="3:68" hidden="1" x14ac:dyDescent="0.25">
      <c r="C198" s="274">
        <v>44830</v>
      </c>
      <c r="D198" s="507">
        <f>YEAR(Tabla14[[#This Row],[Fecha]])</f>
        <v>2022</v>
      </c>
      <c r="E198" s="313">
        <f>IF(Tabla14[[#This Row],[Fecha]]&gt;0,_xlfn.ISOWEEKNUM(Tabla14[[#This Row],[Fecha]]),0)</f>
        <v>39</v>
      </c>
      <c r="F198" s="283">
        <v>307</v>
      </c>
      <c r="G198" s="275" t="s">
        <v>211</v>
      </c>
      <c r="H198" s="325" t="str">
        <f>_xlfn.XLOOKUP(Tabla14[[#This Row],[Codigo Finca]],Tabla4[Codigo Finca],Tabla4[Nombre Finca],"")</f>
        <v>San Pedro</v>
      </c>
      <c r="I198" s="277">
        <f>_xlfn.XLOOKUP(Tabla14[[#This Row],[Codigo Finca]],Tabla4[Codigo Finca],Tabla4[Precio Caja],0)</f>
        <v>1600</v>
      </c>
      <c r="J198" s="277">
        <f>_xlfn.XLOOKUP(Tabla14[[#This Row],[Codigo Finca]],Tabla4[Codigo Finca],Tabla4[Precio Caja Segunda],0)</f>
        <v>1000</v>
      </c>
      <c r="K198" s="277">
        <f>_xlfn.XLOOKUP(Tabla14[[#This Row],[Codigo Finca]],Tabla4[Codigo Finca],Tabla4[Precio Rechazo],0)</f>
        <v>500</v>
      </c>
      <c r="L198" s="277">
        <f t="shared" si="270"/>
        <v>1053</v>
      </c>
      <c r="M198" s="278">
        <f t="shared" si="271"/>
        <v>3.4299674267100979</v>
      </c>
      <c r="N198" s="283">
        <v>90</v>
      </c>
      <c r="O198" s="279">
        <v>1</v>
      </c>
      <c r="P198" s="280">
        <f t="shared" si="272"/>
        <v>13.119658119658119</v>
      </c>
      <c r="Q198" s="281">
        <f t="shared" si="273"/>
        <v>13.119658119658119</v>
      </c>
      <c r="R198" s="282">
        <f t="shared" si="274"/>
        <v>20991.452991452992</v>
      </c>
      <c r="S198" s="283">
        <v>963</v>
      </c>
      <c r="T198" s="275">
        <v>15</v>
      </c>
      <c r="U198" s="280">
        <f t="shared" si="275"/>
        <v>293.88034188034186</v>
      </c>
      <c r="V198" s="281">
        <f t="shared" si="276"/>
        <v>19.592022792022792</v>
      </c>
      <c r="W198" s="282">
        <f t="shared" si="277"/>
        <v>31347.236467236467</v>
      </c>
      <c r="X198" s="283"/>
      <c r="Y198" s="275"/>
      <c r="Z198" s="280">
        <f>Tabla14[[#This Row],[Cajas Segunda]]</f>
        <v>0</v>
      </c>
      <c r="AA198" s="281">
        <f t="shared" si="278"/>
        <v>0</v>
      </c>
      <c r="AB198" s="284">
        <f t="shared" si="279"/>
        <v>0</v>
      </c>
      <c r="AC198" s="285"/>
      <c r="AD198" s="286">
        <v>1870</v>
      </c>
      <c r="AE198" s="286"/>
      <c r="AF198" s="286"/>
      <c r="AG198" s="286">
        <v>15</v>
      </c>
      <c r="AH198" s="280">
        <f t="shared" si="280"/>
        <v>74.8</v>
      </c>
      <c r="AI198" s="281">
        <f t="shared" si="281"/>
        <v>4.9866666666666664</v>
      </c>
      <c r="AJ198" s="282">
        <f t="shared" si="282"/>
        <v>2493.333333333333</v>
      </c>
      <c r="AK198" s="287">
        <f>Tabla14[[#This Row],[Cajas por Personas]]</f>
        <v>13.119658119658119</v>
      </c>
      <c r="AL198" s="288">
        <f>Tabla14[[#This Row],[Valor Precorte Pesona]]</f>
        <v>20991.452991452992</v>
      </c>
      <c r="AM198" s="294">
        <f>Tabla14[[#This Row],[Personas Precorte]]</f>
        <v>1</v>
      </c>
      <c r="AN198" s="308">
        <f>Tabla14[[#This Row],[Valor Precorte Pesona Precorte]]*Tabla14[[#This Row],[Perzonas Precorte]]</f>
        <v>20991.452991452992</v>
      </c>
      <c r="AO198" s="287">
        <f>Tabla14[[#This Row],[Cajas por Personas2]]</f>
        <v>19.592022792022792</v>
      </c>
      <c r="AP198" s="288">
        <f>Tabla14[[#This Row],[Valor Embarque Pesona]]</f>
        <v>31347.236467236467</v>
      </c>
      <c r="AQ198" s="295">
        <f>Tabla14[[#This Row],[Personas Precorte2]]</f>
        <v>15</v>
      </c>
      <c r="AR198" s="296">
        <f>Tabla14[[#This Row],[Valor Embarque Pesona3]]*Tabla14[[#This Row],[Perzona Primera]]</f>
        <v>470208.547008547</v>
      </c>
      <c r="AS198" s="287">
        <f>Tabla14[[#This Row],[Columna2]]</f>
        <v>0</v>
      </c>
      <c r="AT198" s="288">
        <f>Tabla14[[#This Row],[Columna1]]</f>
        <v>0</v>
      </c>
      <c r="AU198" s="302">
        <f>Tabla14[[#This Row],[Personas Intervienen]]</f>
        <v>0</v>
      </c>
      <c r="AV198" s="297">
        <f>Tabla14[[#This Row],[Valor Embarque Pesona5]]*Tabla14[[#This Row],[Presonas Segunda]]</f>
        <v>0</v>
      </c>
      <c r="AW198" s="287">
        <f>Tabla14[[#This Row],[Bolsas Por Personas]]</f>
        <v>4.9866666666666664</v>
      </c>
      <c r="AX198" s="288">
        <f>Tabla14[[#This Row],[Valor bolsas Pesona]]</f>
        <v>2493.333333333333</v>
      </c>
      <c r="AY198" s="309">
        <f>Tabla14[[#This Row],[Personas13]]</f>
        <v>15</v>
      </c>
      <c r="AZ198" s="310">
        <f>Tabla14[[#This Row],[Valor bolsas Pesona2]]*Tabla14[[#This Row],[Personas Rechazo]]</f>
        <v>37399.999999999993</v>
      </c>
      <c r="BA198" s="311">
        <f>+Tabla14[[#This Row],[Total Valor Segunda]]+Tabla14[[#This Row],[Total Valor Primera]]+Tabla14[[#This Row],[Total Valor Precorte]]</f>
        <v>491200</v>
      </c>
      <c r="BB198" s="292">
        <f>Tabla14[[#This Row],[Valor bolsas Pesona2]]+Tabla14[[#This Row],[Valor Embarque Pesona3]]</f>
        <v>33840.5698005698</v>
      </c>
      <c r="BC198" s="332">
        <v>38000</v>
      </c>
      <c r="BD198" s="292">
        <f>Tabla14[[#This Row],[VALOR GANADO]]-Tabla14[[#This Row],[REAJUSTADO]]</f>
        <v>-4159.4301994302004</v>
      </c>
      <c r="BE198" s="250">
        <f>Tabla14[[#This Row],[CUANTO SE REAJUSTA]]*Tabla14[[#This Row],[Personas Rechazo]]</f>
        <v>-62391.452991453007</v>
      </c>
      <c r="BF198" s="342">
        <f>Tabla14[[#This Row],[REAJUSTADO]]/25000</f>
        <v>1.52</v>
      </c>
      <c r="BG198" s="302">
        <f>Tabla14[[#This Row],[REAJUSTADO]]*Tabla14[[#This Row],[Personas Rechazo]]</f>
        <v>570000</v>
      </c>
      <c r="BH198" s="292" t="str">
        <f>Tabla14[[#This Row],[Finca]]</f>
        <v>San Pedro</v>
      </c>
      <c r="BI198" s="250">
        <v>4</v>
      </c>
      <c r="BJ198" s="332">
        <f>Tabla14[[#This Row],[Numero de Ocacionales]]*Tabla14[[#This Row],[REAJUSTADO]]</f>
        <v>152000</v>
      </c>
      <c r="BK198" s="332"/>
      <c r="BL198" s="332"/>
      <c r="BM198" s="332">
        <f>+Tabla14[[#This Row],[CUANTO SE REAJUSTA]]*3</f>
        <v>-12478.290598290601</v>
      </c>
      <c r="BN198" s="334"/>
      <c r="BO198" s="334"/>
      <c r="BP198" s="334"/>
    </row>
    <row r="199" spans="3:68" hidden="1" x14ac:dyDescent="0.25">
      <c r="C199" s="274">
        <v>44830</v>
      </c>
      <c r="D199" s="507">
        <f>YEAR(Tabla14[[#This Row],[Fecha]])</f>
        <v>2022</v>
      </c>
      <c r="E199" s="313">
        <f>IF(Tabla14[[#This Row],[Fecha]]&gt;0,_xlfn.ISOWEEKNUM(Tabla14[[#This Row],[Fecha]]),0)</f>
        <v>39</v>
      </c>
      <c r="F199" s="283">
        <v>50</v>
      </c>
      <c r="G199" s="275" t="s">
        <v>155</v>
      </c>
      <c r="H199" s="325" t="str">
        <f>_xlfn.XLOOKUP(Tabla14[[#This Row],[Codigo Finca]],Tabla4[Codigo Finca],Tabla4[Nombre Finca],"")</f>
        <v>Damaquiel</v>
      </c>
      <c r="I199" s="277">
        <f>_xlfn.XLOOKUP(Tabla14[[#This Row],[Codigo Finca]],Tabla4[Codigo Finca],Tabla4[Precio Caja],0)</f>
        <v>1500</v>
      </c>
      <c r="J199" s="277">
        <f>_xlfn.XLOOKUP(Tabla14[[#This Row],[Codigo Finca]],Tabla4[Codigo Finca],Tabla4[Precio Caja Segunda],0)</f>
        <v>1000</v>
      </c>
      <c r="K199" s="277">
        <f>_xlfn.XLOOKUP(Tabla14[[#This Row],[Codigo Finca]],Tabla4[Codigo Finca],Tabla4[Precio Rechazo],0)</f>
        <v>500</v>
      </c>
      <c r="L199" s="277">
        <f t="shared" si="270"/>
        <v>379</v>
      </c>
      <c r="M199" s="278">
        <f t="shared" si="271"/>
        <v>7.58</v>
      </c>
      <c r="N199" s="283"/>
      <c r="O199" s="279"/>
      <c r="P199" s="280">
        <f t="shared" si="272"/>
        <v>0</v>
      </c>
      <c r="Q199" s="281">
        <f t="shared" si="273"/>
        <v>0</v>
      </c>
      <c r="R199" s="282">
        <f t="shared" si="274"/>
        <v>0</v>
      </c>
      <c r="S199" s="283">
        <v>379</v>
      </c>
      <c r="T199" s="275">
        <v>4</v>
      </c>
      <c r="U199" s="280">
        <f t="shared" si="275"/>
        <v>50</v>
      </c>
      <c r="V199" s="281">
        <f t="shared" si="276"/>
        <v>12.5</v>
      </c>
      <c r="W199" s="282">
        <f t="shared" si="277"/>
        <v>18750</v>
      </c>
      <c r="X199" s="283"/>
      <c r="Y199" s="275"/>
      <c r="Z199" s="280">
        <f>Tabla14[[#This Row],[Cajas Segunda]]</f>
        <v>0</v>
      </c>
      <c r="AA199" s="281">
        <f t="shared" si="278"/>
        <v>0</v>
      </c>
      <c r="AB199" s="284">
        <f t="shared" si="279"/>
        <v>0</v>
      </c>
      <c r="AC199" s="285"/>
      <c r="AD199" s="286">
        <f>8*85</f>
        <v>680</v>
      </c>
      <c r="AE199" s="286"/>
      <c r="AF199" s="286"/>
      <c r="AG199" s="286">
        <v>4</v>
      </c>
      <c r="AH199" s="280">
        <f t="shared" si="280"/>
        <v>27.2</v>
      </c>
      <c r="AI199" s="281">
        <f t="shared" si="281"/>
        <v>6.8</v>
      </c>
      <c r="AJ199" s="282">
        <f t="shared" si="282"/>
        <v>3400</v>
      </c>
      <c r="AK199" s="287">
        <f>Tabla14[[#This Row],[Cajas por Personas]]</f>
        <v>0</v>
      </c>
      <c r="AL199" s="288">
        <f>Tabla14[[#This Row],[Valor Precorte Pesona]]</f>
        <v>0</v>
      </c>
      <c r="AM199" s="294">
        <f>Tabla14[[#This Row],[Personas Precorte]]</f>
        <v>0</v>
      </c>
      <c r="AN199" s="308">
        <f>Tabla14[[#This Row],[Valor Precorte Pesona Precorte]]*Tabla14[[#This Row],[Perzonas Precorte]]</f>
        <v>0</v>
      </c>
      <c r="AO199" s="287">
        <f>Tabla14[[#This Row],[Cajas por Personas2]]</f>
        <v>12.5</v>
      </c>
      <c r="AP199" s="288">
        <f>Tabla14[[#This Row],[Valor Embarque Pesona]]</f>
        <v>18750</v>
      </c>
      <c r="AQ199" s="295">
        <f>Tabla14[[#This Row],[Personas Precorte2]]</f>
        <v>4</v>
      </c>
      <c r="AR199" s="296">
        <f>Tabla14[[#This Row],[Valor Embarque Pesona3]]*Tabla14[[#This Row],[Perzona Primera]]</f>
        <v>75000</v>
      </c>
      <c r="AS199" s="287">
        <f>Tabla14[[#This Row],[Columna2]]</f>
        <v>0</v>
      </c>
      <c r="AT199" s="288">
        <f>Tabla14[[#This Row],[Columna1]]</f>
        <v>0</v>
      </c>
      <c r="AU199" s="302">
        <f>Tabla14[[#This Row],[Personas Intervienen]]</f>
        <v>0</v>
      </c>
      <c r="AV199" s="297">
        <f>Tabla14[[#This Row],[Valor Embarque Pesona5]]*Tabla14[[#This Row],[Presonas Segunda]]</f>
        <v>0</v>
      </c>
      <c r="AW199" s="287">
        <f>Tabla14[[#This Row],[Bolsas Por Personas]]</f>
        <v>6.8</v>
      </c>
      <c r="AX199" s="288">
        <f>Tabla14[[#This Row],[Valor bolsas Pesona]]</f>
        <v>3400</v>
      </c>
      <c r="AY199" s="309">
        <f>Tabla14[[#This Row],[Personas13]]</f>
        <v>4</v>
      </c>
      <c r="AZ199" s="310">
        <f>Tabla14[[#This Row],[Valor bolsas Pesona2]]*Tabla14[[#This Row],[Personas Rechazo]]</f>
        <v>13600</v>
      </c>
      <c r="BA199" s="311">
        <f>+Tabla14[[#This Row],[Total Valor Segunda]]+Tabla14[[#This Row],[Total Valor Primera]]+Tabla14[[#This Row],[Total Valor Precorte]]</f>
        <v>75000</v>
      </c>
      <c r="BB199" s="292">
        <f>Tabla14[[#This Row],[Valor bolsas Pesona2]]+Tabla14[[#This Row],[Valor Embarque Pesona3]]</f>
        <v>22150</v>
      </c>
      <c r="BC199" s="332">
        <v>30000</v>
      </c>
      <c r="BD199" s="292">
        <f>Tabla14[[#This Row],[VALOR GANADO]]-Tabla14[[#This Row],[REAJUSTADO]]</f>
        <v>-7850</v>
      </c>
      <c r="BE199" s="250">
        <f>Tabla14[[#This Row],[CUANTO SE REAJUSTA]]*Tabla14[[#This Row],[Personas Rechazo]]</f>
        <v>-31400</v>
      </c>
      <c r="BF199" s="342">
        <f>Tabla14[[#This Row],[REAJUSTADO]]/25000</f>
        <v>1.2</v>
      </c>
      <c r="BG199" s="302">
        <f>Tabla14[[#This Row],[REAJUSTADO]]*Tabla14[[#This Row],[Personas Rechazo]]</f>
        <v>120000</v>
      </c>
      <c r="BH199" s="292" t="str">
        <f>Tabla14[[#This Row],[Finca]]</f>
        <v>Damaquiel</v>
      </c>
      <c r="BI199" s="250">
        <v>3</v>
      </c>
      <c r="BJ199" s="332">
        <f>Tabla14[[#This Row],[Numero de Ocacionales]]*Tabla14[[#This Row],[REAJUSTADO]]</f>
        <v>90000</v>
      </c>
      <c r="BK199" s="332"/>
      <c r="BL199" s="332"/>
      <c r="BM199" s="332">
        <f>+Tabla14[[#This Row],[CUANTO SE REAJUSTA]]*3</f>
        <v>-23550</v>
      </c>
      <c r="BN199" s="334"/>
      <c r="BO199" s="334"/>
      <c r="BP199" s="334"/>
    </row>
    <row r="200" spans="3:68" hidden="1" x14ac:dyDescent="0.25">
      <c r="C200" s="274">
        <v>44832</v>
      </c>
      <c r="D200" s="507">
        <f>YEAR(Tabla14[[#This Row],[Fecha]])</f>
        <v>2022</v>
      </c>
      <c r="E200" s="313">
        <f>IF(Tabla14[[#This Row],[Fecha]]&gt;0,_xlfn.ISOWEEKNUM(Tabla14[[#This Row],[Fecha]]),0)</f>
        <v>39</v>
      </c>
      <c r="F200" s="283">
        <v>65</v>
      </c>
      <c r="G200" s="275" t="s">
        <v>157</v>
      </c>
      <c r="H200" s="325" t="str">
        <f>_xlfn.XLOOKUP(Tabla14[[#This Row],[Codigo Finca]],Tabla4[Codigo Finca],Tabla4[Nombre Finca],"")</f>
        <v>Pedrito</v>
      </c>
      <c r="I200" s="277">
        <f>_xlfn.XLOOKUP(Tabla14[[#This Row],[Codigo Finca]],Tabla4[Codigo Finca],Tabla4[Precio Caja],0)</f>
        <v>2100</v>
      </c>
      <c r="J200" s="277">
        <f>_xlfn.XLOOKUP(Tabla14[[#This Row],[Codigo Finca]],Tabla4[Codigo Finca],Tabla4[Precio Caja Segunda],0)</f>
        <v>1000</v>
      </c>
      <c r="K200" s="277">
        <f>_xlfn.XLOOKUP(Tabla14[[#This Row],[Codigo Finca]],Tabla4[Codigo Finca],Tabla4[Precio Rechazo],0)</f>
        <v>500</v>
      </c>
      <c r="L200" s="277">
        <f t="shared" si="270"/>
        <v>0</v>
      </c>
      <c r="M200" s="278">
        <f t="shared" si="271"/>
        <v>0</v>
      </c>
      <c r="N200" s="283"/>
      <c r="O200" s="279"/>
      <c r="P200" s="280">
        <f t="shared" si="272"/>
        <v>0</v>
      </c>
      <c r="Q200" s="281">
        <f t="shared" si="273"/>
        <v>0</v>
      </c>
      <c r="R200" s="282">
        <f t="shared" si="274"/>
        <v>0</v>
      </c>
      <c r="S200" s="283"/>
      <c r="T200" s="275">
        <v>11</v>
      </c>
      <c r="U200" s="280">
        <f t="shared" si="275"/>
        <v>65</v>
      </c>
      <c r="V200" s="281">
        <f t="shared" si="276"/>
        <v>5.9090909090909092</v>
      </c>
      <c r="W200" s="282">
        <f t="shared" si="277"/>
        <v>12409.09090909091</v>
      </c>
      <c r="X200" s="283"/>
      <c r="Y200" s="275"/>
      <c r="Z200" s="280">
        <f>Tabla14[[#This Row],[Cajas Segunda]]</f>
        <v>0</v>
      </c>
      <c r="AA200" s="281">
        <f t="shared" si="278"/>
        <v>0</v>
      </c>
      <c r="AB200" s="284">
        <f t="shared" si="279"/>
        <v>0</v>
      </c>
      <c r="AC200" s="285"/>
      <c r="AD200" s="286">
        <v>1450</v>
      </c>
      <c r="AE200" s="286"/>
      <c r="AF200" s="286"/>
      <c r="AG200" s="286">
        <v>11</v>
      </c>
      <c r="AH200" s="280">
        <f t="shared" si="280"/>
        <v>58</v>
      </c>
      <c r="AI200" s="281">
        <f t="shared" si="281"/>
        <v>5.2727272727272725</v>
      </c>
      <c r="AJ200" s="282">
        <f t="shared" si="282"/>
        <v>2636.363636363636</v>
      </c>
      <c r="AK200" s="287">
        <f>Tabla14[[#This Row],[Cajas por Personas]]</f>
        <v>0</v>
      </c>
      <c r="AL200" s="288">
        <f>Tabla14[[#This Row],[Valor Precorte Pesona]]</f>
        <v>0</v>
      </c>
      <c r="AM200" s="294">
        <f>Tabla14[[#This Row],[Personas Precorte]]</f>
        <v>0</v>
      </c>
      <c r="AN200" s="308">
        <f>Tabla14[[#This Row],[Valor Precorte Pesona Precorte]]*Tabla14[[#This Row],[Perzonas Precorte]]</f>
        <v>0</v>
      </c>
      <c r="AO200" s="287">
        <f>Tabla14[[#This Row],[Cajas por Personas2]]</f>
        <v>5.9090909090909092</v>
      </c>
      <c r="AP200" s="288">
        <f>Tabla14[[#This Row],[Valor Embarque Pesona]]</f>
        <v>12409.09090909091</v>
      </c>
      <c r="AQ200" s="295">
        <f>Tabla14[[#This Row],[Personas Precorte2]]</f>
        <v>11</v>
      </c>
      <c r="AR200" s="296">
        <f>Tabla14[[#This Row],[Valor Embarque Pesona3]]*Tabla14[[#This Row],[Perzona Primera]]</f>
        <v>136500</v>
      </c>
      <c r="AS200" s="287">
        <f>Tabla14[[#This Row],[Columna2]]</f>
        <v>0</v>
      </c>
      <c r="AT200" s="288">
        <f>Tabla14[[#This Row],[Columna1]]</f>
        <v>0</v>
      </c>
      <c r="AU200" s="302">
        <f>Tabla14[[#This Row],[Personas Intervienen]]</f>
        <v>0</v>
      </c>
      <c r="AV200" s="297">
        <f>Tabla14[[#This Row],[Valor Embarque Pesona5]]*Tabla14[[#This Row],[Presonas Segunda]]</f>
        <v>0</v>
      </c>
      <c r="AW200" s="287">
        <f>Tabla14[[#This Row],[Bolsas Por Personas]]</f>
        <v>5.2727272727272725</v>
      </c>
      <c r="AX200" s="288">
        <f>Tabla14[[#This Row],[Valor bolsas Pesona]]</f>
        <v>2636.363636363636</v>
      </c>
      <c r="AY200" s="309">
        <f>Tabla14[[#This Row],[Personas13]]</f>
        <v>11</v>
      </c>
      <c r="AZ200" s="310">
        <f>Tabla14[[#This Row],[Valor bolsas Pesona2]]*Tabla14[[#This Row],[Personas Rechazo]]</f>
        <v>28999.999999999996</v>
      </c>
      <c r="BA200" s="311">
        <f>+Tabla14[[#This Row],[Total Valor Segunda]]+Tabla14[[#This Row],[Total Valor Primera]]+Tabla14[[#This Row],[Total Valor Precorte]]</f>
        <v>136500</v>
      </c>
      <c r="BB200" s="292">
        <f>Tabla14[[#This Row],[Valor bolsas Pesona2]]+Tabla14[[#This Row],[Valor Embarque Pesona3]]</f>
        <v>15045.454545454546</v>
      </c>
      <c r="BC200" s="332">
        <v>35000</v>
      </c>
      <c r="BD200" s="292">
        <f>Tabla14[[#This Row],[VALOR GANADO]]-Tabla14[[#This Row],[REAJUSTADO]]</f>
        <v>-19954.545454545456</v>
      </c>
      <c r="BE200" s="250">
        <f>Tabla14[[#This Row],[CUANTO SE REAJUSTA]]*Tabla14[[#This Row],[Personas Rechazo]]</f>
        <v>-219500</v>
      </c>
      <c r="BF200" s="342">
        <f>Tabla14[[#This Row],[REAJUSTADO]]/25000</f>
        <v>1.4</v>
      </c>
      <c r="BG200" s="302">
        <f>Tabla14[[#This Row],[REAJUSTADO]]*Tabla14[[#This Row],[Personas Rechazo]]</f>
        <v>385000</v>
      </c>
      <c r="BH200" s="292" t="str">
        <f>Tabla14[[#This Row],[Finca]]</f>
        <v>Pedrito</v>
      </c>
      <c r="BJ200" s="332">
        <f>Tabla14[[#This Row],[Numero de Ocacionales]]*Tabla14[[#This Row],[REAJUSTADO]]</f>
        <v>0</v>
      </c>
      <c r="BK200" s="332"/>
      <c r="BL200" s="332"/>
      <c r="BM200" s="332">
        <f>+Tabla14[[#This Row],[CUANTO SE REAJUSTA]]*3</f>
        <v>-59863.636363636368</v>
      </c>
      <c r="BN200" s="334"/>
      <c r="BO200" s="334"/>
      <c r="BP200" s="334"/>
    </row>
    <row r="201" spans="3:68" hidden="1" x14ac:dyDescent="0.25">
      <c r="C201" s="274">
        <v>44839</v>
      </c>
      <c r="D201" s="507">
        <f>YEAR(Tabla14[[#This Row],[Fecha]])</f>
        <v>2022</v>
      </c>
      <c r="E201" s="313">
        <f>IF(Tabla14[[#This Row],[Fecha]]&gt;0,_xlfn.ISOWEEKNUM(Tabla14[[#This Row],[Fecha]]),0)</f>
        <v>40</v>
      </c>
      <c r="F201" s="283">
        <v>65</v>
      </c>
      <c r="G201" s="275" t="s">
        <v>157</v>
      </c>
      <c r="H201" s="325" t="str">
        <f>_xlfn.XLOOKUP(Tabla14[[#This Row],[Codigo Finca]],Tabla4[Codigo Finca],Tabla4[Nombre Finca],"")</f>
        <v>Pedrito</v>
      </c>
      <c r="I201" s="277">
        <f>_xlfn.XLOOKUP(Tabla14[[#This Row],[Codigo Finca]],Tabla4[Codigo Finca],Tabla4[Precio Caja],0)</f>
        <v>2100</v>
      </c>
      <c r="J201" s="277">
        <f>_xlfn.XLOOKUP(Tabla14[[#This Row],[Codigo Finca]],Tabla4[Codigo Finca],Tabla4[Precio Caja Segunda],0)</f>
        <v>1000</v>
      </c>
      <c r="K201" s="277">
        <f>_xlfn.XLOOKUP(Tabla14[[#This Row],[Codigo Finca]],Tabla4[Codigo Finca],Tabla4[Precio Rechazo],0)</f>
        <v>500</v>
      </c>
      <c r="L201" s="277">
        <f t="shared" si="270"/>
        <v>530</v>
      </c>
      <c r="M201" s="278">
        <f t="shared" si="271"/>
        <v>8.1538461538461533</v>
      </c>
      <c r="N201" s="283"/>
      <c r="O201" s="279"/>
      <c r="P201" s="280">
        <f t="shared" si="272"/>
        <v>0</v>
      </c>
      <c r="Q201" s="281">
        <f t="shared" si="273"/>
        <v>0</v>
      </c>
      <c r="R201" s="282">
        <f t="shared" si="274"/>
        <v>0</v>
      </c>
      <c r="S201" s="283">
        <v>530</v>
      </c>
      <c r="T201" s="275">
        <v>11</v>
      </c>
      <c r="U201" s="280">
        <f t="shared" si="275"/>
        <v>65</v>
      </c>
      <c r="V201" s="281">
        <f t="shared" si="276"/>
        <v>5.9090909090909092</v>
      </c>
      <c r="W201" s="282">
        <f t="shared" si="277"/>
        <v>12409.09090909091</v>
      </c>
      <c r="X201" s="283"/>
      <c r="Y201" s="275"/>
      <c r="Z201" s="280">
        <f>Tabla14[[#This Row],[Cajas Segunda]]</f>
        <v>0</v>
      </c>
      <c r="AA201" s="281">
        <f t="shared" si="278"/>
        <v>0</v>
      </c>
      <c r="AB201" s="284">
        <f t="shared" si="279"/>
        <v>0</v>
      </c>
      <c r="AC201" s="285"/>
      <c r="AD201" s="286">
        <v>970</v>
      </c>
      <c r="AE201" s="286"/>
      <c r="AF201" s="286"/>
      <c r="AG201" s="286">
        <v>11</v>
      </c>
      <c r="AH201" s="280">
        <f t="shared" si="280"/>
        <v>38.799999999999997</v>
      </c>
      <c r="AI201" s="281">
        <f t="shared" si="281"/>
        <v>3.5272727272727269</v>
      </c>
      <c r="AJ201" s="282">
        <f t="shared" si="282"/>
        <v>1763.6363636363635</v>
      </c>
      <c r="AK201" s="287">
        <f>Tabla14[[#This Row],[Cajas por Personas]]</f>
        <v>0</v>
      </c>
      <c r="AL201" s="288">
        <f>Tabla14[[#This Row],[Valor Precorte Pesona]]</f>
        <v>0</v>
      </c>
      <c r="AM201" s="294">
        <f>Tabla14[[#This Row],[Personas Precorte]]</f>
        <v>0</v>
      </c>
      <c r="AN201" s="308">
        <f>Tabla14[[#This Row],[Valor Precorte Pesona Precorte]]*Tabla14[[#This Row],[Perzonas Precorte]]</f>
        <v>0</v>
      </c>
      <c r="AO201" s="287">
        <f>Tabla14[[#This Row],[Cajas por Personas2]]</f>
        <v>5.9090909090909092</v>
      </c>
      <c r="AP201" s="288">
        <f>Tabla14[[#This Row],[Valor Embarque Pesona]]</f>
        <v>12409.09090909091</v>
      </c>
      <c r="AQ201" s="295">
        <f>Tabla14[[#This Row],[Personas Precorte2]]</f>
        <v>11</v>
      </c>
      <c r="AR201" s="296">
        <f>Tabla14[[#This Row],[Valor Embarque Pesona3]]*Tabla14[[#This Row],[Perzona Primera]]</f>
        <v>136500</v>
      </c>
      <c r="AS201" s="287">
        <f>Tabla14[[#This Row],[Columna2]]</f>
        <v>0</v>
      </c>
      <c r="AT201" s="288">
        <f>Tabla14[[#This Row],[Columna1]]</f>
        <v>0</v>
      </c>
      <c r="AU201" s="302">
        <f>Tabla14[[#This Row],[Personas Intervienen]]</f>
        <v>0</v>
      </c>
      <c r="AV201" s="297">
        <f>Tabla14[[#This Row],[Valor Embarque Pesona5]]*Tabla14[[#This Row],[Presonas Segunda]]</f>
        <v>0</v>
      </c>
      <c r="AW201" s="287">
        <f>Tabla14[[#This Row],[Bolsas Por Personas]]</f>
        <v>3.5272727272727269</v>
      </c>
      <c r="AX201" s="288">
        <f>Tabla14[[#This Row],[Valor bolsas Pesona]]</f>
        <v>1763.6363636363635</v>
      </c>
      <c r="AY201" s="309">
        <f>Tabla14[[#This Row],[Personas13]]</f>
        <v>11</v>
      </c>
      <c r="AZ201" s="310">
        <f>Tabla14[[#This Row],[Valor bolsas Pesona2]]*Tabla14[[#This Row],[Personas Rechazo]]</f>
        <v>19400</v>
      </c>
      <c r="BA201" s="311">
        <f>+Tabla14[[#This Row],[Total Valor Segunda]]+Tabla14[[#This Row],[Total Valor Primera]]+Tabla14[[#This Row],[Total Valor Precorte]]</f>
        <v>136500</v>
      </c>
      <c r="BB201" s="292">
        <f>Tabla14[[#This Row],[Valor bolsas Pesona2]]+Tabla14[[#This Row],[Valor Embarque Pesona3]]</f>
        <v>14172.727272727274</v>
      </c>
      <c r="BC201" s="332">
        <v>30000</v>
      </c>
      <c r="BD201" s="292">
        <f>Tabla14[[#This Row],[VALOR GANADO]]-Tabla14[[#This Row],[REAJUSTADO]]</f>
        <v>-15827.272727272726</v>
      </c>
      <c r="BE201" s="250">
        <f>Tabla14[[#This Row],[CUANTO SE REAJUSTA]]*Tabla14[[#This Row],[Personas Rechazo]]</f>
        <v>-174100</v>
      </c>
      <c r="BF201" s="250">
        <f>Tabla14[[#This Row],[REAJUSTADO]]/25000</f>
        <v>1.2</v>
      </c>
      <c r="BG201" s="302">
        <f>Tabla14[[#This Row],[REAJUSTADO]]*Tabla14[[#This Row],[Personas Rechazo]]</f>
        <v>330000</v>
      </c>
      <c r="BH201" s="292" t="str">
        <f>Tabla14[[#This Row],[Finca]]</f>
        <v>Pedrito</v>
      </c>
      <c r="BJ201" s="332">
        <f>Tabla14[[#This Row],[Numero de Ocacionales]]*Tabla14[[#This Row],[REAJUSTADO]]</f>
        <v>0</v>
      </c>
      <c r="BK201" s="332"/>
      <c r="BL201" s="332"/>
      <c r="BM201" s="332">
        <f>+Tabla14[[#This Row],[CUANTO SE REAJUSTA]]*3</f>
        <v>-47481.818181818177</v>
      </c>
      <c r="BN201" s="334"/>
      <c r="BO201" s="334"/>
      <c r="BP201" s="334"/>
    </row>
    <row r="202" spans="3:68" hidden="1" x14ac:dyDescent="0.25">
      <c r="C202" s="274">
        <v>44840</v>
      </c>
      <c r="D202" s="507">
        <f>YEAR(Tabla14[[#This Row],[Fecha]])</f>
        <v>2022</v>
      </c>
      <c r="E202" s="313">
        <f>IF(Tabla14[[#This Row],[Fecha]]&gt;0,_xlfn.ISOWEEKNUM(Tabla14[[#This Row],[Fecha]]),0)</f>
        <v>40</v>
      </c>
      <c r="F202" s="283">
        <v>78</v>
      </c>
      <c r="G202" s="275" t="s">
        <v>211</v>
      </c>
      <c r="H202" s="325" t="str">
        <f>_xlfn.XLOOKUP(Tabla14[[#This Row],[Codigo Finca]],Tabla4[Codigo Finca],Tabla4[Nombre Finca],"")</f>
        <v>San Pedro</v>
      </c>
      <c r="I202" s="277">
        <f>_xlfn.XLOOKUP(Tabla14[[#This Row],[Codigo Finca]],Tabla4[Codigo Finca],Tabla4[Precio Caja],0)</f>
        <v>1600</v>
      </c>
      <c r="J202" s="277">
        <f>_xlfn.XLOOKUP(Tabla14[[#This Row],[Codigo Finca]],Tabla4[Codigo Finca],Tabla4[Precio Caja Segunda],0)</f>
        <v>1000</v>
      </c>
      <c r="K202" s="277">
        <f>_xlfn.XLOOKUP(Tabla14[[#This Row],[Codigo Finca]],Tabla4[Codigo Finca],Tabla4[Precio Rechazo],0)</f>
        <v>500</v>
      </c>
      <c r="L202" s="277">
        <f t="shared" si="270"/>
        <v>0</v>
      </c>
      <c r="M202" s="278">
        <f t="shared" si="271"/>
        <v>0</v>
      </c>
      <c r="N202" s="283"/>
      <c r="O202" s="279"/>
      <c r="P202" s="280">
        <f t="shared" si="272"/>
        <v>0</v>
      </c>
      <c r="Q202" s="281">
        <f t="shared" si="273"/>
        <v>0</v>
      </c>
      <c r="R202" s="282">
        <f t="shared" si="274"/>
        <v>0</v>
      </c>
      <c r="S202" s="283"/>
      <c r="T202" s="275">
        <v>5</v>
      </c>
      <c r="U202" s="280">
        <f t="shared" si="275"/>
        <v>78</v>
      </c>
      <c r="V202" s="281">
        <f t="shared" si="276"/>
        <v>15.6</v>
      </c>
      <c r="W202" s="282">
        <f t="shared" si="277"/>
        <v>24960</v>
      </c>
      <c r="X202" s="283"/>
      <c r="Y202" s="275"/>
      <c r="Z202" s="280">
        <f>Tabla14[[#This Row],[Cajas Segunda]]</f>
        <v>0</v>
      </c>
      <c r="AA202" s="281">
        <f t="shared" si="278"/>
        <v>0</v>
      </c>
      <c r="AB202" s="284">
        <f t="shared" si="279"/>
        <v>0</v>
      </c>
      <c r="AC202" s="285"/>
      <c r="AD202" s="286">
        <f>1.5*85</f>
        <v>127.5</v>
      </c>
      <c r="AE202" s="286"/>
      <c r="AF202" s="286"/>
      <c r="AG202" s="286">
        <v>5</v>
      </c>
      <c r="AH202" s="280">
        <f t="shared" si="280"/>
        <v>5.0999999999999996</v>
      </c>
      <c r="AI202" s="281">
        <f t="shared" si="281"/>
        <v>1.02</v>
      </c>
      <c r="AJ202" s="282">
        <f t="shared" si="282"/>
        <v>510</v>
      </c>
      <c r="AK202" s="287">
        <f>Tabla14[[#This Row],[Cajas por Personas]]</f>
        <v>0</v>
      </c>
      <c r="AL202" s="288">
        <f>Tabla14[[#This Row],[Valor Precorte Pesona]]</f>
        <v>0</v>
      </c>
      <c r="AM202" s="294">
        <f>Tabla14[[#This Row],[Personas Precorte]]</f>
        <v>0</v>
      </c>
      <c r="AN202" s="308">
        <f>Tabla14[[#This Row],[Valor Precorte Pesona Precorte]]*Tabla14[[#This Row],[Perzonas Precorte]]</f>
        <v>0</v>
      </c>
      <c r="AO202" s="287">
        <f>Tabla14[[#This Row],[Cajas por Personas2]]</f>
        <v>15.6</v>
      </c>
      <c r="AP202" s="288">
        <f>Tabla14[[#This Row],[Valor Embarque Pesona]]</f>
        <v>24960</v>
      </c>
      <c r="AQ202" s="295">
        <f>Tabla14[[#This Row],[Personas Precorte2]]</f>
        <v>5</v>
      </c>
      <c r="AR202" s="296">
        <f>Tabla14[[#This Row],[Valor Embarque Pesona3]]*Tabla14[[#This Row],[Perzona Primera]]</f>
        <v>124800</v>
      </c>
      <c r="AS202" s="287">
        <f>Tabla14[[#This Row],[Columna2]]</f>
        <v>0</v>
      </c>
      <c r="AT202" s="288">
        <f>Tabla14[[#This Row],[Columna1]]</f>
        <v>0</v>
      </c>
      <c r="AU202" s="302">
        <f>Tabla14[[#This Row],[Personas Intervienen]]</f>
        <v>0</v>
      </c>
      <c r="AV202" s="297">
        <f>Tabla14[[#This Row],[Valor Embarque Pesona5]]*Tabla14[[#This Row],[Presonas Segunda]]</f>
        <v>0</v>
      </c>
      <c r="AW202" s="287">
        <f>Tabla14[[#This Row],[Bolsas Por Personas]]</f>
        <v>1.02</v>
      </c>
      <c r="AX202" s="288">
        <f>Tabla14[[#This Row],[Valor bolsas Pesona]]</f>
        <v>510</v>
      </c>
      <c r="AY202" s="309">
        <f>Tabla14[[#This Row],[Personas13]]</f>
        <v>5</v>
      </c>
      <c r="AZ202" s="310">
        <f>Tabla14[[#This Row],[Valor bolsas Pesona2]]*Tabla14[[#This Row],[Personas Rechazo]]</f>
        <v>2550</v>
      </c>
      <c r="BA202" s="311">
        <f>+Tabla14[[#This Row],[Total Valor Segunda]]+Tabla14[[#This Row],[Total Valor Primera]]+Tabla14[[#This Row],[Total Valor Precorte]]</f>
        <v>124800</v>
      </c>
      <c r="BB202" s="292">
        <f>Tabla14[[#This Row],[Valor bolsas Pesona2]]+Tabla14[[#This Row],[Valor Embarque Pesona3]]</f>
        <v>25470</v>
      </c>
      <c r="BC202" s="332">
        <v>30000</v>
      </c>
      <c r="BD202" s="292">
        <f>Tabla14[[#This Row],[VALOR GANADO]]-Tabla14[[#This Row],[REAJUSTADO]]</f>
        <v>-4530</v>
      </c>
      <c r="BE202" s="250">
        <f>Tabla14[[#This Row],[CUANTO SE REAJUSTA]]*Tabla14[[#This Row],[Personas Rechazo]]</f>
        <v>-22650</v>
      </c>
      <c r="BF202" s="250">
        <f>Tabla14[[#This Row],[REAJUSTADO]]/25000</f>
        <v>1.2</v>
      </c>
      <c r="BG202" s="302">
        <f>Tabla14[[#This Row],[REAJUSTADO]]*Tabla14[[#This Row],[Personas Rechazo]]</f>
        <v>150000</v>
      </c>
      <c r="BH202" s="292" t="str">
        <f>Tabla14[[#This Row],[Finca]]</f>
        <v>San Pedro</v>
      </c>
      <c r="BJ202" s="332">
        <f>Tabla14[[#This Row],[Numero de Ocacionales]]*Tabla14[[#This Row],[REAJUSTADO]]</f>
        <v>0</v>
      </c>
      <c r="BK202" s="332"/>
      <c r="BL202" s="332"/>
      <c r="BM202" s="332">
        <f>+Tabla14[[#This Row],[CUANTO SE REAJUSTA]]*3</f>
        <v>-13590</v>
      </c>
      <c r="BN202" s="334"/>
      <c r="BO202" s="334"/>
      <c r="BP202" s="334"/>
    </row>
    <row r="203" spans="3:68" hidden="1" x14ac:dyDescent="0.25">
      <c r="C203" s="274">
        <v>44841</v>
      </c>
      <c r="D203" s="507">
        <f>YEAR(Tabla14[[#This Row],[Fecha]])</f>
        <v>2022</v>
      </c>
      <c r="E203" s="313">
        <f>IF(Tabla14[[#This Row],[Fecha]]&gt;0,_xlfn.ISOWEEKNUM(Tabla14[[#This Row],[Fecha]]),0)</f>
        <v>40</v>
      </c>
      <c r="F203" s="283">
        <v>21</v>
      </c>
      <c r="G203" s="275" t="s">
        <v>153</v>
      </c>
      <c r="H203" s="325" t="str">
        <f>_xlfn.XLOOKUP(Tabla14[[#This Row],[Codigo Finca]],Tabla4[Codigo Finca],Tabla4[Nombre Finca],"")</f>
        <v>Uveros</v>
      </c>
      <c r="I203" s="277">
        <f>_xlfn.XLOOKUP(Tabla14[[#This Row],[Codigo Finca]],Tabla4[Codigo Finca],Tabla4[Precio Caja],0)</f>
        <v>1500</v>
      </c>
      <c r="J203" s="277">
        <f>_xlfn.XLOOKUP(Tabla14[[#This Row],[Codigo Finca]],Tabla4[Codigo Finca],Tabla4[Precio Caja Segunda],0)</f>
        <v>1000</v>
      </c>
      <c r="K203" s="277">
        <f>_xlfn.XLOOKUP(Tabla14[[#This Row],[Codigo Finca]],Tabla4[Codigo Finca],Tabla4[Precio Rechazo],0)</f>
        <v>500</v>
      </c>
      <c r="L203" s="277">
        <f t="shared" ref="L203:L211" si="283">S203+N203</f>
        <v>0</v>
      </c>
      <c r="M203" s="278">
        <f t="shared" ref="M203:M211" si="284">IF(F203&gt;0,L203/F203,0)</f>
        <v>0</v>
      </c>
      <c r="N203" s="283"/>
      <c r="O203" s="279"/>
      <c r="P203" s="280">
        <f t="shared" ref="P203:P211" si="285">IF(N203&gt;0,(N203/M203)/2,0)</f>
        <v>0</v>
      </c>
      <c r="Q203" s="281">
        <f t="shared" ref="Q203:Q211" si="286">IF(O203&gt;0,P203/O203,0)</f>
        <v>0</v>
      </c>
      <c r="R203" s="282">
        <f t="shared" ref="R203:R211" si="287">IF(I203&gt;0,Q203*I203,)</f>
        <v>0</v>
      </c>
      <c r="S203" s="283"/>
      <c r="T203" s="275">
        <v>6</v>
      </c>
      <c r="U203" s="280">
        <f t="shared" ref="U203:U211" si="288">F203-P203</f>
        <v>21</v>
      </c>
      <c r="V203" s="281">
        <f t="shared" ref="V203:V211" si="289">IF(T203&gt;0,U203/T203,0)</f>
        <v>3.5</v>
      </c>
      <c r="W203" s="282">
        <f t="shared" ref="W203:W211" si="290">IF(T203&gt;0,(U203*I203)/T203,0)</f>
        <v>5250</v>
      </c>
      <c r="X203" s="283"/>
      <c r="Y203" s="275"/>
      <c r="Z203" s="280">
        <f>Tabla14[[#This Row],[Cajas Segunda]]</f>
        <v>0</v>
      </c>
      <c r="AA203" s="281">
        <f t="shared" ref="AA203:AA211" si="291">IF(Y203&gt;0,Z203/Y203,0)</f>
        <v>0</v>
      </c>
      <c r="AB203" s="284">
        <f t="shared" ref="AB203:AB211" si="292">IF(Y203&gt;0,(Z203*J203)/Y203,0)</f>
        <v>0</v>
      </c>
      <c r="AC203" s="285"/>
      <c r="AD203" s="286">
        <f>13*85</f>
        <v>1105</v>
      </c>
      <c r="AE203" s="286"/>
      <c r="AF203" s="286"/>
      <c r="AG203" s="286">
        <v>6</v>
      </c>
      <c r="AH203" s="280">
        <f t="shared" ref="AH203:AH211" si="293">IF(AND(AC203&gt;0,AE203=0,AF203=0,AD203=0),AC203,IF(AND(AC203=0,AE203&gt;0,AF203&gt;0,AD203=0),AE203*AF203/25,IF(AND(AC203=0,AE203=0,AF203=0,AD203&gt;0),AD203/25,0)))</f>
        <v>44.2</v>
      </c>
      <c r="AI203" s="281">
        <f t="shared" ref="AI203:AI211" si="294">IF(AG203&gt;0,AH203/AG203,0)</f>
        <v>7.3666666666666671</v>
      </c>
      <c r="AJ203" s="282">
        <f t="shared" ref="AJ203:AJ211" si="295">AI203*K203</f>
        <v>3683.3333333333335</v>
      </c>
      <c r="AK203" s="287">
        <f>Tabla14[[#This Row],[Cajas por Personas]]</f>
        <v>0</v>
      </c>
      <c r="AL203" s="288">
        <f>Tabla14[[#This Row],[Valor Precorte Pesona]]</f>
        <v>0</v>
      </c>
      <c r="AM203" s="294">
        <f>Tabla14[[#This Row],[Personas Precorte]]</f>
        <v>0</v>
      </c>
      <c r="AN203" s="308">
        <f>Tabla14[[#This Row],[Valor Precorte Pesona Precorte]]*Tabla14[[#This Row],[Perzonas Precorte]]</f>
        <v>0</v>
      </c>
      <c r="AO203" s="287">
        <f>Tabla14[[#This Row],[Cajas por Personas2]]</f>
        <v>3.5</v>
      </c>
      <c r="AP203" s="288">
        <f>Tabla14[[#This Row],[Valor Embarque Pesona]]</f>
        <v>5250</v>
      </c>
      <c r="AQ203" s="295">
        <f>Tabla14[[#This Row],[Personas Precorte2]]</f>
        <v>6</v>
      </c>
      <c r="AR203" s="296">
        <f>Tabla14[[#This Row],[Valor Embarque Pesona3]]*Tabla14[[#This Row],[Perzona Primera]]</f>
        <v>31500</v>
      </c>
      <c r="AS203" s="287">
        <f>Tabla14[[#This Row],[Columna2]]</f>
        <v>0</v>
      </c>
      <c r="AT203" s="288">
        <f>Tabla14[[#This Row],[Columna1]]</f>
        <v>0</v>
      </c>
      <c r="AU203" s="302">
        <f>Tabla14[[#This Row],[Personas Intervienen]]</f>
        <v>0</v>
      </c>
      <c r="AV203" s="297">
        <f>Tabla14[[#This Row],[Valor Embarque Pesona5]]*Tabla14[[#This Row],[Presonas Segunda]]</f>
        <v>0</v>
      </c>
      <c r="AW203" s="287">
        <f>Tabla14[[#This Row],[Bolsas Por Personas]]</f>
        <v>7.3666666666666671</v>
      </c>
      <c r="AX203" s="288">
        <f>Tabla14[[#This Row],[Valor bolsas Pesona]]</f>
        <v>3683.3333333333335</v>
      </c>
      <c r="AY203" s="309">
        <f>Tabla14[[#This Row],[Personas13]]</f>
        <v>6</v>
      </c>
      <c r="AZ203" s="310">
        <f>Tabla14[[#This Row],[Valor bolsas Pesona2]]*Tabla14[[#This Row],[Personas Rechazo]]</f>
        <v>22100</v>
      </c>
      <c r="BA203" s="311">
        <f>+Tabla14[[#This Row],[Total Valor Segunda]]+Tabla14[[#This Row],[Total Valor Primera]]+Tabla14[[#This Row],[Total Valor Precorte]]</f>
        <v>31500</v>
      </c>
      <c r="BB203" s="292">
        <f>Tabla14[[#This Row],[Valor bolsas Pesona2]]+Tabla14[[#This Row],[Valor Embarque Pesona3]]</f>
        <v>8933.3333333333339</v>
      </c>
      <c r="BC203" s="332">
        <v>30000</v>
      </c>
      <c r="BD203" s="292">
        <f>Tabla14[[#This Row],[VALOR GANADO]]-Tabla14[[#This Row],[REAJUSTADO]]</f>
        <v>-21066.666666666664</v>
      </c>
      <c r="BE203" s="250">
        <f>Tabla14[[#This Row],[CUANTO SE REAJUSTA]]*Tabla14[[#This Row],[Personas Rechazo]]</f>
        <v>-126399.99999999999</v>
      </c>
      <c r="BF203" s="250">
        <f>Tabla14[[#This Row],[REAJUSTADO]]/25000</f>
        <v>1.2</v>
      </c>
      <c r="BG203" s="302">
        <f>Tabla14[[#This Row],[REAJUSTADO]]*Tabla14[[#This Row],[Personas Rechazo]]</f>
        <v>180000</v>
      </c>
      <c r="BH203" s="292" t="str">
        <f>Tabla14[[#This Row],[Finca]]</f>
        <v>Uveros</v>
      </c>
      <c r="BI203" s="250">
        <v>4</v>
      </c>
      <c r="BJ203" s="332">
        <f>Tabla14[[#This Row],[Numero de Ocacionales]]*Tabla14[[#This Row],[REAJUSTADO]]</f>
        <v>120000</v>
      </c>
      <c r="BK203" s="332"/>
      <c r="BL203" s="332"/>
      <c r="BM203" s="332">
        <f>+Tabla14[[#This Row],[CUANTO SE REAJUSTA]]*3</f>
        <v>-63199.999999999993</v>
      </c>
      <c r="BN203" s="334"/>
      <c r="BO203" s="334"/>
      <c r="BP203" s="334"/>
    </row>
    <row r="204" spans="3:68" hidden="1" x14ac:dyDescent="0.25">
      <c r="C204" s="274">
        <v>44845</v>
      </c>
      <c r="D204" s="507">
        <f>YEAR(Tabla14[[#This Row],[Fecha]])</f>
        <v>2022</v>
      </c>
      <c r="E204" s="313">
        <f>IF(Tabla14[[#This Row],[Fecha]]&gt;0,_xlfn.ISOWEEKNUM(Tabla14[[#This Row],[Fecha]]),0)</f>
        <v>41</v>
      </c>
      <c r="F204" s="283">
        <v>61</v>
      </c>
      <c r="G204" s="275" t="s">
        <v>155</v>
      </c>
      <c r="H204" s="325" t="str">
        <f>_xlfn.XLOOKUP(Tabla14[[#This Row],[Codigo Finca]],Tabla4[Codigo Finca],Tabla4[Nombre Finca],"")</f>
        <v>Damaquiel</v>
      </c>
      <c r="I204" s="277">
        <f>_xlfn.XLOOKUP(Tabla14[[#This Row],[Codigo Finca]],Tabla4[Codigo Finca],Tabla4[Precio Caja],0)</f>
        <v>1500</v>
      </c>
      <c r="J204" s="277">
        <f>_xlfn.XLOOKUP(Tabla14[[#This Row],[Codigo Finca]],Tabla4[Codigo Finca],Tabla4[Precio Caja Segunda],0)</f>
        <v>1000</v>
      </c>
      <c r="K204" s="277">
        <f>_xlfn.XLOOKUP(Tabla14[[#This Row],[Codigo Finca]],Tabla4[Codigo Finca],Tabla4[Precio Rechazo],0)</f>
        <v>500</v>
      </c>
      <c r="L204" s="277">
        <f t="shared" si="283"/>
        <v>0</v>
      </c>
      <c r="M204" s="278">
        <f t="shared" si="284"/>
        <v>0</v>
      </c>
      <c r="N204" s="283"/>
      <c r="O204" s="279"/>
      <c r="P204" s="280">
        <f t="shared" si="285"/>
        <v>0</v>
      </c>
      <c r="Q204" s="281">
        <f t="shared" si="286"/>
        <v>0</v>
      </c>
      <c r="R204" s="282">
        <f t="shared" si="287"/>
        <v>0</v>
      </c>
      <c r="S204" s="283"/>
      <c r="T204" s="275">
        <v>7</v>
      </c>
      <c r="U204" s="280">
        <f t="shared" si="288"/>
        <v>61</v>
      </c>
      <c r="V204" s="281">
        <f t="shared" si="289"/>
        <v>8.7142857142857135</v>
      </c>
      <c r="W204" s="282">
        <f t="shared" si="290"/>
        <v>13071.428571428571</v>
      </c>
      <c r="X204" s="283"/>
      <c r="Y204" s="275"/>
      <c r="Z204" s="280">
        <f>Tabla14[[#This Row],[Cajas Segunda]]</f>
        <v>0</v>
      </c>
      <c r="AA204" s="281">
        <f t="shared" si="291"/>
        <v>0</v>
      </c>
      <c r="AB204" s="284">
        <f t="shared" si="292"/>
        <v>0</v>
      </c>
      <c r="AC204" s="285"/>
      <c r="AD204" s="286"/>
      <c r="AE204" s="286"/>
      <c r="AF204" s="286"/>
      <c r="AG204" s="286">
        <v>7</v>
      </c>
      <c r="AH204" s="280">
        <f t="shared" si="293"/>
        <v>0</v>
      </c>
      <c r="AI204" s="281">
        <f t="shared" si="294"/>
        <v>0</v>
      </c>
      <c r="AJ204" s="282">
        <f t="shared" si="295"/>
        <v>0</v>
      </c>
      <c r="AK204" s="287">
        <f>Tabla14[[#This Row],[Cajas por Personas]]</f>
        <v>0</v>
      </c>
      <c r="AL204" s="288">
        <f>Tabla14[[#This Row],[Valor Precorte Pesona]]</f>
        <v>0</v>
      </c>
      <c r="AM204" s="294">
        <f>Tabla14[[#This Row],[Personas Precorte]]</f>
        <v>0</v>
      </c>
      <c r="AN204" s="308">
        <f>Tabla14[[#This Row],[Valor Precorte Pesona Precorte]]*Tabla14[[#This Row],[Perzonas Precorte]]</f>
        <v>0</v>
      </c>
      <c r="AO204" s="287">
        <f>Tabla14[[#This Row],[Cajas por Personas2]]</f>
        <v>8.7142857142857135</v>
      </c>
      <c r="AP204" s="288">
        <f>Tabla14[[#This Row],[Valor Embarque Pesona]]</f>
        <v>13071.428571428571</v>
      </c>
      <c r="AQ204" s="295">
        <f>Tabla14[[#This Row],[Personas Precorte2]]</f>
        <v>7</v>
      </c>
      <c r="AR204" s="296">
        <f>Tabla14[[#This Row],[Valor Embarque Pesona3]]*Tabla14[[#This Row],[Perzona Primera]]</f>
        <v>91500</v>
      </c>
      <c r="AS204" s="287">
        <f>Tabla14[[#This Row],[Columna2]]</f>
        <v>0</v>
      </c>
      <c r="AT204" s="288">
        <f>Tabla14[[#This Row],[Columna1]]</f>
        <v>0</v>
      </c>
      <c r="AU204" s="302">
        <f>Tabla14[[#This Row],[Personas Intervienen]]</f>
        <v>0</v>
      </c>
      <c r="AV204" s="297">
        <f>Tabla14[[#This Row],[Valor Embarque Pesona5]]*Tabla14[[#This Row],[Presonas Segunda]]</f>
        <v>0</v>
      </c>
      <c r="AW204" s="287">
        <f>Tabla14[[#This Row],[Bolsas Por Personas]]</f>
        <v>0</v>
      </c>
      <c r="AX204" s="288">
        <f>Tabla14[[#This Row],[Valor bolsas Pesona]]</f>
        <v>0</v>
      </c>
      <c r="AY204" s="309">
        <f>Tabla14[[#This Row],[Personas13]]</f>
        <v>7</v>
      </c>
      <c r="AZ204" s="310">
        <f>Tabla14[[#This Row],[Valor bolsas Pesona2]]*Tabla14[[#This Row],[Personas Rechazo]]</f>
        <v>0</v>
      </c>
      <c r="BA204" s="311">
        <f>+Tabla14[[#This Row],[Total Valor Segunda]]+Tabla14[[#This Row],[Total Valor Primera]]+Tabla14[[#This Row],[Total Valor Precorte]]</f>
        <v>91500</v>
      </c>
      <c r="BB204" s="292">
        <f>Tabla14[[#This Row],[Valor bolsas Pesona2]]+Tabla14[[#This Row],[Valor Embarque Pesona3]]</f>
        <v>13071.428571428571</v>
      </c>
      <c r="BC204" s="332">
        <v>30000</v>
      </c>
      <c r="BD204" s="292">
        <f>Tabla14[[#This Row],[VALOR GANADO]]-Tabla14[[#This Row],[REAJUSTADO]]</f>
        <v>-16928.571428571428</v>
      </c>
      <c r="BE204" s="332">
        <f>Tabla14[[#This Row],[CUANTO SE REAJUSTA]]*Tabla14[[#This Row],[Personas Rechazo]]</f>
        <v>-118500</v>
      </c>
      <c r="BF204" s="250">
        <f>Tabla14[[#This Row],[REAJUSTADO]]/25000</f>
        <v>1.2</v>
      </c>
      <c r="BG204" s="302">
        <f>Tabla14[[#This Row],[REAJUSTADO]]*Tabla14[[#This Row],[Personas Rechazo]]</f>
        <v>210000</v>
      </c>
      <c r="BH204" s="292" t="str">
        <f>Tabla14[[#This Row],[Finca]]</f>
        <v>Damaquiel</v>
      </c>
      <c r="BI204" s="250">
        <v>5</v>
      </c>
      <c r="BJ204" s="332">
        <f>Tabla14[[#This Row],[Numero de Ocacionales]]*Tabla14[[#This Row],[REAJUSTADO]]</f>
        <v>150000</v>
      </c>
      <c r="BK204" s="332"/>
      <c r="BL204" s="332"/>
      <c r="BM204" s="332">
        <f>+Tabla14[[#This Row],[CUANTO SE REAJUSTA]]*3</f>
        <v>-50785.714285714283</v>
      </c>
      <c r="BN204" s="334"/>
      <c r="BO204" s="334"/>
      <c r="BP204" s="334"/>
    </row>
    <row r="205" spans="3:68" hidden="1" x14ac:dyDescent="0.25">
      <c r="C205" s="274">
        <v>44845</v>
      </c>
      <c r="D205" s="507">
        <f>YEAR(Tabla14[[#This Row],[Fecha]])</f>
        <v>2022</v>
      </c>
      <c r="E205" s="313">
        <f>IF(Tabla14[[#This Row],[Fecha]]&gt;0,_xlfn.ISOWEEKNUM(Tabla14[[#This Row],[Fecha]]),0)</f>
        <v>41</v>
      </c>
      <c r="F205" s="283">
        <v>404</v>
      </c>
      <c r="G205" s="275" t="s">
        <v>211</v>
      </c>
      <c r="H205" s="325" t="str">
        <f>_xlfn.XLOOKUP(Tabla14[[#This Row],[Codigo Finca]],Tabla4[Codigo Finca],Tabla4[Nombre Finca],"")</f>
        <v>San Pedro</v>
      </c>
      <c r="I205" s="277">
        <f>_xlfn.XLOOKUP(Tabla14[[#This Row],[Codigo Finca]],Tabla4[Codigo Finca],Tabla4[Precio Caja],0)</f>
        <v>1600</v>
      </c>
      <c r="J205" s="277">
        <f>_xlfn.XLOOKUP(Tabla14[[#This Row],[Codigo Finca]],Tabla4[Codigo Finca],Tabla4[Precio Caja Segunda],0)</f>
        <v>1000</v>
      </c>
      <c r="K205" s="277">
        <f>_xlfn.XLOOKUP(Tabla14[[#This Row],[Codigo Finca]],Tabla4[Codigo Finca],Tabla4[Precio Rechazo],0)</f>
        <v>500</v>
      </c>
      <c r="L205" s="277">
        <f t="shared" si="283"/>
        <v>1475</v>
      </c>
      <c r="M205" s="278">
        <f t="shared" si="284"/>
        <v>3.6509900990099009</v>
      </c>
      <c r="N205" s="283">
        <v>98</v>
      </c>
      <c r="O205" s="279">
        <v>2</v>
      </c>
      <c r="P205" s="280">
        <f t="shared" si="285"/>
        <v>13.421016949152543</v>
      </c>
      <c r="Q205" s="281">
        <f t="shared" si="286"/>
        <v>6.7105084745762715</v>
      </c>
      <c r="R205" s="282">
        <f t="shared" si="287"/>
        <v>10736.813559322034</v>
      </c>
      <c r="S205" s="283">
        <v>1377</v>
      </c>
      <c r="T205" s="275">
        <v>13</v>
      </c>
      <c r="U205" s="280">
        <f t="shared" si="288"/>
        <v>390.57898305084746</v>
      </c>
      <c r="V205" s="281">
        <f t="shared" si="289"/>
        <v>30.044537157757496</v>
      </c>
      <c r="W205" s="282">
        <f t="shared" si="290"/>
        <v>48071.259452411992</v>
      </c>
      <c r="X205" s="283"/>
      <c r="Y205" s="275"/>
      <c r="Z205" s="280">
        <f>Tabla14[[#This Row],[Cajas Segunda]]</f>
        <v>0</v>
      </c>
      <c r="AA205" s="281">
        <f t="shared" si="291"/>
        <v>0</v>
      </c>
      <c r="AB205" s="284">
        <f t="shared" si="292"/>
        <v>0</v>
      </c>
      <c r="AC205" s="285">
        <v>30</v>
      </c>
      <c r="AD205" s="286"/>
      <c r="AE205" s="286"/>
      <c r="AF205" s="286"/>
      <c r="AG205" s="286">
        <v>13</v>
      </c>
      <c r="AH205" s="280">
        <f t="shared" si="293"/>
        <v>30</v>
      </c>
      <c r="AI205" s="281">
        <f t="shared" si="294"/>
        <v>2.3076923076923075</v>
      </c>
      <c r="AJ205" s="282">
        <f t="shared" si="295"/>
        <v>1153.8461538461538</v>
      </c>
      <c r="AK205" s="287">
        <f>Tabla14[[#This Row],[Cajas por Personas]]</f>
        <v>6.7105084745762715</v>
      </c>
      <c r="AL205" s="288">
        <f>Tabla14[[#This Row],[Valor Precorte Pesona]]</f>
        <v>10736.813559322034</v>
      </c>
      <c r="AM205" s="294">
        <f>Tabla14[[#This Row],[Personas Precorte]]</f>
        <v>2</v>
      </c>
      <c r="AN205" s="308">
        <f>Tabla14[[#This Row],[Valor Precorte Pesona Precorte]]*Tabla14[[#This Row],[Perzonas Precorte]]</f>
        <v>21473.627118644068</v>
      </c>
      <c r="AO205" s="287">
        <f>Tabla14[[#This Row],[Cajas por Personas2]]</f>
        <v>30.044537157757496</v>
      </c>
      <c r="AP205" s="288">
        <f>Tabla14[[#This Row],[Valor Embarque Pesona]]</f>
        <v>48071.259452411992</v>
      </c>
      <c r="AQ205" s="295">
        <f>Tabla14[[#This Row],[Personas Precorte2]]</f>
        <v>13</v>
      </c>
      <c r="AR205" s="296">
        <f>Tabla14[[#This Row],[Valor Embarque Pesona3]]*Tabla14[[#This Row],[Perzona Primera]]</f>
        <v>624926.37288135593</v>
      </c>
      <c r="AS205" s="287">
        <f>Tabla14[[#This Row],[Columna2]]</f>
        <v>0</v>
      </c>
      <c r="AT205" s="288">
        <f>Tabla14[[#This Row],[Columna1]]</f>
        <v>0</v>
      </c>
      <c r="AU205" s="302">
        <f>Tabla14[[#This Row],[Personas Intervienen]]</f>
        <v>0</v>
      </c>
      <c r="AV205" s="297">
        <f>Tabla14[[#This Row],[Valor Embarque Pesona5]]*Tabla14[[#This Row],[Presonas Segunda]]</f>
        <v>0</v>
      </c>
      <c r="AW205" s="287">
        <f>Tabla14[[#This Row],[Bolsas Por Personas]]</f>
        <v>2.3076923076923075</v>
      </c>
      <c r="AX205" s="288">
        <f>Tabla14[[#This Row],[Valor bolsas Pesona]]</f>
        <v>1153.8461538461538</v>
      </c>
      <c r="AY205" s="309">
        <f>Tabla14[[#This Row],[Personas13]]</f>
        <v>13</v>
      </c>
      <c r="AZ205" s="310">
        <f>Tabla14[[#This Row],[Valor bolsas Pesona2]]*Tabla14[[#This Row],[Personas Rechazo]]</f>
        <v>15000</v>
      </c>
      <c r="BA205" s="311">
        <f>+Tabla14[[#This Row],[Total Valor Segunda]]+Tabla14[[#This Row],[Total Valor Primera]]+Tabla14[[#This Row],[Total Valor Precorte]]</f>
        <v>646400</v>
      </c>
      <c r="BB205" s="292">
        <f>Tabla14[[#This Row],[Valor bolsas Pesona2]]+Tabla14[[#This Row],[Valor Embarque Pesona3]]</f>
        <v>49225.105606258148</v>
      </c>
      <c r="BC205" s="332">
        <v>52000</v>
      </c>
      <c r="BD205" s="292">
        <f>Tabla14[[#This Row],[VALOR GANADO]]-Tabla14[[#This Row],[REAJUSTADO]]</f>
        <v>-2774.8943937418517</v>
      </c>
      <c r="BE205" s="332">
        <f>Tabla14[[#This Row],[CUANTO SE REAJUSTA]]*Tabla14[[#This Row],[Personas Rechazo]]</f>
        <v>-36073.627118644072</v>
      </c>
      <c r="BF205" s="250">
        <f>Tabla14[[#This Row],[REAJUSTADO]]/25000</f>
        <v>2.08</v>
      </c>
      <c r="BG205" s="302">
        <f>Tabla14[[#This Row],[REAJUSTADO]]*Tabla14[[#This Row],[Personas Rechazo]]</f>
        <v>676000</v>
      </c>
      <c r="BH205" s="292" t="str">
        <f>Tabla14[[#This Row],[Finca]]</f>
        <v>San Pedro</v>
      </c>
      <c r="BI205" s="250">
        <v>2</v>
      </c>
      <c r="BJ205" s="332">
        <f>Tabla14[[#This Row],[Numero de Ocacionales]]*Tabla14[[#This Row],[REAJUSTADO]]</f>
        <v>104000</v>
      </c>
      <c r="BK205" s="332"/>
      <c r="BL205" s="332">
        <v>35000</v>
      </c>
      <c r="BM205" s="332">
        <f>+Tabla14[[#This Row],[CUANTO SE REAJUSTA]]*3</f>
        <v>-8324.683181225555</v>
      </c>
      <c r="BN205" s="334"/>
      <c r="BO205" s="334"/>
      <c r="BP205" s="334"/>
    </row>
    <row r="206" spans="3:68" hidden="1" x14ac:dyDescent="0.25">
      <c r="C206" s="274">
        <v>44846</v>
      </c>
      <c r="D206" s="507">
        <f>YEAR(Tabla14[[#This Row],[Fecha]])</f>
        <v>2022</v>
      </c>
      <c r="E206" s="313">
        <f>IF(Tabla14[[#This Row],[Fecha]]&gt;0,_xlfn.ISOWEEKNUM(Tabla14[[#This Row],[Fecha]]),0)</f>
        <v>41</v>
      </c>
      <c r="F206" s="283">
        <v>201</v>
      </c>
      <c r="G206" s="275" t="s">
        <v>211</v>
      </c>
      <c r="H206" s="325" t="str">
        <f>_xlfn.XLOOKUP(Tabla14[[#This Row],[Codigo Finca]],Tabla4[Codigo Finca],Tabla4[Nombre Finca],"")</f>
        <v>San Pedro</v>
      </c>
      <c r="I206" s="277">
        <f>_xlfn.XLOOKUP(Tabla14[[#This Row],[Codigo Finca]],Tabla4[Codigo Finca],Tabla4[Precio Caja],0)</f>
        <v>1600</v>
      </c>
      <c r="J206" s="277">
        <f>_xlfn.XLOOKUP(Tabla14[[#This Row],[Codigo Finca]],Tabla4[Codigo Finca],Tabla4[Precio Caja Segunda],0)</f>
        <v>1000</v>
      </c>
      <c r="K206" s="277">
        <f>_xlfn.XLOOKUP(Tabla14[[#This Row],[Codigo Finca]],Tabla4[Codigo Finca],Tabla4[Precio Rechazo],0)</f>
        <v>500</v>
      </c>
      <c r="L206" s="277">
        <f t="shared" si="283"/>
        <v>646</v>
      </c>
      <c r="M206" s="278">
        <f t="shared" si="284"/>
        <v>3.2139303482587063</v>
      </c>
      <c r="N206" s="283"/>
      <c r="O206" s="279"/>
      <c r="P206" s="280">
        <f t="shared" si="285"/>
        <v>0</v>
      </c>
      <c r="Q206" s="281">
        <f t="shared" si="286"/>
        <v>0</v>
      </c>
      <c r="R206" s="282">
        <f t="shared" si="287"/>
        <v>0</v>
      </c>
      <c r="S206" s="283">
        <v>646</v>
      </c>
      <c r="T206" s="275">
        <v>7</v>
      </c>
      <c r="U206" s="280">
        <f t="shared" si="288"/>
        <v>201</v>
      </c>
      <c r="V206" s="281">
        <f t="shared" si="289"/>
        <v>28.714285714285715</v>
      </c>
      <c r="W206" s="282">
        <f t="shared" si="290"/>
        <v>45942.857142857145</v>
      </c>
      <c r="X206" s="283"/>
      <c r="Y206" s="275"/>
      <c r="Z206" s="280">
        <f>Tabla14[[#This Row],[Cajas Segunda]]</f>
        <v>0</v>
      </c>
      <c r="AA206" s="281">
        <f t="shared" si="291"/>
        <v>0</v>
      </c>
      <c r="AB206" s="284">
        <f t="shared" si="292"/>
        <v>0</v>
      </c>
      <c r="AC206" s="285"/>
      <c r="AD206" s="286">
        <f>6*85</f>
        <v>510</v>
      </c>
      <c r="AE206" s="286"/>
      <c r="AF206" s="286"/>
      <c r="AG206" s="286">
        <v>7</v>
      </c>
      <c r="AH206" s="280">
        <f t="shared" si="293"/>
        <v>20.399999999999999</v>
      </c>
      <c r="AI206" s="281">
        <f t="shared" si="294"/>
        <v>2.9142857142857141</v>
      </c>
      <c r="AJ206" s="282">
        <f t="shared" si="295"/>
        <v>1457.1428571428571</v>
      </c>
      <c r="AK206" s="287">
        <f>Tabla14[[#This Row],[Cajas por Personas]]</f>
        <v>0</v>
      </c>
      <c r="AL206" s="288">
        <f>Tabla14[[#This Row],[Valor Precorte Pesona]]</f>
        <v>0</v>
      </c>
      <c r="AM206" s="294">
        <f>Tabla14[[#This Row],[Personas Precorte]]</f>
        <v>0</v>
      </c>
      <c r="AN206" s="308">
        <f>Tabla14[[#This Row],[Valor Precorte Pesona Precorte]]*Tabla14[[#This Row],[Perzonas Precorte]]</f>
        <v>0</v>
      </c>
      <c r="AO206" s="287">
        <f>Tabla14[[#This Row],[Cajas por Personas2]]</f>
        <v>28.714285714285715</v>
      </c>
      <c r="AP206" s="288">
        <f>Tabla14[[#This Row],[Valor Embarque Pesona]]</f>
        <v>45942.857142857145</v>
      </c>
      <c r="AQ206" s="295">
        <f>Tabla14[[#This Row],[Personas Precorte2]]</f>
        <v>7</v>
      </c>
      <c r="AR206" s="296">
        <f>Tabla14[[#This Row],[Valor Embarque Pesona3]]*Tabla14[[#This Row],[Perzona Primera]]</f>
        <v>321600</v>
      </c>
      <c r="AS206" s="287">
        <f>Tabla14[[#This Row],[Columna2]]</f>
        <v>0</v>
      </c>
      <c r="AT206" s="288">
        <f>Tabla14[[#This Row],[Columna1]]</f>
        <v>0</v>
      </c>
      <c r="AU206" s="302">
        <f>Tabla14[[#This Row],[Personas Intervienen]]</f>
        <v>0</v>
      </c>
      <c r="AV206" s="297">
        <f>Tabla14[[#This Row],[Valor Embarque Pesona5]]*Tabla14[[#This Row],[Presonas Segunda]]</f>
        <v>0</v>
      </c>
      <c r="AW206" s="287">
        <f>Tabla14[[#This Row],[Bolsas Por Personas]]</f>
        <v>2.9142857142857141</v>
      </c>
      <c r="AX206" s="288">
        <f>Tabla14[[#This Row],[Valor bolsas Pesona]]</f>
        <v>1457.1428571428571</v>
      </c>
      <c r="AY206" s="309">
        <f>Tabla14[[#This Row],[Personas13]]</f>
        <v>7</v>
      </c>
      <c r="AZ206" s="310">
        <f>Tabla14[[#This Row],[Valor bolsas Pesona2]]*Tabla14[[#This Row],[Personas Rechazo]]</f>
        <v>10200</v>
      </c>
      <c r="BA206" s="311">
        <f>+Tabla14[[#This Row],[Total Valor Segunda]]+Tabla14[[#This Row],[Total Valor Primera]]+Tabla14[[#This Row],[Total Valor Precorte]]</f>
        <v>321600</v>
      </c>
      <c r="BB206" s="292">
        <f>Tabla14[[#This Row],[Valor bolsas Pesona2]]+Tabla14[[#This Row],[Valor Embarque Pesona3]]</f>
        <v>47400</v>
      </c>
      <c r="BC206" s="332">
        <v>50000</v>
      </c>
      <c r="BD206" s="292">
        <f>Tabla14[[#This Row],[VALOR GANADO]]-Tabla14[[#This Row],[REAJUSTADO]]</f>
        <v>-2600</v>
      </c>
      <c r="BE206" s="332">
        <f>Tabla14[[#This Row],[CUANTO SE REAJUSTA]]*Tabla14[[#This Row],[Personas Rechazo]]</f>
        <v>-18200</v>
      </c>
      <c r="BF206" s="250">
        <f>Tabla14[[#This Row],[REAJUSTADO]]/25000</f>
        <v>2</v>
      </c>
      <c r="BG206" s="302">
        <f>Tabla14[[#This Row],[REAJUSTADO]]*Tabla14[[#This Row],[Personas Rechazo]]</f>
        <v>350000</v>
      </c>
      <c r="BH206" s="292" t="str">
        <f>Tabla14[[#This Row],[Finca]]</f>
        <v>San Pedro</v>
      </c>
      <c r="BI206" s="250">
        <v>0</v>
      </c>
      <c r="BJ206" s="332">
        <f>Tabla14[[#This Row],[Numero de Ocacionales]]*Tabla14[[#This Row],[REAJUSTADO]]</f>
        <v>0</v>
      </c>
      <c r="BK206" s="332"/>
      <c r="BL206" s="332">
        <v>35000</v>
      </c>
      <c r="BM206" s="332">
        <f>+Tabla14[[#This Row],[CUANTO SE REAJUSTA]]*3</f>
        <v>-7800</v>
      </c>
      <c r="BN206" s="334"/>
      <c r="BO206" s="334"/>
      <c r="BP206" s="334"/>
    </row>
    <row r="207" spans="3:68" hidden="1" x14ac:dyDescent="0.25">
      <c r="C207" s="320">
        <v>44847</v>
      </c>
      <c r="D207" s="508">
        <f>YEAR(Tabla14[[#This Row],[Fecha]])</f>
        <v>2022</v>
      </c>
      <c r="E207" s="321">
        <f>IF(Tabla14[[#This Row],[Fecha]]&gt;0,_xlfn.ISOWEEKNUM(Tabla14[[#This Row],[Fecha]]),0)</f>
        <v>41</v>
      </c>
      <c r="F207" s="269">
        <v>94</v>
      </c>
      <c r="G207" s="268" t="s">
        <v>157</v>
      </c>
      <c r="H207" s="266" t="str">
        <f>_xlfn.XLOOKUP(Tabla14[[#This Row],[Codigo Finca]],Tabla4[Codigo Finca],Tabla4[Nombre Finca],"")</f>
        <v>Pedrito</v>
      </c>
      <c r="I207" s="262">
        <f>_xlfn.XLOOKUP(Tabla14[[#This Row],[Codigo Finca]],Tabla4[Codigo Finca],Tabla4[Precio Caja],0)</f>
        <v>2100</v>
      </c>
      <c r="J207" s="262">
        <f>_xlfn.XLOOKUP(Tabla14[[#This Row],[Codigo Finca]],Tabla4[Codigo Finca],Tabla4[Precio Caja Segunda],0)</f>
        <v>1000</v>
      </c>
      <c r="K207" s="262">
        <f>_xlfn.XLOOKUP(Tabla14[[#This Row],[Codigo Finca]],Tabla4[Codigo Finca],Tabla4[Precio Rechazo],0)</f>
        <v>500</v>
      </c>
      <c r="L207" s="262">
        <f>S207+N207</f>
        <v>644</v>
      </c>
      <c r="M207" s="272">
        <f>IF(F207&gt;0,L207/F207,0)</f>
        <v>6.8510638297872344</v>
      </c>
      <c r="N207" s="269"/>
      <c r="O207" s="270"/>
      <c r="P207" s="280">
        <f>IF(N207&gt;0,(N207/M207)/2,0)</f>
        <v>0</v>
      </c>
      <c r="Q207" s="263">
        <f>IF(O207&gt;0,P207/O207,0)</f>
        <v>0</v>
      </c>
      <c r="R207" s="322">
        <f>IF(I207&gt;0,Q207*I207,)</f>
        <v>0</v>
      </c>
      <c r="S207" s="269">
        <v>644</v>
      </c>
      <c r="T207" s="268">
        <v>10</v>
      </c>
      <c r="U207" s="251">
        <f>F207-P207</f>
        <v>94</v>
      </c>
      <c r="V207" s="263">
        <f>IF(T207&gt;0,U207/T207,0)</f>
        <v>9.4</v>
      </c>
      <c r="W207" s="322">
        <f>IF(T207&gt;0,(U207*I207)/T207,0)</f>
        <v>19740</v>
      </c>
      <c r="X207" s="269"/>
      <c r="Y207" s="268"/>
      <c r="Z207" s="251">
        <f>Tabla14[[#This Row],[Cajas Segunda]]</f>
        <v>0</v>
      </c>
      <c r="AA207" s="263">
        <f>IF(Y207&gt;0,Z207/Y207,0)</f>
        <v>0</v>
      </c>
      <c r="AB207" s="265">
        <f>IF(Y207&gt;0,(Z207*J207)/Y207,0)</f>
        <v>0</v>
      </c>
      <c r="AC207" s="273"/>
      <c r="AD207" s="271"/>
      <c r="AE207" s="271"/>
      <c r="AF207" s="271"/>
      <c r="AG207" s="271">
        <v>10</v>
      </c>
      <c r="AH207" s="251">
        <f>IF(AND(AC207&gt;0,AE207=0,AF207=0,AD207=0),AC207,IF(AND(AC207=0,AE207&gt;0,AF207&gt;0,AD207=0),AE207*AF207/25,IF(AND(AC207=0,AE207=0,AF207=0,AD207&gt;0),AD207/25,0)))</f>
        <v>0</v>
      </c>
      <c r="AI207" s="263">
        <f>IF(AG207&gt;0,AH207/AG207,0)</f>
        <v>0</v>
      </c>
      <c r="AJ207" s="322">
        <f>AI207*K207</f>
        <v>0</v>
      </c>
      <c r="AK207" s="264">
        <f>Tabla14[[#This Row],[Cajas por Personas]]</f>
        <v>0</v>
      </c>
      <c r="AL207" s="267">
        <f>Tabla14[[#This Row],[Valor Precorte Pesona]]</f>
        <v>0</v>
      </c>
      <c r="AM207" s="294">
        <f>Tabla14[[#This Row],[Personas Precorte]]</f>
        <v>0</v>
      </c>
      <c r="AN207" s="308">
        <f>Tabla14[[#This Row],[Valor Precorte Pesona Precorte]]*Tabla14[[#This Row],[Perzonas Precorte]]</f>
        <v>0</v>
      </c>
      <c r="AO207" s="264">
        <f>Tabla14[[#This Row],[Cajas por Personas2]]</f>
        <v>9.4</v>
      </c>
      <c r="AP207" s="267">
        <f>Tabla14[[#This Row],[Valor Embarque Pesona]]</f>
        <v>19740</v>
      </c>
      <c r="AQ207" s="295">
        <f>Tabla14[[#This Row],[Personas Precorte2]]</f>
        <v>10</v>
      </c>
      <c r="AR207" s="296">
        <f>Tabla14[[#This Row],[Valor Embarque Pesona3]]*Tabla14[[#This Row],[Perzona Primera]]</f>
        <v>197400</v>
      </c>
      <c r="AS207" s="264">
        <f>Tabla14[[#This Row],[Columna2]]</f>
        <v>0</v>
      </c>
      <c r="AT207" s="267">
        <f>Tabla14[[#This Row],[Columna1]]</f>
        <v>0</v>
      </c>
      <c r="AU207" s="302">
        <f>Tabla14[[#This Row],[Personas Intervienen]]</f>
        <v>0</v>
      </c>
      <c r="AV207" s="297">
        <f>Tabla14[[#This Row],[Valor Embarque Pesona5]]*Tabla14[[#This Row],[Presonas Segunda]]</f>
        <v>0</v>
      </c>
      <c r="AW207" s="264">
        <f>Tabla14[[#This Row],[Bolsas Por Personas]]</f>
        <v>0</v>
      </c>
      <c r="AX207" s="267">
        <f>Tabla14[[#This Row],[Valor bolsas Pesona]]</f>
        <v>0</v>
      </c>
      <c r="AY207" s="290">
        <f>Tabla14[[#This Row],[Personas13]]</f>
        <v>10</v>
      </c>
      <c r="AZ207" s="323">
        <f>Tabla14[[#This Row],[Valor bolsas Pesona2]]*Tabla14[[#This Row],[Personas Rechazo]]</f>
        <v>0</v>
      </c>
      <c r="BA207" s="324">
        <f>+Tabla14[[#This Row],[Total Valor Segunda]]+Tabla14[[#This Row],[Total Valor Primera]]+Tabla14[[#This Row],[Total Valor Precorte]]</f>
        <v>197400</v>
      </c>
      <c r="BB207" s="292">
        <f>Tabla14[[#This Row],[Valor bolsas Pesona2]]+Tabla14[[#This Row],[Valor Embarque Pesona3]]</f>
        <v>19740</v>
      </c>
      <c r="BD207" s="292">
        <f>Tabla14[[#This Row],[VALOR GANADO]]-Tabla14[[#This Row],[REAJUSTADO]]</f>
        <v>19740</v>
      </c>
      <c r="BE207" s="392">
        <f>Tabla14[[#This Row],[CUANTO SE REAJUSTA]]*Tabla14[[#This Row],[Personas Rechazo]]</f>
        <v>197400</v>
      </c>
      <c r="BF207" s="250">
        <f>Tabla14[[#This Row],[REAJUSTADO]]/25000</f>
        <v>0</v>
      </c>
      <c r="BG207" s="302">
        <f>Tabla14[[#This Row],[REAJUSTADO]]*Tabla14[[#This Row],[Personas Rechazo]]</f>
        <v>0</v>
      </c>
      <c r="BH207" s="292" t="str">
        <f>Tabla14[[#This Row],[Finca]]</f>
        <v>Pedrito</v>
      </c>
      <c r="BJ207" s="332">
        <f>Tabla14[[#This Row],[Numero de Ocacionales]]*Tabla14[[#This Row],[REAJUSTADO]]</f>
        <v>0</v>
      </c>
      <c r="BK207" s="332"/>
      <c r="BL207" s="332"/>
      <c r="BM207" s="332">
        <f>+Tabla14[[#This Row],[CUANTO SE REAJUSTA]]*3</f>
        <v>59220</v>
      </c>
      <c r="BN207" s="334"/>
      <c r="BO207" s="334"/>
      <c r="BP207" s="334"/>
    </row>
    <row r="208" spans="3:68" hidden="1" x14ac:dyDescent="0.25">
      <c r="C208" s="274">
        <v>44852</v>
      </c>
      <c r="D208" s="507">
        <f>YEAR(Tabla14[[#This Row],[Fecha]])</f>
        <v>2022</v>
      </c>
      <c r="E208" s="313">
        <f>IF(Tabla14[[#This Row],[Fecha]]&gt;0,_xlfn.ISOWEEKNUM(Tabla14[[#This Row],[Fecha]]),0)</f>
        <v>42</v>
      </c>
      <c r="F208" s="283">
        <v>347</v>
      </c>
      <c r="G208" s="275" t="s">
        <v>211</v>
      </c>
      <c r="H208" s="325" t="str">
        <f>_xlfn.XLOOKUP(Tabla14[[#This Row],[Codigo Finca]],Tabla4[Codigo Finca],Tabla4[Nombre Finca],"")</f>
        <v>San Pedro</v>
      </c>
      <c r="I208" s="277">
        <f>_xlfn.XLOOKUP(Tabla14[[#This Row],[Codigo Finca]],Tabla4[Codigo Finca],Tabla4[Precio Caja],0)</f>
        <v>1600</v>
      </c>
      <c r="J208" s="277">
        <f>_xlfn.XLOOKUP(Tabla14[[#This Row],[Codigo Finca]],Tabla4[Codigo Finca],Tabla4[Precio Caja Segunda],0)</f>
        <v>1000</v>
      </c>
      <c r="K208" s="277">
        <f>_xlfn.XLOOKUP(Tabla14[[#This Row],[Codigo Finca]],Tabla4[Codigo Finca],Tabla4[Precio Rechazo],0)</f>
        <v>500</v>
      </c>
      <c r="L208" s="277">
        <f t="shared" si="283"/>
        <v>1265</v>
      </c>
      <c r="M208" s="278">
        <f t="shared" si="284"/>
        <v>3.6455331412103749</v>
      </c>
      <c r="N208" s="283">
        <v>128</v>
      </c>
      <c r="O208" s="279">
        <v>4</v>
      </c>
      <c r="P208" s="280">
        <f t="shared" si="285"/>
        <v>17.555731225296441</v>
      </c>
      <c r="Q208" s="281">
        <f t="shared" si="286"/>
        <v>4.3889328063241102</v>
      </c>
      <c r="R208" s="282">
        <f t="shared" si="287"/>
        <v>7022.2924901185761</v>
      </c>
      <c r="S208" s="283">
        <v>1137</v>
      </c>
      <c r="T208" s="275">
        <v>15</v>
      </c>
      <c r="U208" s="280">
        <f t="shared" si="288"/>
        <v>329.44426877470357</v>
      </c>
      <c r="V208" s="281">
        <f t="shared" si="289"/>
        <v>21.962951251646906</v>
      </c>
      <c r="W208" s="282">
        <f t="shared" si="290"/>
        <v>35140.722002635048</v>
      </c>
      <c r="X208" s="283"/>
      <c r="Y208" s="275"/>
      <c r="Z208" s="280">
        <f>Tabla14[[#This Row],[Cajas Segunda]]</f>
        <v>0</v>
      </c>
      <c r="AA208" s="281">
        <f t="shared" si="291"/>
        <v>0</v>
      </c>
      <c r="AB208" s="284">
        <f t="shared" si="292"/>
        <v>0</v>
      </c>
      <c r="AC208" s="285">
        <v>82</v>
      </c>
      <c r="AD208" s="286"/>
      <c r="AE208" s="286"/>
      <c r="AF208" s="286"/>
      <c r="AG208" s="286">
        <v>15</v>
      </c>
      <c r="AH208" s="280">
        <f t="shared" si="293"/>
        <v>82</v>
      </c>
      <c r="AI208" s="281">
        <f t="shared" si="294"/>
        <v>5.4666666666666668</v>
      </c>
      <c r="AJ208" s="282">
        <f t="shared" si="295"/>
        <v>2733.3333333333335</v>
      </c>
      <c r="AK208" s="287">
        <f>Tabla14[[#This Row],[Cajas por Personas]]</f>
        <v>4.3889328063241102</v>
      </c>
      <c r="AL208" s="288">
        <f>Tabla14[[#This Row],[Valor Precorte Pesona]]</f>
        <v>7022.2924901185761</v>
      </c>
      <c r="AM208" s="294">
        <f>Tabla14[[#This Row],[Personas Precorte]]</f>
        <v>4</v>
      </c>
      <c r="AN208" s="308">
        <f>Tabla14[[#This Row],[Valor Precorte Pesona Precorte]]*Tabla14[[#This Row],[Perzonas Precorte]]</f>
        <v>28089.169960474304</v>
      </c>
      <c r="AO208" s="287">
        <f>Tabla14[[#This Row],[Cajas por Personas2]]</f>
        <v>21.962951251646906</v>
      </c>
      <c r="AP208" s="288">
        <f>Tabla14[[#This Row],[Valor Embarque Pesona]]</f>
        <v>35140.722002635048</v>
      </c>
      <c r="AQ208" s="295">
        <f>Tabla14[[#This Row],[Personas Precorte2]]</f>
        <v>15</v>
      </c>
      <c r="AR208" s="296">
        <f>Tabla14[[#This Row],[Valor Embarque Pesona3]]*Tabla14[[#This Row],[Perzona Primera]]</f>
        <v>527110.83003952575</v>
      </c>
      <c r="AS208" s="287">
        <f>Tabla14[[#This Row],[Columna2]]</f>
        <v>0</v>
      </c>
      <c r="AT208" s="288">
        <f>Tabla14[[#This Row],[Columna1]]</f>
        <v>0</v>
      </c>
      <c r="AU208" s="302">
        <f>Tabla14[[#This Row],[Personas Intervienen]]</f>
        <v>0</v>
      </c>
      <c r="AV208" s="297">
        <f>Tabla14[[#This Row],[Valor Embarque Pesona5]]*Tabla14[[#This Row],[Presonas Segunda]]</f>
        <v>0</v>
      </c>
      <c r="AW208" s="287">
        <f>Tabla14[[#This Row],[Bolsas Por Personas]]</f>
        <v>5.4666666666666668</v>
      </c>
      <c r="AX208" s="288">
        <f>Tabla14[[#This Row],[Valor bolsas Pesona]]</f>
        <v>2733.3333333333335</v>
      </c>
      <c r="AY208" s="309">
        <f>Tabla14[[#This Row],[Personas13]]</f>
        <v>15</v>
      </c>
      <c r="AZ208" s="310">
        <f>Tabla14[[#This Row],[Valor bolsas Pesona2]]*Tabla14[[#This Row],[Personas Rechazo]]</f>
        <v>41000</v>
      </c>
      <c r="BA208" s="311">
        <f>+Tabla14[[#This Row],[Total Valor Segunda]]+Tabla14[[#This Row],[Total Valor Primera]]+Tabla14[[#This Row],[Total Valor Precorte]]</f>
        <v>555200</v>
      </c>
      <c r="BB208" s="292">
        <f>Tabla14[[#This Row],[Valor bolsas Pesona2]]+Tabla14[[#This Row],[Valor Embarque Pesona3]]</f>
        <v>37874.055335968384</v>
      </c>
      <c r="BC208" s="332">
        <v>38000</v>
      </c>
      <c r="BD208" s="292">
        <f>Tabla14[[#This Row],[VALOR GANADO]]-Tabla14[[#This Row],[REAJUSTADO]]</f>
        <v>-125.94466403161641</v>
      </c>
      <c r="BE208" s="250">
        <f>Tabla14[[#This Row],[CUANTO SE REAJUSTA]]*Tabla14[[#This Row],[Personas Rechazo]]</f>
        <v>-1889.1699604742462</v>
      </c>
      <c r="BF208" s="250">
        <f>Tabla14[[#This Row],[REAJUSTADO]]/25000</f>
        <v>1.52</v>
      </c>
      <c r="BG208" s="302">
        <f>Tabla14[[#This Row],[REAJUSTADO]]*Tabla14[[#This Row],[Personas Rechazo]]</f>
        <v>570000</v>
      </c>
      <c r="BH208" s="292" t="str">
        <f>Tabla14[[#This Row],[Finca]]</f>
        <v>San Pedro</v>
      </c>
      <c r="BJ208" s="332">
        <f>Tabla14[[#This Row],[Numero de Ocacionales]]*Tabla14[[#This Row],[REAJUSTADO]]</f>
        <v>0</v>
      </c>
      <c r="BK208" s="332"/>
      <c r="BL208" s="332">
        <v>35</v>
      </c>
      <c r="BM208" s="332">
        <f>+Tabla14[[#This Row],[CUANTO SE REAJUSTA]]*3</f>
        <v>-377.83399209484924</v>
      </c>
      <c r="BN208" s="334"/>
      <c r="BO208" s="334"/>
      <c r="BP208" s="334"/>
    </row>
    <row r="209" spans="3:68" hidden="1" x14ac:dyDescent="0.25">
      <c r="C209" s="274">
        <v>44853</v>
      </c>
      <c r="D209" s="507">
        <f>YEAR(Tabla14[[#This Row],[Fecha]])</f>
        <v>2022</v>
      </c>
      <c r="E209" s="313">
        <f>IF(Tabla14[[#This Row],[Fecha]]&gt;0,_xlfn.ISOWEEKNUM(Tabla14[[#This Row],[Fecha]]),0)</f>
        <v>42</v>
      </c>
      <c r="F209" s="283">
        <v>69</v>
      </c>
      <c r="G209" s="275" t="s">
        <v>209</v>
      </c>
      <c r="H209" s="325" t="str">
        <f>_xlfn.XLOOKUP(Tabla14[[#This Row],[Codigo Finca]],Tabla4[Codigo Finca],Tabla4[Nombre Finca],"")</f>
        <v>San Pedro</v>
      </c>
      <c r="I209" s="277">
        <f>_xlfn.XLOOKUP(Tabla14[[#This Row],[Codigo Finca]],Tabla4[Codigo Finca],Tabla4[Precio Caja],0)</f>
        <v>1800</v>
      </c>
      <c r="J209" s="277">
        <f>_xlfn.XLOOKUP(Tabla14[[#This Row],[Codigo Finca]],Tabla4[Codigo Finca],Tabla4[Precio Caja Segunda],0)</f>
        <v>1000</v>
      </c>
      <c r="K209" s="277">
        <f>_xlfn.XLOOKUP(Tabla14[[#This Row],[Codigo Finca]],Tabla4[Codigo Finca],Tabla4[Precio Rechazo],0)</f>
        <v>600</v>
      </c>
      <c r="L209" s="277">
        <f t="shared" si="283"/>
        <v>509</v>
      </c>
      <c r="M209" s="278">
        <f t="shared" si="284"/>
        <v>7.3768115942028984</v>
      </c>
      <c r="N209" s="283"/>
      <c r="O209" s="279"/>
      <c r="P209" s="280">
        <f t="shared" si="285"/>
        <v>0</v>
      </c>
      <c r="Q209" s="281">
        <f t="shared" si="286"/>
        <v>0</v>
      </c>
      <c r="R209" s="282">
        <f t="shared" si="287"/>
        <v>0</v>
      </c>
      <c r="S209" s="283">
        <v>509</v>
      </c>
      <c r="T209" s="275">
        <v>6</v>
      </c>
      <c r="U209" s="280">
        <f t="shared" si="288"/>
        <v>69</v>
      </c>
      <c r="V209" s="281">
        <f t="shared" si="289"/>
        <v>11.5</v>
      </c>
      <c r="W209" s="282">
        <f t="shared" si="290"/>
        <v>20700</v>
      </c>
      <c r="X209" s="283"/>
      <c r="Y209" s="275"/>
      <c r="Z209" s="280">
        <f>Tabla14[[#This Row],[Cajas Segunda]]</f>
        <v>0</v>
      </c>
      <c r="AA209" s="281">
        <f t="shared" si="291"/>
        <v>0</v>
      </c>
      <c r="AB209" s="284">
        <f t="shared" si="292"/>
        <v>0</v>
      </c>
      <c r="AC209" s="285">
        <v>11</v>
      </c>
      <c r="AD209" s="286"/>
      <c r="AE209" s="286"/>
      <c r="AF209" s="286"/>
      <c r="AG209" s="286">
        <v>6</v>
      </c>
      <c r="AH209" s="280">
        <f t="shared" si="293"/>
        <v>11</v>
      </c>
      <c r="AI209" s="281">
        <f t="shared" si="294"/>
        <v>1.8333333333333333</v>
      </c>
      <c r="AJ209" s="282">
        <f t="shared" si="295"/>
        <v>1100</v>
      </c>
      <c r="AK209" s="287">
        <f>Tabla14[[#This Row],[Cajas por Personas]]</f>
        <v>0</v>
      </c>
      <c r="AL209" s="288">
        <f>Tabla14[[#This Row],[Valor Precorte Pesona]]</f>
        <v>0</v>
      </c>
      <c r="AM209" s="294">
        <f>Tabla14[[#This Row],[Personas Precorte]]</f>
        <v>0</v>
      </c>
      <c r="AN209" s="308">
        <f>Tabla14[[#This Row],[Valor Precorte Pesona Precorte]]*Tabla14[[#This Row],[Perzonas Precorte]]</f>
        <v>0</v>
      </c>
      <c r="AO209" s="287">
        <f>Tabla14[[#This Row],[Cajas por Personas2]]</f>
        <v>11.5</v>
      </c>
      <c r="AP209" s="288">
        <f>Tabla14[[#This Row],[Valor Embarque Pesona]]</f>
        <v>20700</v>
      </c>
      <c r="AQ209" s="295">
        <f>Tabla14[[#This Row],[Personas Precorte2]]</f>
        <v>6</v>
      </c>
      <c r="AR209" s="296">
        <f>Tabla14[[#This Row],[Valor Embarque Pesona3]]*Tabla14[[#This Row],[Perzona Primera]]</f>
        <v>124200</v>
      </c>
      <c r="AS209" s="287">
        <f>Tabla14[[#This Row],[Columna2]]</f>
        <v>0</v>
      </c>
      <c r="AT209" s="288">
        <f>Tabla14[[#This Row],[Columna1]]</f>
        <v>0</v>
      </c>
      <c r="AU209" s="302">
        <f>Tabla14[[#This Row],[Personas Intervienen]]</f>
        <v>0</v>
      </c>
      <c r="AV209" s="297">
        <f>Tabla14[[#This Row],[Valor Embarque Pesona5]]*Tabla14[[#This Row],[Presonas Segunda]]</f>
        <v>0</v>
      </c>
      <c r="AW209" s="287">
        <f>Tabla14[[#This Row],[Bolsas Por Personas]]</f>
        <v>1.8333333333333333</v>
      </c>
      <c r="AX209" s="288">
        <f>Tabla14[[#This Row],[Valor bolsas Pesona]]</f>
        <v>1100</v>
      </c>
      <c r="AY209" s="309">
        <f>Tabla14[[#This Row],[Personas13]]</f>
        <v>6</v>
      </c>
      <c r="AZ209" s="310">
        <f>Tabla14[[#This Row],[Valor bolsas Pesona2]]*Tabla14[[#This Row],[Personas Rechazo]]</f>
        <v>6600</v>
      </c>
      <c r="BA209" s="311">
        <f>+Tabla14[[#This Row],[Total Valor Segunda]]+Tabla14[[#This Row],[Total Valor Primera]]+Tabla14[[#This Row],[Total Valor Precorte]]</f>
        <v>124200</v>
      </c>
      <c r="BB209" s="408">
        <f>Tabla14[[#This Row],[Valor bolsas Pesona2]]+Tabla14[[#This Row],[Valor Embarque Pesona3]]</f>
        <v>21800</v>
      </c>
      <c r="BC209" s="407">
        <v>44200</v>
      </c>
      <c r="BD209" s="408">
        <f>Tabla14[[#This Row],[VALOR GANADO]]-Tabla14[[#This Row],[REAJUSTADO]]</f>
        <v>-22400</v>
      </c>
      <c r="BE209" s="250">
        <f>Tabla14[[#This Row],[CUANTO SE REAJUSTA]]*Tabla14[[#This Row],[Personas Rechazo]]</f>
        <v>-134400</v>
      </c>
      <c r="BF209" s="250">
        <f>Tabla14[[#This Row],[REAJUSTADO]]/25000</f>
        <v>1.768</v>
      </c>
      <c r="BG209" s="302">
        <f>Tabla14[[#This Row],[REAJUSTADO]]*Tabla14[[#This Row],[Personas Rechazo]]</f>
        <v>265200</v>
      </c>
      <c r="BH209" s="292" t="str">
        <f>Tabla14[[#This Row],[Finca]]</f>
        <v>San Pedro</v>
      </c>
      <c r="BJ209" s="332">
        <f>Tabla14[[#This Row],[Numero de Ocacionales]]*Tabla14[[#This Row],[REAJUSTADO]]</f>
        <v>0</v>
      </c>
      <c r="BK209" s="332"/>
      <c r="BL209" s="332">
        <v>35</v>
      </c>
      <c r="BM209" s="332">
        <f>+Tabla14[[#This Row],[CUANTO SE REAJUSTA]]*3</f>
        <v>-67200</v>
      </c>
      <c r="BN209" s="334"/>
      <c r="BO209" s="334"/>
      <c r="BP209" s="334"/>
    </row>
    <row r="210" spans="3:68" hidden="1" x14ac:dyDescent="0.25">
      <c r="C210" s="274">
        <v>44853</v>
      </c>
      <c r="D210" s="507">
        <f>YEAR(Tabla14[[#This Row],[Fecha]])</f>
        <v>2022</v>
      </c>
      <c r="E210" s="313">
        <f>IF(Tabla14[[#This Row],[Fecha]]&gt;0,_xlfn.ISOWEEKNUM(Tabla14[[#This Row],[Fecha]]),0)</f>
        <v>42</v>
      </c>
      <c r="F210" s="283">
        <v>84</v>
      </c>
      <c r="G210" s="275" t="s">
        <v>211</v>
      </c>
      <c r="H210" s="325" t="str">
        <f>_xlfn.XLOOKUP(Tabla14[[#This Row],[Codigo Finca]],Tabla4[Codigo Finca],Tabla4[Nombre Finca],"")</f>
        <v>San Pedro</v>
      </c>
      <c r="I210" s="277">
        <f>_xlfn.XLOOKUP(Tabla14[[#This Row],[Codigo Finca]],Tabla4[Codigo Finca],Tabla4[Precio Caja],0)</f>
        <v>1600</v>
      </c>
      <c r="J210" s="277">
        <f>_xlfn.XLOOKUP(Tabla14[[#This Row],[Codigo Finca]],Tabla4[Codigo Finca],Tabla4[Precio Caja Segunda],0)</f>
        <v>1000</v>
      </c>
      <c r="K210" s="277">
        <f>_xlfn.XLOOKUP(Tabla14[[#This Row],[Codigo Finca]],Tabla4[Codigo Finca],Tabla4[Precio Rechazo],0)</f>
        <v>500</v>
      </c>
      <c r="L210" s="277">
        <f t="shared" si="283"/>
        <v>0</v>
      </c>
      <c r="M210" s="278">
        <f t="shared" si="284"/>
        <v>0</v>
      </c>
      <c r="N210" s="283"/>
      <c r="O210" s="279"/>
      <c r="P210" s="280">
        <f t="shared" si="285"/>
        <v>0</v>
      </c>
      <c r="Q210" s="281">
        <f t="shared" si="286"/>
        <v>0</v>
      </c>
      <c r="R210" s="282">
        <f t="shared" si="287"/>
        <v>0</v>
      </c>
      <c r="S210" s="283"/>
      <c r="T210" s="275">
        <v>6</v>
      </c>
      <c r="U210" s="280">
        <f t="shared" si="288"/>
        <v>84</v>
      </c>
      <c r="V210" s="281">
        <f t="shared" si="289"/>
        <v>14</v>
      </c>
      <c r="W210" s="282">
        <f t="shared" si="290"/>
        <v>22400</v>
      </c>
      <c r="X210" s="283"/>
      <c r="Y210" s="275"/>
      <c r="Z210" s="280">
        <f>Tabla14[[#This Row],[Cajas Segunda]]</f>
        <v>0</v>
      </c>
      <c r="AA210" s="281">
        <f t="shared" si="291"/>
        <v>0</v>
      </c>
      <c r="AB210" s="284">
        <f t="shared" si="292"/>
        <v>0</v>
      </c>
      <c r="AC210" s="285"/>
      <c r="AD210" s="286"/>
      <c r="AE210" s="286"/>
      <c r="AF210" s="286"/>
      <c r="AG210" s="286">
        <v>6</v>
      </c>
      <c r="AH210" s="280">
        <f t="shared" si="293"/>
        <v>0</v>
      </c>
      <c r="AI210" s="281">
        <f t="shared" si="294"/>
        <v>0</v>
      </c>
      <c r="AJ210" s="282">
        <f t="shared" si="295"/>
        <v>0</v>
      </c>
      <c r="AK210" s="287">
        <f>Tabla14[[#This Row],[Cajas por Personas]]</f>
        <v>0</v>
      </c>
      <c r="AL210" s="288">
        <f>Tabla14[[#This Row],[Valor Precorte Pesona]]</f>
        <v>0</v>
      </c>
      <c r="AM210" s="294">
        <f>Tabla14[[#This Row],[Personas Precorte]]</f>
        <v>0</v>
      </c>
      <c r="AN210" s="308">
        <f>Tabla14[[#This Row],[Valor Precorte Pesona Precorte]]*Tabla14[[#This Row],[Perzonas Precorte]]</f>
        <v>0</v>
      </c>
      <c r="AO210" s="287">
        <f>Tabla14[[#This Row],[Cajas por Personas2]]</f>
        <v>14</v>
      </c>
      <c r="AP210" s="288">
        <f>Tabla14[[#This Row],[Valor Embarque Pesona]]</f>
        <v>22400</v>
      </c>
      <c r="AQ210" s="295">
        <f>Tabla14[[#This Row],[Personas Precorte2]]</f>
        <v>6</v>
      </c>
      <c r="AR210" s="296">
        <f>Tabla14[[#This Row],[Valor Embarque Pesona3]]*Tabla14[[#This Row],[Perzona Primera]]</f>
        <v>134400</v>
      </c>
      <c r="AS210" s="287">
        <f>Tabla14[[#This Row],[Columna2]]</f>
        <v>0</v>
      </c>
      <c r="AT210" s="288">
        <f>Tabla14[[#This Row],[Columna1]]</f>
        <v>0</v>
      </c>
      <c r="AU210" s="302">
        <f>Tabla14[[#This Row],[Personas Intervienen]]</f>
        <v>0</v>
      </c>
      <c r="AV210" s="297">
        <f>Tabla14[[#This Row],[Valor Embarque Pesona5]]*Tabla14[[#This Row],[Presonas Segunda]]</f>
        <v>0</v>
      </c>
      <c r="AW210" s="287">
        <f>Tabla14[[#This Row],[Bolsas Por Personas]]</f>
        <v>0</v>
      </c>
      <c r="AX210" s="288">
        <f>Tabla14[[#This Row],[Valor bolsas Pesona]]</f>
        <v>0</v>
      </c>
      <c r="AY210" s="309">
        <f>Tabla14[[#This Row],[Personas13]]</f>
        <v>6</v>
      </c>
      <c r="AZ210" s="310">
        <f>Tabla14[[#This Row],[Valor bolsas Pesona2]]*Tabla14[[#This Row],[Personas Rechazo]]</f>
        <v>0</v>
      </c>
      <c r="BA210" s="311">
        <f>+Tabla14[[#This Row],[Total Valor Segunda]]+Tabla14[[#This Row],[Total Valor Primera]]+Tabla14[[#This Row],[Total Valor Precorte]]</f>
        <v>134400</v>
      </c>
      <c r="BB210" s="408">
        <f>Tabla14[[#This Row],[Valor bolsas Pesona2]]+Tabla14[[#This Row],[Valor Embarque Pesona3]]</f>
        <v>22400</v>
      </c>
      <c r="BC210" s="407"/>
      <c r="BD210" s="408">
        <f>Tabla14[[#This Row],[VALOR GANADO]]-Tabla14[[#This Row],[REAJUSTADO]]</f>
        <v>22400</v>
      </c>
      <c r="BE210" s="250">
        <f>Tabla14[[#This Row],[CUANTO SE REAJUSTA]]*Tabla14[[#This Row],[Personas Rechazo]]</f>
        <v>134400</v>
      </c>
      <c r="BF210" s="250">
        <f>Tabla14[[#This Row],[REAJUSTADO]]/25000</f>
        <v>0</v>
      </c>
      <c r="BG210" s="302">
        <f>Tabla14[[#This Row],[REAJUSTADO]]*Tabla14[[#This Row],[Personas Rechazo]]</f>
        <v>0</v>
      </c>
      <c r="BH210" s="292" t="str">
        <f>Tabla14[[#This Row],[Finca]]</f>
        <v>San Pedro</v>
      </c>
      <c r="BJ210" s="332">
        <f>Tabla14[[#This Row],[Numero de Ocacionales]]*Tabla14[[#This Row],[REAJUSTADO]]</f>
        <v>0</v>
      </c>
      <c r="BK210" s="332"/>
      <c r="BL210" s="332"/>
      <c r="BM210" s="332">
        <f>+Tabla14[[#This Row],[CUANTO SE REAJUSTA]]*3</f>
        <v>67200</v>
      </c>
      <c r="BN210" s="334"/>
      <c r="BO210" s="334"/>
      <c r="BP210" s="334"/>
    </row>
    <row r="211" spans="3:68" hidden="1" x14ac:dyDescent="0.25">
      <c r="C211" s="274">
        <v>44853</v>
      </c>
      <c r="D211" s="507">
        <f>YEAR(Tabla14[[#This Row],[Fecha]])</f>
        <v>2022</v>
      </c>
      <c r="E211" s="313">
        <f>IF(Tabla14[[#This Row],[Fecha]]&gt;0,_xlfn.ISOWEEKNUM(Tabla14[[#This Row],[Fecha]]),0)</f>
        <v>42</v>
      </c>
      <c r="F211" s="283">
        <v>31</v>
      </c>
      <c r="G211" s="275" t="s">
        <v>153</v>
      </c>
      <c r="H211" s="325" t="str">
        <f>_xlfn.XLOOKUP(Tabla14[[#This Row],[Codigo Finca]],Tabla4[Codigo Finca],Tabla4[Nombre Finca],"")</f>
        <v>Uveros</v>
      </c>
      <c r="I211" s="277">
        <f>_xlfn.XLOOKUP(Tabla14[[#This Row],[Codigo Finca]],Tabla4[Codigo Finca],Tabla4[Precio Caja],0)</f>
        <v>1500</v>
      </c>
      <c r="J211" s="277">
        <f>_xlfn.XLOOKUP(Tabla14[[#This Row],[Codigo Finca]],Tabla4[Codigo Finca],Tabla4[Precio Caja Segunda],0)</f>
        <v>1000</v>
      </c>
      <c r="K211" s="277">
        <f>_xlfn.XLOOKUP(Tabla14[[#This Row],[Codigo Finca]],Tabla4[Codigo Finca],Tabla4[Precio Rechazo],0)</f>
        <v>500</v>
      </c>
      <c r="L211" s="277">
        <f t="shared" si="283"/>
        <v>0</v>
      </c>
      <c r="M211" s="278">
        <f t="shared" si="284"/>
        <v>0</v>
      </c>
      <c r="N211" s="283"/>
      <c r="O211" s="279"/>
      <c r="P211" s="280">
        <f t="shared" si="285"/>
        <v>0</v>
      </c>
      <c r="Q211" s="281">
        <f t="shared" si="286"/>
        <v>0</v>
      </c>
      <c r="R211" s="282">
        <f t="shared" si="287"/>
        <v>0</v>
      </c>
      <c r="S211" s="283"/>
      <c r="T211" s="275">
        <v>4</v>
      </c>
      <c r="U211" s="280">
        <f t="shared" si="288"/>
        <v>31</v>
      </c>
      <c r="V211" s="281">
        <f t="shared" si="289"/>
        <v>7.75</v>
      </c>
      <c r="W211" s="282">
        <f t="shared" si="290"/>
        <v>11625</v>
      </c>
      <c r="X211" s="283"/>
      <c r="Y211" s="275"/>
      <c r="Z211" s="280">
        <f>Tabla14[[#This Row],[Cajas Segunda]]</f>
        <v>0</v>
      </c>
      <c r="AA211" s="281">
        <f t="shared" si="291"/>
        <v>0</v>
      </c>
      <c r="AB211" s="284">
        <f t="shared" si="292"/>
        <v>0</v>
      </c>
      <c r="AC211" s="285"/>
      <c r="AD211" s="286">
        <f>5.5*85</f>
        <v>467.5</v>
      </c>
      <c r="AE211" s="286"/>
      <c r="AF211" s="286"/>
      <c r="AG211" s="286">
        <v>4</v>
      </c>
      <c r="AH211" s="280">
        <f t="shared" si="293"/>
        <v>18.7</v>
      </c>
      <c r="AI211" s="281">
        <f t="shared" si="294"/>
        <v>4.6749999999999998</v>
      </c>
      <c r="AJ211" s="282">
        <f t="shared" si="295"/>
        <v>2337.5</v>
      </c>
      <c r="AK211" s="287">
        <f>Tabla14[[#This Row],[Cajas por Personas]]</f>
        <v>0</v>
      </c>
      <c r="AL211" s="288">
        <f>Tabla14[[#This Row],[Valor Precorte Pesona]]</f>
        <v>0</v>
      </c>
      <c r="AM211" s="294">
        <f>Tabla14[[#This Row],[Personas Precorte]]</f>
        <v>0</v>
      </c>
      <c r="AN211" s="308">
        <f>Tabla14[[#This Row],[Valor Precorte Pesona Precorte]]*Tabla14[[#This Row],[Perzonas Precorte]]</f>
        <v>0</v>
      </c>
      <c r="AO211" s="287">
        <f>Tabla14[[#This Row],[Cajas por Personas2]]</f>
        <v>7.75</v>
      </c>
      <c r="AP211" s="288">
        <f>Tabla14[[#This Row],[Valor Embarque Pesona]]</f>
        <v>11625</v>
      </c>
      <c r="AQ211" s="295">
        <f>Tabla14[[#This Row],[Personas Precorte2]]</f>
        <v>4</v>
      </c>
      <c r="AR211" s="296">
        <f>Tabla14[[#This Row],[Valor Embarque Pesona3]]*Tabla14[[#This Row],[Perzona Primera]]</f>
        <v>46500</v>
      </c>
      <c r="AS211" s="287">
        <f>Tabla14[[#This Row],[Columna2]]</f>
        <v>0</v>
      </c>
      <c r="AT211" s="288">
        <f>Tabla14[[#This Row],[Columna1]]</f>
        <v>0</v>
      </c>
      <c r="AU211" s="302">
        <f>Tabla14[[#This Row],[Personas Intervienen]]</f>
        <v>0</v>
      </c>
      <c r="AV211" s="297">
        <f>Tabla14[[#This Row],[Valor Embarque Pesona5]]*Tabla14[[#This Row],[Presonas Segunda]]</f>
        <v>0</v>
      </c>
      <c r="AW211" s="287">
        <f>Tabla14[[#This Row],[Bolsas Por Personas]]</f>
        <v>4.6749999999999998</v>
      </c>
      <c r="AX211" s="288">
        <f>Tabla14[[#This Row],[Valor bolsas Pesona]]</f>
        <v>2337.5</v>
      </c>
      <c r="AY211" s="309">
        <f>Tabla14[[#This Row],[Personas13]]</f>
        <v>4</v>
      </c>
      <c r="AZ211" s="310">
        <f>Tabla14[[#This Row],[Valor bolsas Pesona2]]*Tabla14[[#This Row],[Personas Rechazo]]</f>
        <v>9350</v>
      </c>
      <c r="BA211" s="311">
        <f>+Tabla14[[#This Row],[Total Valor Segunda]]+Tabla14[[#This Row],[Total Valor Primera]]+Tabla14[[#This Row],[Total Valor Precorte]]</f>
        <v>46500</v>
      </c>
      <c r="BB211" s="292">
        <f>Tabla14[[#This Row],[Valor bolsas Pesona2]]+Tabla14[[#This Row],[Valor Embarque Pesona3]]</f>
        <v>13962.5</v>
      </c>
      <c r="BC211" s="332">
        <v>30000</v>
      </c>
      <c r="BD211" s="292">
        <f>Tabla14[[#This Row],[VALOR GANADO]]-Tabla14[[#This Row],[REAJUSTADO]]</f>
        <v>-16037.5</v>
      </c>
      <c r="BE211" s="250">
        <f>Tabla14[[#This Row],[CUANTO SE REAJUSTA]]*Tabla14[[#This Row],[Personas Rechazo]]</f>
        <v>-64150</v>
      </c>
      <c r="BF211" s="250">
        <f>Tabla14[[#This Row],[REAJUSTADO]]/25000</f>
        <v>1.2</v>
      </c>
      <c r="BG211" s="302">
        <f>Tabla14[[#This Row],[REAJUSTADO]]*Tabla14[[#This Row],[Personas Rechazo]]</f>
        <v>120000</v>
      </c>
      <c r="BH211" s="292" t="str">
        <f>Tabla14[[#This Row],[Finca]]</f>
        <v>Uveros</v>
      </c>
      <c r="BJ211" s="332">
        <f>Tabla14[[#This Row],[Numero de Ocacionales]]*Tabla14[[#This Row],[REAJUSTADO]]</f>
        <v>0</v>
      </c>
      <c r="BK211" s="332"/>
      <c r="BL211" s="332"/>
      <c r="BM211" s="332">
        <f>+Tabla14[[#This Row],[CUANTO SE REAJUSTA]]*3</f>
        <v>-48112.5</v>
      </c>
      <c r="BN211" s="334"/>
      <c r="BO211" s="334"/>
      <c r="BP211" s="334"/>
    </row>
    <row r="212" spans="3:68" hidden="1" x14ac:dyDescent="0.25">
      <c r="C212" s="274">
        <v>44854</v>
      </c>
      <c r="D212" s="507">
        <f>YEAR(Tabla14[[#This Row],[Fecha]])</f>
        <v>2022</v>
      </c>
      <c r="E212" s="313">
        <f>IF(Tabla14[[#This Row],[Fecha]]&gt;0,_xlfn.ISOWEEKNUM(Tabla14[[#This Row],[Fecha]]),0)</f>
        <v>42</v>
      </c>
      <c r="F212" s="283">
        <v>59</v>
      </c>
      <c r="G212" s="275" t="s">
        <v>157</v>
      </c>
      <c r="H212" s="325" t="str">
        <f>_xlfn.XLOOKUP(Tabla14[[#This Row],[Codigo Finca]],Tabla4[Codigo Finca],Tabla4[Nombre Finca],"")</f>
        <v>Pedrito</v>
      </c>
      <c r="I212" s="277">
        <f>_xlfn.XLOOKUP(Tabla14[[#This Row],[Codigo Finca]],Tabla4[Codigo Finca],Tabla4[Precio Caja],0)</f>
        <v>2100</v>
      </c>
      <c r="J212" s="277">
        <f>_xlfn.XLOOKUP(Tabla14[[#This Row],[Codigo Finca]],Tabla4[Codigo Finca],Tabla4[Precio Caja Segunda],0)</f>
        <v>1000</v>
      </c>
      <c r="K212" s="277">
        <f>_xlfn.XLOOKUP(Tabla14[[#This Row],[Codigo Finca]],Tabla4[Codigo Finca],Tabla4[Precio Rechazo],0)</f>
        <v>500</v>
      </c>
      <c r="L212" s="277">
        <f t="shared" ref="L212:L218" si="296">S212+N212</f>
        <v>0</v>
      </c>
      <c r="M212" s="278">
        <f t="shared" ref="M212:M218" si="297">IF(F212&gt;0,L212/F212,0)</f>
        <v>0</v>
      </c>
      <c r="N212" s="283"/>
      <c r="O212" s="279"/>
      <c r="P212" s="280">
        <f t="shared" ref="P212:P218" si="298">IF(N212&gt;0,(N212/M212)/2,0)</f>
        <v>0</v>
      </c>
      <c r="Q212" s="281">
        <f t="shared" ref="Q212:Q218" si="299">IF(O212&gt;0,P212/O212,0)</f>
        <v>0</v>
      </c>
      <c r="R212" s="282">
        <f t="shared" ref="R212:R218" si="300">IF(I212&gt;0,Q212*I212,)</f>
        <v>0</v>
      </c>
      <c r="S212" s="283"/>
      <c r="T212" s="275">
        <v>11</v>
      </c>
      <c r="U212" s="280">
        <f t="shared" ref="U212:U218" si="301">F212-P212</f>
        <v>59</v>
      </c>
      <c r="V212" s="281">
        <f t="shared" ref="V212:V218" si="302">IF(T212&gt;0,U212/T212,0)</f>
        <v>5.3636363636363633</v>
      </c>
      <c r="W212" s="282">
        <f t="shared" ref="W212:W218" si="303">IF(T212&gt;0,(U212*I212)/T212,0)</f>
        <v>11263.636363636364</v>
      </c>
      <c r="X212" s="283"/>
      <c r="Y212" s="275"/>
      <c r="Z212" s="280">
        <f>Tabla14[[#This Row],[Cajas Segunda]]</f>
        <v>0</v>
      </c>
      <c r="AA212" s="281">
        <f t="shared" ref="AA212:AA218" si="304">IF(Y212&gt;0,Z212/Y212,0)</f>
        <v>0</v>
      </c>
      <c r="AB212" s="284">
        <f t="shared" ref="AB212:AB218" si="305">IF(Y212&gt;0,(Z212*J212)/Y212,0)</f>
        <v>0</v>
      </c>
      <c r="AC212" s="285"/>
      <c r="AD212" s="286">
        <v>1050</v>
      </c>
      <c r="AE212" s="286"/>
      <c r="AF212" s="286"/>
      <c r="AG212" s="286">
        <v>11</v>
      </c>
      <c r="AH212" s="280">
        <f t="shared" ref="AH212:AH218" si="306">IF(AND(AC212&gt;0,AE212=0,AF212=0,AD212=0),AC212,IF(AND(AC212=0,AE212&gt;0,AF212&gt;0,AD212=0),AE212*AF212/25,IF(AND(AC212=0,AE212=0,AF212=0,AD212&gt;0),AD212/25,0)))</f>
        <v>42</v>
      </c>
      <c r="AI212" s="281">
        <f t="shared" ref="AI212:AI218" si="307">IF(AG212&gt;0,AH212/AG212,0)</f>
        <v>3.8181818181818183</v>
      </c>
      <c r="AJ212" s="282">
        <f t="shared" ref="AJ212:AJ218" si="308">AI212*K212</f>
        <v>1909.0909090909092</v>
      </c>
      <c r="AK212" s="287">
        <f>Tabla14[[#This Row],[Cajas por Personas]]</f>
        <v>0</v>
      </c>
      <c r="AL212" s="288">
        <f>Tabla14[[#This Row],[Valor Precorte Pesona]]</f>
        <v>0</v>
      </c>
      <c r="AM212" s="294">
        <f>Tabla14[[#This Row],[Personas Precorte]]</f>
        <v>0</v>
      </c>
      <c r="AN212" s="308">
        <f>Tabla14[[#This Row],[Valor Precorte Pesona Precorte]]*Tabla14[[#This Row],[Perzonas Precorte]]</f>
        <v>0</v>
      </c>
      <c r="AO212" s="287">
        <f>Tabla14[[#This Row],[Cajas por Personas2]]</f>
        <v>5.3636363636363633</v>
      </c>
      <c r="AP212" s="288">
        <f>Tabla14[[#This Row],[Valor Embarque Pesona]]</f>
        <v>11263.636363636364</v>
      </c>
      <c r="AQ212" s="295">
        <f>Tabla14[[#This Row],[Personas Precorte2]]</f>
        <v>11</v>
      </c>
      <c r="AR212" s="296">
        <f>Tabla14[[#This Row],[Valor Embarque Pesona3]]*Tabla14[[#This Row],[Perzona Primera]]</f>
        <v>123900</v>
      </c>
      <c r="AS212" s="287">
        <f>Tabla14[[#This Row],[Columna2]]</f>
        <v>0</v>
      </c>
      <c r="AT212" s="288">
        <f>Tabla14[[#This Row],[Columna1]]</f>
        <v>0</v>
      </c>
      <c r="AU212" s="302">
        <f>Tabla14[[#This Row],[Personas Intervienen]]</f>
        <v>0</v>
      </c>
      <c r="AV212" s="297">
        <f>Tabla14[[#This Row],[Valor Embarque Pesona5]]*Tabla14[[#This Row],[Presonas Segunda]]</f>
        <v>0</v>
      </c>
      <c r="AW212" s="287">
        <f>Tabla14[[#This Row],[Bolsas Por Personas]]</f>
        <v>3.8181818181818183</v>
      </c>
      <c r="AX212" s="288">
        <f>Tabla14[[#This Row],[Valor bolsas Pesona]]</f>
        <v>1909.0909090909092</v>
      </c>
      <c r="AY212" s="309">
        <f>Tabla14[[#This Row],[Personas13]]</f>
        <v>11</v>
      </c>
      <c r="AZ212" s="310">
        <f>Tabla14[[#This Row],[Valor bolsas Pesona2]]*Tabla14[[#This Row],[Personas Rechazo]]</f>
        <v>21000</v>
      </c>
      <c r="BA212" s="311">
        <f>+Tabla14[[#This Row],[Total Valor Segunda]]+Tabla14[[#This Row],[Total Valor Primera]]+Tabla14[[#This Row],[Total Valor Precorte]]</f>
        <v>123900</v>
      </c>
      <c r="BB212" s="292">
        <f>Tabla14[[#This Row],[Valor bolsas Pesona2]]+Tabla14[[#This Row],[Valor Embarque Pesona3]]</f>
        <v>13172.727272727274</v>
      </c>
      <c r="BC212" s="332">
        <v>30000</v>
      </c>
      <c r="BD212" s="292">
        <f>Tabla14[[#This Row],[VALOR GANADO]]-Tabla14[[#This Row],[REAJUSTADO]]</f>
        <v>-16827.272727272728</v>
      </c>
      <c r="BE212" s="250">
        <f>Tabla14[[#This Row],[CUANTO SE REAJUSTA]]*Tabla14[[#This Row],[Personas Rechazo]]</f>
        <v>-185100</v>
      </c>
      <c r="BF212" s="250">
        <f>Tabla14[[#This Row],[REAJUSTADO]]/25000</f>
        <v>1.2</v>
      </c>
      <c r="BG212" s="302">
        <f>Tabla14[[#This Row],[REAJUSTADO]]*Tabla14[[#This Row],[Personas Rechazo]]</f>
        <v>330000</v>
      </c>
      <c r="BH212" s="292" t="str">
        <f>Tabla14[[#This Row],[Finca]]</f>
        <v>Pedrito</v>
      </c>
      <c r="BJ212" s="332">
        <f>Tabla14[[#This Row],[Numero de Ocacionales]]*Tabla14[[#This Row],[REAJUSTADO]]</f>
        <v>0</v>
      </c>
      <c r="BK212" s="332"/>
      <c r="BL212" s="332"/>
      <c r="BM212" s="332">
        <f>+Tabla14[[#This Row],[CUANTO SE REAJUSTA]]*3</f>
        <v>-50481.818181818184</v>
      </c>
      <c r="BN212" s="334"/>
      <c r="BO212" s="334"/>
      <c r="BP212" s="334"/>
    </row>
    <row r="213" spans="3:68" hidden="1" x14ac:dyDescent="0.25">
      <c r="C213" s="274">
        <v>44858</v>
      </c>
      <c r="D213" s="507">
        <f>YEAR(Tabla14[[#This Row],[Fecha]])</f>
        <v>2022</v>
      </c>
      <c r="E213" s="313">
        <f>IF(Tabla14[[#This Row],[Fecha]]&gt;0,_xlfn.ISOWEEKNUM(Tabla14[[#This Row],[Fecha]]),0)</f>
        <v>43</v>
      </c>
      <c r="F213" s="283">
        <v>100</v>
      </c>
      <c r="G213" s="275" t="s">
        <v>211</v>
      </c>
      <c r="H213" s="325" t="str">
        <f>_xlfn.XLOOKUP(Tabla14[[#This Row],[Codigo Finca]],Tabla4[Codigo Finca],Tabla4[Nombre Finca],"")</f>
        <v>San Pedro</v>
      </c>
      <c r="I213" s="277">
        <f>_xlfn.XLOOKUP(Tabla14[[#This Row],[Codigo Finca]],Tabla4[Codigo Finca],Tabla4[Precio Caja],0)</f>
        <v>1600</v>
      </c>
      <c r="J213" s="277">
        <f>_xlfn.XLOOKUP(Tabla14[[#This Row],[Codigo Finca]],Tabla4[Codigo Finca],Tabla4[Precio Caja Segunda],0)</f>
        <v>1000</v>
      </c>
      <c r="K213" s="277">
        <f>_xlfn.XLOOKUP(Tabla14[[#This Row],[Codigo Finca]],Tabla4[Codigo Finca],Tabla4[Precio Rechazo],0)</f>
        <v>500</v>
      </c>
      <c r="L213" s="277">
        <f t="shared" si="296"/>
        <v>350</v>
      </c>
      <c r="M213" s="278">
        <f t="shared" si="297"/>
        <v>3.5</v>
      </c>
      <c r="N213" s="283"/>
      <c r="O213" s="279"/>
      <c r="P213" s="280">
        <f t="shared" si="298"/>
        <v>0</v>
      </c>
      <c r="Q213" s="281">
        <f t="shared" si="299"/>
        <v>0</v>
      </c>
      <c r="R213" s="282">
        <f t="shared" si="300"/>
        <v>0</v>
      </c>
      <c r="S213" s="283">
        <v>350</v>
      </c>
      <c r="T213" s="275">
        <v>6</v>
      </c>
      <c r="U213" s="280">
        <f t="shared" si="301"/>
        <v>100</v>
      </c>
      <c r="V213" s="281">
        <f t="shared" si="302"/>
        <v>16.666666666666668</v>
      </c>
      <c r="W213" s="282">
        <f t="shared" si="303"/>
        <v>26666.666666666668</v>
      </c>
      <c r="X213" s="283">
        <v>9</v>
      </c>
      <c r="Y213" s="275">
        <v>6</v>
      </c>
      <c r="Z213" s="280">
        <f>Tabla14[[#This Row],[Cajas Segunda]]</f>
        <v>9</v>
      </c>
      <c r="AA213" s="281">
        <f t="shared" si="304"/>
        <v>1.5</v>
      </c>
      <c r="AB213" s="284">
        <f t="shared" si="305"/>
        <v>1500</v>
      </c>
      <c r="AC213" s="285"/>
      <c r="AD213" s="286">
        <v>528.5</v>
      </c>
      <c r="AE213" s="286"/>
      <c r="AF213" s="286"/>
      <c r="AG213" s="286">
        <v>6</v>
      </c>
      <c r="AH213" s="280">
        <f t="shared" si="306"/>
        <v>21.14</v>
      </c>
      <c r="AI213" s="281">
        <f t="shared" si="307"/>
        <v>3.5233333333333334</v>
      </c>
      <c r="AJ213" s="282">
        <f t="shared" si="308"/>
        <v>1761.6666666666667</v>
      </c>
      <c r="AK213" s="287">
        <f>Tabla14[[#This Row],[Cajas por Personas]]</f>
        <v>0</v>
      </c>
      <c r="AL213" s="288">
        <f>Tabla14[[#This Row],[Valor Precorte Pesona]]</f>
        <v>0</v>
      </c>
      <c r="AM213" s="294">
        <f>Tabla14[[#This Row],[Personas Precorte]]</f>
        <v>0</v>
      </c>
      <c r="AN213" s="308">
        <f>Tabla14[[#This Row],[Valor Precorte Pesona Precorte]]*Tabla14[[#This Row],[Perzonas Precorte]]</f>
        <v>0</v>
      </c>
      <c r="AO213" s="287">
        <f>Tabla14[[#This Row],[Cajas por Personas2]]</f>
        <v>16.666666666666668</v>
      </c>
      <c r="AP213" s="288">
        <f>Tabla14[[#This Row],[Valor Embarque Pesona]]</f>
        <v>26666.666666666668</v>
      </c>
      <c r="AQ213" s="295">
        <f>Tabla14[[#This Row],[Personas Precorte2]]</f>
        <v>6</v>
      </c>
      <c r="AR213" s="296">
        <f>Tabla14[[#This Row],[Valor Embarque Pesona3]]*Tabla14[[#This Row],[Perzona Primera]]</f>
        <v>160000</v>
      </c>
      <c r="AS213" s="287">
        <f>Tabla14[[#This Row],[Columna2]]</f>
        <v>1.5</v>
      </c>
      <c r="AT213" s="288">
        <f>Tabla14[[#This Row],[Columna1]]</f>
        <v>1500</v>
      </c>
      <c r="AU213" s="302">
        <f>Tabla14[[#This Row],[Personas Intervienen]]</f>
        <v>6</v>
      </c>
      <c r="AV213" s="297">
        <f>Tabla14[[#This Row],[Valor Embarque Pesona5]]*Tabla14[[#This Row],[Presonas Segunda]]</f>
        <v>9000</v>
      </c>
      <c r="AW213" s="287">
        <f>Tabla14[[#This Row],[Bolsas Por Personas]]</f>
        <v>3.5233333333333334</v>
      </c>
      <c r="AX213" s="288">
        <f>Tabla14[[#This Row],[Valor bolsas Pesona]]</f>
        <v>1761.6666666666667</v>
      </c>
      <c r="AY213" s="309">
        <f>Tabla14[[#This Row],[Personas13]]</f>
        <v>6</v>
      </c>
      <c r="AZ213" s="310">
        <f>Tabla14[[#This Row],[Valor bolsas Pesona2]]*Tabla14[[#This Row],[Personas Rechazo]]</f>
        <v>10570</v>
      </c>
      <c r="BA213" s="311">
        <f>+Tabla14[[#This Row],[Total Valor Segunda]]+Tabla14[[#This Row],[Total Valor Primera]]+Tabla14[[#This Row],[Total Valor Precorte]]</f>
        <v>169000</v>
      </c>
      <c r="BB213" s="292">
        <f>Tabla14[[#This Row],[Valor bolsas Pesona2]]+Tabla14[[#This Row],[Valor Embarque Pesona3]]</f>
        <v>28428.333333333336</v>
      </c>
      <c r="BC213" s="332">
        <v>30000</v>
      </c>
      <c r="BD213" s="292">
        <f>Tabla14[[#This Row],[VALOR GANADO]]-Tabla14[[#This Row],[REAJUSTADO]]</f>
        <v>-1571.6666666666642</v>
      </c>
      <c r="BE213" s="250">
        <f>Tabla14[[#This Row],[CUANTO SE REAJUSTA]]*Tabla14[[#This Row],[Personas Rechazo]]</f>
        <v>-9429.9999999999854</v>
      </c>
      <c r="BF213" s="250">
        <f>Tabla14[[#This Row],[REAJUSTADO]]/25000</f>
        <v>1.2</v>
      </c>
      <c r="BG213" s="302">
        <f>Tabla14[[#This Row],[REAJUSTADO]]*Tabla14[[#This Row],[Personas Rechazo]]</f>
        <v>180000</v>
      </c>
      <c r="BH213" s="292" t="str">
        <f>Tabla14[[#This Row],[Finca]]</f>
        <v>San Pedro</v>
      </c>
      <c r="BJ213" s="332">
        <f>Tabla14[[#This Row],[Numero de Ocacionales]]*Tabla14[[#This Row],[REAJUSTADO]]</f>
        <v>0</v>
      </c>
      <c r="BK213" s="332"/>
      <c r="BL213" s="332"/>
      <c r="BM213" s="332">
        <f>+Tabla14[[#This Row],[CUANTO SE REAJUSTA]]*3</f>
        <v>-4714.9999999999927</v>
      </c>
      <c r="BN213" s="334"/>
      <c r="BO213" s="334"/>
      <c r="BP213" s="334"/>
    </row>
    <row r="214" spans="3:68" hidden="1" x14ac:dyDescent="0.25">
      <c r="C214" s="274">
        <v>44859</v>
      </c>
      <c r="D214" s="507">
        <f>YEAR(Tabla14[[#This Row],[Fecha]])</f>
        <v>2022</v>
      </c>
      <c r="E214" s="313">
        <f>IF(Tabla14[[#This Row],[Fecha]]&gt;0,_xlfn.ISOWEEKNUM(Tabla14[[#This Row],[Fecha]]),0)</f>
        <v>43</v>
      </c>
      <c r="F214" s="283">
        <v>266</v>
      </c>
      <c r="G214" s="275" t="s">
        <v>211</v>
      </c>
      <c r="H214" s="325" t="str">
        <f>_xlfn.XLOOKUP(Tabla14[[#This Row],[Codigo Finca]],Tabla4[Codigo Finca],Tabla4[Nombre Finca],"")</f>
        <v>San Pedro</v>
      </c>
      <c r="I214" s="277">
        <f>_xlfn.XLOOKUP(Tabla14[[#This Row],[Codigo Finca]],Tabla4[Codigo Finca],Tabla4[Precio Caja],0)</f>
        <v>1600</v>
      </c>
      <c r="J214" s="277">
        <f>_xlfn.XLOOKUP(Tabla14[[#This Row],[Codigo Finca]],Tabla4[Codigo Finca],Tabla4[Precio Caja Segunda],0)</f>
        <v>1000</v>
      </c>
      <c r="K214" s="277">
        <f>_xlfn.XLOOKUP(Tabla14[[#This Row],[Codigo Finca]],Tabla4[Codigo Finca],Tabla4[Precio Rechazo],0)</f>
        <v>500</v>
      </c>
      <c r="L214" s="277">
        <f t="shared" si="296"/>
        <v>917</v>
      </c>
      <c r="M214" s="278">
        <f t="shared" si="297"/>
        <v>3.4473684210526314</v>
      </c>
      <c r="N214" s="283"/>
      <c r="O214" s="279"/>
      <c r="P214" s="280">
        <f t="shared" si="298"/>
        <v>0</v>
      </c>
      <c r="Q214" s="281">
        <f t="shared" si="299"/>
        <v>0</v>
      </c>
      <c r="R214" s="282">
        <f t="shared" si="300"/>
        <v>0</v>
      </c>
      <c r="S214" s="283">
        <v>917</v>
      </c>
      <c r="T214" s="275">
        <v>10</v>
      </c>
      <c r="U214" s="280">
        <f t="shared" si="301"/>
        <v>266</v>
      </c>
      <c r="V214" s="281">
        <f t="shared" si="302"/>
        <v>26.6</v>
      </c>
      <c r="W214" s="282">
        <f t="shared" si="303"/>
        <v>42560</v>
      </c>
      <c r="X214" s="283">
        <v>13</v>
      </c>
      <c r="Y214" s="275">
        <v>10</v>
      </c>
      <c r="Z214" s="280">
        <f>Tabla14[[#This Row],[Cajas Segunda]]</f>
        <v>13</v>
      </c>
      <c r="AA214" s="281">
        <f t="shared" si="304"/>
        <v>1.3</v>
      </c>
      <c r="AB214" s="284">
        <f t="shared" si="305"/>
        <v>1300</v>
      </c>
      <c r="AC214" s="285"/>
      <c r="AD214" s="286">
        <v>1384.67</v>
      </c>
      <c r="AE214" s="286"/>
      <c r="AF214" s="286"/>
      <c r="AG214" s="286">
        <v>10</v>
      </c>
      <c r="AH214" s="280">
        <f t="shared" si="306"/>
        <v>55.386800000000001</v>
      </c>
      <c r="AI214" s="281">
        <f t="shared" si="307"/>
        <v>5.5386800000000003</v>
      </c>
      <c r="AJ214" s="282">
        <f t="shared" si="308"/>
        <v>2769.34</v>
      </c>
      <c r="AK214" s="287">
        <f>Tabla14[[#This Row],[Cajas por Personas]]</f>
        <v>0</v>
      </c>
      <c r="AL214" s="288">
        <f>Tabla14[[#This Row],[Valor Precorte Pesona]]</f>
        <v>0</v>
      </c>
      <c r="AM214" s="294">
        <f>Tabla14[[#This Row],[Personas Precorte]]</f>
        <v>0</v>
      </c>
      <c r="AN214" s="308">
        <f>Tabla14[[#This Row],[Valor Precorte Pesona Precorte]]*Tabla14[[#This Row],[Perzonas Precorte]]</f>
        <v>0</v>
      </c>
      <c r="AO214" s="287">
        <f>Tabla14[[#This Row],[Cajas por Personas2]]</f>
        <v>26.6</v>
      </c>
      <c r="AP214" s="288">
        <f>Tabla14[[#This Row],[Valor Embarque Pesona]]</f>
        <v>42560</v>
      </c>
      <c r="AQ214" s="295">
        <f>Tabla14[[#This Row],[Personas Precorte2]]</f>
        <v>10</v>
      </c>
      <c r="AR214" s="296">
        <f>Tabla14[[#This Row],[Valor Embarque Pesona3]]*Tabla14[[#This Row],[Perzona Primera]]</f>
        <v>425600</v>
      </c>
      <c r="AS214" s="287">
        <f>Tabla14[[#This Row],[Columna2]]</f>
        <v>1.3</v>
      </c>
      <c r="AT214" s="288">
        <f>Tabla14[[#This Row],[Columna1]]</f>
        <v>1300</v>
      </c>
      <c r="AU214" s="302">
        <f>Tabla14[[#This Row],[Personas Intervienen]]</f>
        <v>10</v>
      </c>
      <c r="AV214" s="297">
        <f>Tabla14[[#This Row],[Valor Embarque Pesona5]]*Tabla14[[#This Row],[Presonas Segunda]]</f>
        <v>13000</v>
      </c>
      <c r="AW214" s="287">
        <f>Tabla14[[#This Row],[Bolsas Por Personas]]</f>
        <v>5.5386800000000003</v>
      </c>
      <c r="AX214" s="288">
        <f>Tabla14[[#This Row],[Valor bolsas Pesona]]</f>
        <v>2769.34</v>
      </c>
      <c r="AY214" s="309">
        <f>Tabla14[[#This Row],[Personas13]]</f>
        <v>10</v>
      </c>
      <c r="AZ214" s="310">
        <f>Tabla14[[#This Row],[Valor bolsas Pesona2]]*Tabla14[[#This Row],[Personas Rechazo]]</f>
        <v>27693.4</v>
      </c>
      <c r="BA214" s="311">
        <f>+Tabla14[[#This Row],[Total Valor Segunda]]+Tabla14[[#This Row],[Total Valor Primera]]+Tabla14[[#This Row],[Total Valor Precorte]]</f>
        <v>438600</v>
      </c>
      <c r="BB214" s="292">
        <f>Tabla14[[#This Row],[Valor bolsas Pesona2]]+Tabla14[[#This Row],[Valor Embarque Pesona3]]</f>
        <v>45329.34</v>
      </c>
      <c r="BC214" s="332">
        <v>45500</v>
      </c>
      <c r="BD214" s="292">
        <f>Tabla14[[#This Row],[VALOR GANADO]]-Tabla14[[#This Row],[REAJUSTADO]]</f>
        <v>-170.66000000000349</v>
      </c>
      <c r="BE214" s="250">
        <f>Tabla14[[#This Row],[CUANTO SE REAJUSTA]]*Tabla14[[#This Row],[Personas Rechazo]]</f>
        <v>-1706.6000000000349</v>
      </c>
      <c r="BF214" s="250">
        <f>Tabla14[[#This Row],[REAJUSTADO]]/25000</f>
        <v>1.82</v>
      </c>
      <c r="BG214" s="302">
        <f>Tabla14[[#This Row],[REAJUSTADO]]*Tabla14[[#This Row],[Personas Rechazo]]</f>
        <v>455000</v>
      </c>
      <c r="BH214" s="292" t="str">
        <f>Tabla14[[#This Row],[Finca]]</f>
        <v>San Pedro</v>
      </c>
      <c r="BI214" s="250">
        <v>1</v>
      </c>
      <c r="BJ214" s="332">
        <f>Tabla14[[#This Row],[Numero de Ocacionales]]*Tabla14[[#This Row],[REAJUSTADO]]</f>
        <v>45500</v>
      </c>
      <c r="BK214" s="332"/>
      <c r="BL214" s="332"/>
      <c r="BM214" s="332">
        <f>+Tabla14[[#This Row],[CUANTO SE REAJUSTA]]*3</f>
        <v>-511.98000000001048</v>
      </c>
    </row>
    <row r="215" spans="3:68" hidden="1" x14ac:dyDescent="0.25">
      <c r="C215" s="274">
        <v>44860</v>
      </c>
      <c r="D215" s="507">
        <f>YEAR(Tabla14[[#This Row],[Fecha]])</f>
        <v>2022</v>
      </c>
      <c r="E215" s="313">
        <f>IF(Tabla14[[#This Row],[Fecha]]&gt;0,_xlfn.ISOWEEKNUM(Tabla14[[#This Row],[Fecha]]),0)</f>
        <v>43</v>
      </c>
      <c r="F215" s="283">
        <v>30</v>
      </c>
      <c r="G215" s="275" t="s">
        <v>209</v>
      </c>
      <c r="H215" s="325" t="str">
        <f>_xlfn.XLOOKUP(Tabla14[[#This Row],[Codigo Finca]],Tabla4[Codigo Finca],Tabla4[Nombre Finca],"")</f>
        <v>San Pedro</v>
      </c>
      <c r="I215" s="277">
        <f>_xlfn.XLOOKUP(Tabla14[[#This Row],[Codigo Finca]],Tabla4[Codigo Finca],Tabla4[Precio Caja],0)</f>
        <v>1800</v>
      </c>
      <c r="J215" s="277">
        <f>_xlfn.XLOOKUP(Tabla14[[#This Row],[Codigo Finca]],Tabla4[Codigo Finca],Tabla4[Precio Caja Segunda],0)</f>
        <v>1000</v>
      </c>
      <c r="K215" s="277">
        <f>_xlfn.XLOOKUP(Tabla14[[#This Row],[Codigo Finca]],Tabla4[Codigo Finca],Tabla4[Precio Rechazo],0)</f>
        <v>600</v>
      </c>
      <c r="L215" s="277">
        <f t="shared" si="296"/>
        <v>0</v>
      </c>
      <c r="M215" s="278">
        <f t="shared" si="297"/>
        <v>0</v>
      </c>
      <c r="N215" s="283"/>
      <c r="O215" s="279"/>
      <c r="P215" s="280">
        <f t="shared" si="298"/>
        <v>0</v>
      </c>
      <c r="Q215" s="281">
        <f t="shared" si="299"/>
        <v>0</v>
      </c>
      <c r="R215" s="282">
        <f t="shared" si="300"/>
        <v>0</v>
      </c>
      <c r="S215" s="283"/>
      <c r="T215" s="275">
        <v>4</v>
      </c>
      <c r="U215" s="280">
        <f t="shared" si="301"/>
        <v>30</v>
      </c>
      <c r="V215" s="281">
        <f t="shared" si="302"/>
        <v>7.5</v>
      </c>
      <c r="W215" s="282">
        <f t="shared" si="303"/>
        <v>13500</v>
      </c>
      <c r="X215" s="283"/>
      <c r="Y215" s="275"/>
      <c r="Z215" s="280">
        <f>Tabla14[[#This Row],[Cajas Segunda]]</f>
        <v>0</v>
      </c>
      <c r="AA215" s="281">
        <f t="shared" si="304"/>
        <v>0</v>
      </c>
      <c r="AB215" s="284">
        <f t="shared" si="305"/>
        <v>0</v>
      </c>
      <c r="AC215" s="285"/>
      <c r="AD215" s="286">
        <v>629.66999999999996</v>
      </c>
      <c r="AE215" s="286"/>
      <c r="AF215" s="286"/>
      <c r="AG215" s="286">
        <v>4</v>
      </c>
      <c r="AH215" s="280">
        <f t="shared" si="306"/>
        <v>25.186799999999998</v>
      </c>
      <c r="AI215" s="281">
        <f t="shared" si="307"/>
        <v>6.2966999999999995</v>
      </c>
      <c r="AJ215" s="282">
        <f t="shared" si="308"/>
        <v>3778.0199999999995</v>
      </c>
      <c r="AK215" s="287">
        <f>Tabla14[[#This Row],[Cajas por Personas]]</f>
        <v>0</v>
      </c>
      <c r="AL215" s="288">
        <f>Tabla14[[#This Row],[Valor Precorte Pesona]]</f>
        <v>0</v>
      </c>
      <c r="AM215" s="294">
        <f>Tabla14[[#This Row],[Personas Precorte]]</f>
        <v>0</v>
      </c>
      <c r="AN215" s="308">
        <f>Tabla14[[#This Row],[Valor Precorte Pesona Precorte]]*Tabla14[[#This Row],[Perzonas Precorte]]</f>
        <v>0</v>
      </c>
      <c r="AO215" s="287">
        <f>Tabla14[[#This Row],[Cajas por Personas2]]</f>
        <v>7.5</v>
      </c>
      <c r="AP215" s="288">
        <f>Tabla14[[#This Row],[Valor Embarque Pesona]]</f>
        <v>13500</v>
      </c>
      <c r="AQ215" s="295">
        <f>Tabla14[[#This Row],[Personas Precorte2]]</f>
        <v>4</v>
      </c>
      <c r="AR215" s="296">
        <f>Tabla14[[#This Row],[Valor Embarque Pesona3]]*Tabla14[[#This Row],[Perzona Primera]]</f>
        <v>54000</v>
      </c>
      <c r="AS215" s="287">
        <f>Tabla14[[#This Row],[Columna2]]</f>
        <v>0</v>
      </c>
      <c r="AT215" s="288">
        <f>Tabla14[[#This Row],[Columna1]]</f>
        <v>0</v>
      </c>
      <c r="AU215" s="302">
        <f>Tabla14[[#This Row],[Personas Intervienen]]</f>
        <v>0</v>
      </c>
      <c r="AV215" s="297">
        <f>Tabla14[[#This Row],[Valor Embarque Pesona5]]*Tabla14[[#This Row],[Presonas Segunda]]</f>
        <v>0</v>
      </c>
      <c r="AW215" s="287">
        <f>Tabla14[[#This Row],[Bolsas Por Personas]]</f>
        <v>6.2966999999999995</v>
      </c>
      <c r="AX215" s="288">
        <f>Tabla14[[#This Row],[Valor bolsas Pesona]]</f>
        <v>3778.0199999999995</v>
      </c>
      <c r="AY215" s="309">
        <f>Tabla14[[#This Row],[Personas13]]</f>
        <v>4</v>
      </c>
      <c r="AZ215" s="310">
        <f>Tabla14[[#This Row],[Valor bolsas Pesona2]]*Tabla14[[#This Row],[Personas Rechazo]]</f>
        <v>15112.079999999998</v>
      </c>
      <c r="BA215" s="311">
        <f>+Tabla14[[#This Row],[Total Valor Segunda]]+Tabla14[[#This Row],[Total Valor Primera]]+Tabla14[[#This Row],[Total Valor Precorte]]</f>
        <v>54000</v>
      </c>
      <c r="BB215" s="408">
        <f>Tabla14[[#This Row],[Valor bolsas Pesona2]]+Tabla14[[#This Row],[Valor Embarque Pesona3]]</f>
        <v>17278.02</v>
      </c>
      <c r="BC215" s="407">
        <v>53500</v>
      </c>
      <c r="BD215" s="408">
        <f>Tabla14[[#This Row],[VALOR GANADO]]-Tabla14[[#This Row],[REAJUSTADO]]</f>
        <v>-36221.979999999996</v>
      </c>
      <c r="BE215" s="250">
        <f>Tabla14[[#This Row],[CUANTO SE REAJUSTA]]*Tabla14[[#This Row],[Personas Rechazo]]</f>
        <v>-144887.91999999998</v>
      </c>
      <c r="BF215" s="250">
        <f>Tabla14[[#This Row],[REAJUSTADO]]/25000</f>
        <v>2.14</v>
      </c>
      <c r="BG215" s="302">
        <f>Tabla14[[#This Row],[REAJUSTADO]]*Tabla14[[#This Row],[Personas Rechazo]]</f>
        <v>214000</v>
      </c>
      <c r="BH215" s="292" t="str">
        <f>Tabla14[[#This Row],[Finca]]</f>
        <v>San Pedro</v>
      </c>
      <c r="BJ215" s="332">
        <f>Tabla14[[#This Row],[Numero de Ocacionales]]*Tabla14[[#This Row],[REAJUSTADO]]</f>
        <v>0</v>
      </c>
      <c r="BK215" s="332"/>
      <c r="BL215" s="332"/>
      <c r="BM215" s="332">
        <f>+Tabla14[[#This Row],[CUANTO SE REAJUSTA]]*3</f>
        <v>-108665.93999999999</v>
      </c>
    </row>
    <row r="216" spans="3:68" hidden="1" x14ac:dyDescent="0.25">
      <c r="C216" s="274">
        <v>44860</v>
      </c>
      <c r="D216" s="507">
        <f>YEAR(Tabla14[[#This Row],[Fecha]])</f>
        <v>2022</v>
      </c>
      <c r="E216" s="313">
        <f>IF(Tabla14[[#This Row],[Fecha]]&gt;0,_xlfn.ISOWEEKNUM(Tabla14[[#This Row],[Fecha]]),0)</f>
        <v>43</v>
      </c>
      <c r="F216" s="283">
        <v>90</v>
      </c>
      <c r="G216" s="275" t="s">
        <v>211</v>
      </c>
      <c r="H216" s="325" t="str">
        <f>_xlfn.XLOOKUP(Tabla14[[#This Row],[Codigo Finca]],Tabla4[Codigo Finca],Tabla4[Nombre Finca],"")</f>
        <v>San Pedro</v>
      </c>
      <c r="I216" s="277">
        <f>_xlfn.XLOOKUP(Tabla14[[#This Row],[Codigo Finca]],Tabla4[Codigo Finca],Tabla4[Precio Caja],0)</f>
        <v>1600</v>
      </c>
      <c r="J216" s="277">
        <f>_xlfn.XLOOKUP(Tabla14[[#This Row],[Codigo Finca]],Tabla4[Codigo Finca],Tabla4[Precio Caja Segunda],0)</f>
        <v>1000</v>
      </c>
      <c r="K216" s="277">
        <f>_xlfn.XLOOKUP(Tabla14[[#This Row],[Codigo Finca]],Tabla4[Codigo Finca],Tabla4[Precio Rechazo],0)</f>
        <v>500</v>
      </c>
      <c r="L216" s="277">
        <f t="shared" si="296"/>
        <v>417</v>
      </c>
      <c r="M216" s="278">
        <f t="shared" si="297"/>
        <v>4.6333333333333337</v>
      </c>
      <c r="N216" s="283"/>
      <c r="O216" s="279"/>
      <c r="P216" s="280">
        <f t="shared" si="298"/>
        <v>0</v>
      </c>
      <c r="Q216" s="281">
        <f t="shared" si="299"/>
        <v>0</v>
      </c>
      <c r="R216" s="282">
        <f t="shared" si="300"/>
        <v>0</v>
      </c>
      <c r="S216" s="283">
        <v>417</v>
      </c>
      <c r="T216" s="275">
        <v>4</v>
      </c>
      <c r="U216" s="280">
        <f t="shared" si="301"/>
        <v>90</v>
      </c>
      <c r="V216" s="281">
        <f t="shared" si="302"/>
        <v>22.5</v>
      </c>
      <c r="W216" s="282">
        <f t="shared" si="303"/>
        <v>36000</v>
      </c>
      <c r="X216" s="283"/>
      <c r="Y216" s="275"/>
      <c r="Z216" s="280">
        <f>Tabla14[[#This Row],[Cajas Segunda]]</f>
        <v>0</v>
      </c>
      <c r="AA216" s="281">
        <f t="shared" si="304"/>
        <v>0</v>
      </c>
      <c r="AB216" s="284">
        <f t="shared" si="305"/>
        <v>0</v>
      </c>
      <c r="AC216" s="285"/>
      <c r="AD216" s="286"/>
      <c r="AE216" s="286"/>
      <c r="AF216" s="286"/>
      <c r="AG216" s="286">
        <v>4</v>
      </c>
      <c r="AH216" s="280">
        <f t="shared" si="306"/>
        <v>0</v>
      </c>
      <c r="AI216" s="281">
        <f t="shared" si="307"/>
        <v>0</v>
      </c>
      <c r="AJ216" s="282">
        <f t="shared" si="308"/>
        <v>0</v>
      </c>
      <c r="AK216" s="287">
        <f>Tabla14[[#This Row],[Cajas por Personas]]</f>
        <v>0</v>
      </c>
      <c r="AL216" s="288">
        <f>Tabla14[[#This Row],[Valor Precorte Pesona]]</f>
        <v>0</v>
      </c>
      <c r="AM216" s="294">
        <f>Tabla14[[#This Row],[Personas Precorte]]</f>
        <v>0</v>
      </c>
      <c r="AN216" s="308">
        <f>Tabla14[[#This Row],[Valor Precorte Pesona Precorte]]*Tabla14[[#This Row],[Perzonas Precorte]]</f>
        <v>0</v>
      </c>
      <c r="AO216" s="287">
        <f>Tabla14[[#This Row],[Cajas por Personas2]]</f>
        <v>22.5</v>
      </c>
      <c r="AP216" s="288">
        <f>Tabla14[[#This Row],[Valor Embarque Pesona]]</f>
        <v>36000</v>
      </c>
      <c r="AQ216" s="295">
        <f>Tabla14[[#This Row],[Personas Precorte2]]</f>
        <v>4</v>
      </c>
      <c r="AR216" s="296">
        <f>Tabla14[[#This Row],[Valor Embarque Pesona3]]*Tabla14[[#This Row],[Perzona Primera]]</f>
        <v>144000</v>
      </c>
      <c r="AS216" s="287">
        <f>Tabla14[[#This Row],[Columna2]]</f>
        <v>0</v>
      </c>
      <c r="AT216" s="288">
        <f>Tabla14[[#This Row],[Columna1]]</f>
        <v>0</v>
      </c>
      <c r="AU216" s="302">
        <f>Tabla14[[#This Row],[Personas Intervienen]]</f>
        <v>0</v>
      </c>
      <c r="AV216" s="297">
        <f>Tabla14[[#This Row],[Valor Embarque Pesona5]]*Tabla14[[#This Row],[Presonas Segunda]]</f>
        <v>0</v>
      </c>
      <c r="AW216" s="287">
        <f>Tabla14[[#This Row],[Bolsas Por Personas]]</f>
        <v>0</v>
      </c>
      <c r="AX216" s="288">
        <f>Tabla14[[#This Row],[Valor bolsas Pesona]]</f>
        <v>0</v>
      </c>
      <c r="AY216" s="309">
        <f>Tabla14[[#This Row],[Personas13]]</f>
        <v>4</v>
      </c>
      <c r="AZ216" s="310">
        <f>Tabla14[[#This Row],[Valor bolsas Pesona2]]*Tabla14[[#This Row],[Personas Rechazo]]</f>
        <v>0</v>
      </c>
      <c r="BA216" s="311">
        <f>+Tabla14[[#This Row],[Total Valor Segunda]]+Tabla14[[#This Row],[Total Valor Primera]]+Tabla14[[#This Row],[Total Valor Precorte]]</f>
        <v>144000</v>
      </c>
      <c r="BB216" s="408">
        <f>Tabla14[[#This Row],[Valor bolsas Pesona2]]+Tabla14[[#This Row],[Valor Embarque Pesona3]]</f>
        <v>36000</v>
      </c>
      <c r="BC216" s="407"/>
      <c r="BD216" s="408">
        <f>Tabla14[[#This Row],[VALOR GANADO]]-Tabla14[[#This Row],[REAJUSTADO]]</f>
        <v>36000</v>
      </c>
      <c r="BE216" s="250">
        <f>Tabla14[[#This Row],[CUANTO SE REAJUSTA]]*Tabla14[[#This Row],[Personas Rechazo]]</f>
        <v>144000</v>
      </c>
      <c r="BF216" s="250">
        <f>Tabla14[[#This Row],[REAJUSTADO]]/25000</f>
        <v>0</v>
      </c>
      <c r="BG216" s="302">
        <f>Tabla14[[#This Row],[REAJUSTADO]]*Tabla14[[#This Row],[Personas Rechazo]]</f>
        <v>0</v>
      </c>
      <c r="BH216" s="292" t="str">
        <f>Tabla14[[#This Row],[Finca]]</f>
        <v>San Pedro</v>
      </c>
      <c r="BJ216" s="332">
        <f>Tabla14[[#This Row],[Numero de Ocacionales]]*Tabla14[[#This Row],[REAJUSTADO]]</f>
        <v>0</v>
      </c>
      <c r="BK216" s="332"/>
      <c r="BL216" s="332"/>
      <c r="BM216" s="332">
        <f>+Tabla14[[#This Row],[CUANTO SE REAJUSTA]]*3</f>
        <v>108000</v>
      </c>
    </row>
    <row r="217" spans="3:68" hidden="1" x14ac:dyDescent="0.25">
      <c r="C217" s="274">
        <v>44860</v>
      </c>
      <c r="D217" s="507">
        <f>YEAR(Tabla14[[#This Row],[Fecha]])</f>
        <v>2022</v>
      </c>
      <c r="E217" s="313">
        <f>IF(Tabla14[[#This Row],[Fecha]]&gt;0,_xlfn.ISOWEEKNUM(Tabla14[[#This Row],[Fecha]]),0)</f>
        <v>43</v>
      </c>
      <c r="F217" s="283">
        <v>67</v>
      </c>
      <c r="G217" s="275" t="s">
        <v>157</v>
      </c>
      <c r="H217" s="325" t="str">
        <f>_xlfn.XLOOKUP(Tabla14[[#This Row],[Codigo Finca]],Tabla4[Codigo Finca],Tabla4[Nombre Finca],"")</f>
        <v>Pedrito</v>
      </c>
      <c r="I217" s="277">
        <f>_xlfn.XLOOKUP(Tabla14[[#This Row],[Codigo Finca]],Tabla4[Codigo Finca],Tabla4[Precio Caja],0)</f>
        <v>2100</v>
      </c>
      <c r="J217" s="277">
        <f>_xlfn.XLOOKUP(Tabla14[[#This Row],[Codigo Finca]],Tabla4[Codigo Finca],Tabla4[Precio Caja Segunda],0)</f>
        <v>1000</v>
      </c>
      <c r="K217" s="277">
        <f>_xlfn.XLOOKUP(Tabla14[[#This Row],[Codigo Finca]],Tabla4[Codigo Finca],Tabla4[Precio Rechazo],0)</f>
        <v>500</v>
      </c>
      <c r="L217" s="277">
        <f t="shared" si="296"/>
        <v>618</v>
      </c>
      <c r="M217" s="278">
        <f t="shared" si="297"/>
        <v>9.2238805970149258</v>
      </c>
      <c r="N217" s="283"/>
      <c r="O217" s="279"/>
      <c r="P217" s="280">
        <f t="shared" si="298"/>
        <v>0</v>
      </c>
      <c r="Q217" s="281">
        <f t="shared" si="299"/>
        <v>0</v>
      </c>
      <c r="R217" s="282">
        <f t="shared" si="300"/>
        <v>0</v>
      </c>
      <c r="S217" s="283">
        <v>618</v>
      </c>
      <c r="T217" s="275">
        <v>9</v>
      </c>
      <c r="U217" s="280">
        <f t="shared" si="301"/>
        <v>67</v>
      </c>
      <c r="V217" s="281">
        <f t="shared" si="302"/>
        <v>7.4444444444444446</v>
      </c>
      <c r="W217" s="282">
        <f t="shared" si="303"/>
        <v>15633.333333333334</v>
      </c>
      <c r="X217" s="283">
        <v>15</v>
      </c>
      <c r="Y217" s="275">
        <v>9</v>
      </c>
      <c r="Z217" s="280">
        <f>Tabla14[[#This Row],[Cajas Segunda]]</f>
        <v>15</v>
      </c>
      <c r="AA217" s="281">
        <f t="shared" si="304"/>
        <v>1.6666666666666667</v>
      </c>
      <c r="AB217" s="284">
        <f t="shared" si="305"/>
        <v>1666.6666666666667</v>
      </c>
      <c r="AC217" s="285"/>
      <c r="AD217" s="286">
        <v>1604</v>
      </c>
      <c r="AE217" s="286"/>
      <c r="AF217" s="286"/>
      <c r="AG217" s="286">
        <v>9</v>
      </c>
      <c r="AH217" s="280">
        <f t="shared" si="306"/>
        <v>64.16</v>
      </c>
      <c r="AI217" s="281">
        <f t="shared" si="307"/>
        <v>7.1288888888888886</v>
      </c>
      <c r="AJ217" s="282">
        <f t="shared" si="308"/>
        <v>3564.4444444444443</v>
      </c>
      <c r="AK217" s="287">
        <f>Tabla14[[#This Row],[Cajas por Personas]]</f>
        <v>0</v>
      </c>
      <c r="AL217" s="288">
        <f>Tabla14[[#This Row],[Valor Precorte Pesona]]</f>
        <v>0</v>
      </c>
      <c r="AM217" s="294">
        <f>Tabla14[[#This Row],[Personas Precorte]]</f>
        <v>0</v>
      </c>
      <c r="AN217" s="308">
        <f>Tabla14[[#This Row],[Valor Precorte Pesona Precorte]]*Tabla14[[#This Row],[Perzonas Precorte]]</f>
        <v>0</v>
      </c>
      <c r="AO217" s="287">
        <f>Tabla14[[#This Row],[Cajas por Personas2]]</f>
        <v>7.4444444444444446</v>
      </c>
      <c r="AP217" s="288">
        <f>Tabla14[[#This Row],[Valor Embarque Pesona]]</f>
        <v>15633.333333333334</v>
      </c>
      <c r="AQ217" s="295">
        <f>Tabla14[[#This Row],[Personas Precorte2]]</f>
        <v>9</v>
      </c>
      <c r="AR217" s="296">
        <f>Tabla14[[#This Row],[Valor Embarque Pesona3]]*Tabla14[[#This Row],[Perzona Primera]]</f>
        <v>140700</v>
      </c>
      <c r="AS217" s="287">
        <f>Tabla14[[#This Row],[Columna2]]</f>
        <v>1.6666666666666667</v>
      </c>
      <c r="AT217" s="288">
        <f>Tabla14[[#This Row],[Columna1]]</f>
        <v>1666.6666666666667</v>
      </c>
      <c r="AU217" s="302">
        <f>Tabla14[[#This Row],[Personas Intervienen]]</f>
        <v>9</v>
      </c>
      <c r="AV217" s="297">
        <f>Tabla14[[#This Row],[Valor Embarque Pesona5]]*Tabla14[[#This Row],[Presonas Segunda]]</f>
        <v>15000</v>
      </c>
      <c r="AW217" s="287">
        <f>Tabla14[[#This Row],[Bolsas Por Personas]]</f>
        <v>7.1288888888888886</v>
      </c>
      <c r="AX217" s="288">
        <f>Tabla14[[#This Row],[Valor bolsas Pesona]]</f>
        <v>3564.4444444444443</v>
      </c>
      <c r="AY217" s="309">
        <f>Tabla14[[#This Row],[Personas13]]</f>
        <v>9</v>
      </c>
      <c r="AZ217" s="310">
        <f>Tabla14[[#This Row],[Valor bolsas Pesona2]]*Tabla14[[#This Row],[Personas Rechazo]]</f>
        <v>32080</v>
      </c>
      <c r="BA217" s="311">
        <f>+Tabla14[[#This Row],[Total Valor Segunda]]+Tabla14[[#This Row],[Total Valor Primera]]+Tabla14[[#This Row],[Total Valor Precorte]]</f>
        <v>155700</v>
      </c>
      <c r="BB217" s="292">
        <f>Tabla14[[#This Row],[Valor bolsas Pesona2]]+Tabla14[[#This Row],[Valor Embarque Pesona3]]</f>
        <v>19197.777777777777</v>
      </c>
      <c r="BC217" s="332">
        <v>30000</v>
      </c>
      <c r="BD217" s="292">
        <f>Tabla14[[#This Row],[VALOR GANADO]]-Tabla14[[#This Row],[REAJUSTADO]]</f>
        <v>-10802.222222222223</v>
      </c>
      <c r="BE217" s="250">
        <f>Tabla14[[#This Row],[CUANTO SE REAJUSTA]]*Tabla14[[#This Row],[Personas Rechazo]]</f>
        <v>-97220</v>
      </c>
      <c r="BF217" s="250">
        <f>Tabla14[[#This Row],[REAJUSTADO]]/25000</f>
        <v>1.2</v>
      </c>
      <c r="BG217" s="302">
        <f>Tabla14[[#This Row],[REAJUSTADO]]*Tabla14[[#This Row],[Personas Rechazo]]</f>
        <v>270000</v>
      </c>
      <c r="BH217" s="292" t="str">
        <f>Tabla14[[#This Row],[Finca]]</f>
        <v>Pedrito</v>
      </c>
      <c r="BJ217" s="332">
        <f>Tabla14[[#This Row],[Numero de Ocacionales]]*Tabla14[[#This Row],[REAJUSTADO]]</f>
        <v>0</v>
      </c>
      <c r="BK217" s="332"/>
      <c r="BL217" s="332"/>
      <c r="BM217" s="332">
        <f>+Tabla14[[#This Row],[CUANTO SE REAJUSTA]]*3</f>
        <v>-32406.666666666668</v>
      </c>
    </row>
    <row r="218" spans="3:68" hidden="1" x14ac:dyDescent="0.25">
      <c r="C218" s="274">
        <v>44860</v>
      </c>
      <c r="D218" s="507">
        <f>YEAR(Tabla14[[#This Row],[Fecha]])</f>
        <v>2022</v>
      </c>
      <c r="E218" s="313">
        <f>IF(Tabla14[[#This Row],[Fecha]]&gt;0,_xlfn.ISOWEEKNUM(Tabla14[[#This Row],[Fecha]]),0)</f>
        <v>43</v>
      </c>
      <c r="F218" s="283">
        <v>39</v>
      </c>
      <c r="G218" s="275" t="s">
        <v>153</v>
      </c>
      <c r="H218" s="325" t="str">
        <f>_xlfn.XLOOKUP(Tabla14[[#This Row],[Codigo Finca]],Tabla4[Codigo Finca],Tabla4[Nombre Finca],"")</f>
        <v>Uveros</v>
      </c>
      <c r="I218" s="277">
        <f>_xlfn.XLOOKUP(Tabla14[[#This Row],[Codigo Finca]],Tabla4[Codigo Finca],Tabla4[Precio Caja],0)</f>
        <v>1500</v>
      </c>
      <c r="J218" s="277">
        <f>_xlfn.XLOOKUP(Tabla14[[#This Row],[Codigo Finca]],Tabla4[Codigo Finca],Tabla4[Precio Caja Segunda],0)</f>
        <v>1000</v>
      </c>
      <c r="K218" s="277">
        <f>_xlfn.XLOOKUP(Tabla14[[#This Row],[Codigo Finca]],Tabla4[Codigo Finca],Tabla4[Precio Rechazo],0)</f>
        <v>500</v>
      </c>
      <c r="L218" s="277">
        <f t="shared" si="296"/>
        <v>424</v>
      </c>
      <c r="M218" s="278">
        <f t="shared" si="297"/>
        <v>10.871794871794872</v>
      </c>
      <c r="N218" s="283"/>
      <c r="O218" s="279"/>
      <c r="P218" s="280">
        <f t="shared" si="298"/>
        <v>0</v>
      </c>
      <c r="Q218" s="281">
        <f t="shared" si="299"/>
        <v>0</v>
      </c>
      <c r="R218" s="282">
        <f t="shared" si="300"/>
        <v>0</v>
      </c>
      <c r="S218" s="283">
        <v>424</v>
      </c>
      <c r="T218" s="275">
        <v>6</v>
      </c>
      <c r="U218" s="280">
        <f t="shared" si="301"/>
        <v>39</v>
      </c>
      <c r="V218" s="281">
        <f t="shared" si="302"/>
        <v>6.5</v>
      </c>
      <c r="W218" s="282">
        <f t="shared" si="303"/>
        <v>9750</v>
      </c>
      <c r="X218" s="283"/>
      <c r="Y218" s="275"/>
      <c r="Z218" s="280">
        <f>Tabla14[[#This Row],[Cajas Segunda]]</f>
        <v>0</v>
      </c>
      <c r="AA218" s="281">
        <f t="shared" si="304"/>
        <v>0</v>
      </c>
      <c r="AB218" s="284">
        <f t="shared" si="305"/>
        <v>0</v>
      </c>
      <c r="AC218" s="285"/>
      <c r="AD218" s="286">
        <v>1078</v>
      </c>
      <c r="AE218" s="286"/>
      <c r="AF218" s="286"/>
      <c r="AG218" s="286">
        <v>6</v>
      </c>
      <c r="AH218" s="280">
        <f t="shared" si="306"/>
        <v>43.12</v>
      </c>
      <c r="AI218" s="281">
        <f t="shared" si="307"/>
        <v>7.1866666666666665</v>
      </c>
      <c r="AJ218" s="282">
        <f t="shared" si="308"/>
        <v>3593.3333333333335</v>
      </c>
      <c r="AK218" s="287">
        <f>Tabla14[[#This Row],[Cajas por Personas]]</f>
        <v>0</v>
      </c>
      <c r="AL218" s="288">
        <f>Tabla14[[#This Row],[Valor Precorte Pesona]]</f>
        <v>0</v>
      </c>
      <c r="AM218" s="294">
        <f>Tabla14[[#This Row],[Personas Precorte]]</f>
        <v>0</v>
      </c>
      <c r="AN218" s="308">
        <f>Tabla14[[#This Row],[Valor Precorte Pesona Precorte]]*Tabla14[[#This Row],[Perzonas Precorte]]</f>
        <v>0</v>
      </c>
      <c r="AO218" s="287">
        <f>Tabla14[[#This Row],[Cajas por Personas2]]</f>
        <v>6.5</v>
      </c>
      <c r="AP218" s="288">
        <f>Tabla14[[#This Row],[Valor Embarque Pesona]]</f>
        <v>9750</v>
      </c>
      <c r="AQ218" s="295">
        <f>Tabla14[[#This Row],[Personas Precorte2]]</f>
        <v>6</v>
      </c>
      <c r="AR218" s="296">
        <f>Tabla14[[#This Row],[Valor Embarque Pesona3]]*Tabla14[[#This Row],[Perzona Primera]]</f>
        <v>58500</v>
      </c>
      <c r="AS218" s="287">
        <f>Tabla14[[#This Row],[Columna2]]</f>
        <v>0</v>
      </c>
      <c r="AT218" s="288">
        <f>Tabla14[[#This Row],[Columna1]]</f>
        <v>0</v>
      </c>
      <c r="AU218" s="302">
        <f>Tabla14[[#This Row],[Personas Intervienen]]</f>
        <v>0</v>
      </c>
      <c r="AV218" s="297">
        <f>Tabla14[[#This Row],[Valor Embarque Pesona5]]*Tabla14[[#This Row],[Presonas Segunda]]</f>
        <v>0</v>
      </c>
      <c r="AW218" s="287">
        <f>Tabla14[[#This Row],[Bolsas Por Personas]]</f>
        <v>7.1866666666666665</v>
      </c>
      <c r="AX218" s="288">
        <f>Tabla14[[#This Row],[Valor bolsas Pesona]]</f>
        <v>3593.3333333333335</v>
      </c>
      <c r="AY218" s="309">
        <f>Tabla14[[#This Row],[Personas13]]</f>
        <v>6</v>
      </c>
      <c r="AZ218" s="310">
        <f>Tabla14[[#This Row],[Valor bolsas Pesona2]]*Tabla14[[#This Row],[Personas Rechazo]]</f>
        <v>21560</v>
      </c>
      <c r="BA218" s="311">
        <f>+Tabla14[[#This Row],[Total Valor Segunda]]+Tabla14[[#This Row],[Total Valor Primera]]+Tabla14[[#This Row],[Total Valor Precorte]]</f>
        <v>58500</v>
      </c>
      <c r="BB218" s="292">
        <f>Tabla14[[#This Row],[Valor bolsas Pesona2]]+Tabla14[[#This Row],[Valor Embarque Pesona3]]</f>
        <v>13343.333333333334</v>
      </c>
      <c r="BC218" s="332">
        <v>30000</v>
      </c>
      <c r="BD218" s="292">
        <f>Tabla14[[#This Row],[VALOR GANADO]]-Tabla14[[#This Row],[REAJUSTADO]]</f>
        <v>-16656.666666666664</v>
      </c>
      <c r="BE218" s="250">
        <f>Tabla14[[#This Row],[CUANTO SE REAJUSTA]]*Tabla14[[#This Row],[Personas Rechazo]]</f>
        <v>-99939.999999999985</v>
      </c>
      <c r="BF218" s="250">
        <f>Tabla14[[#This Row],[REAJUSTADO]]/25000</f>
        <v>1.2</v>
      </c>
      <c r="BG218" s="302">
        <f>Tabla14[[#This Row],[REAJUSTADO]]*Tabla14[[#This Row],[Personas Rechazo]]</f>
        <v>180000</v>
      </c>
      <c r="BH218" s="292" t="str">
        <f>Tabla14[[#This Row],[Finca]]</f>
        <v>Uveros</v>
      </c>
      <c r="BJ218" s="332">
        <f>Tabla14[[#This Row],[Numero de Ocacionales]]*Tabla14[[#This Row],[REAJUSTADO]]</f>
        <v>0</v>
      </c>
      <c r="BK218" s="332"/>
      <c r="BL218" s="332"/>
      <c r="BM218" s="332">
        <f>+Tabla14[[#This Row],[CUANTO SE REAJUSTA]]*3</f>
        <v>-49969.999999999993</v>
      </c>
    </row>
    <row r="219" spans="3:68" hidden="1" x14ac:dyDescent="0.25">
      <c r="C219" s="274">
        <v>44865</v>
      </c>
      <c r="D219" s="507">
        <f>YEAR(Tabla14[[#This Row],[Fecha]])</f>
        <v>2022</v>
      </c>
      <c r="E219" s="313">
        <f>IF(Tabla14[[#This Row],[Fecha]]&gt;0,_xlfn.ISOWEEKNUM(Tabla14[[#This Row],[Fecha]]),0)</f>
        <v>44</v>
      </c>
      <c r="F219" s="283">
        <v>100</v>
      </c>
      <c r="G219" s="275" t="s">
        <v>211</v>
      </c>
      <c r="H219" s="325" t="str">
        <f>_xlfn.XLOOKUP(Tabla14[[#This Row],[Codigo Finca]],Tabla4[Codigo Finca],Tabla4[Nombre Finca],"")</f>
        <v>San Pedro</v>
      </c>
      <c r="I219" s="277">
        <f>_xlfn.XLOOKUP(Tabla14[[#This Row],[Codigo Finca]],Tabla4[Codigo Finca],Tabla4[Precio Caja],0)</f>
        <v>1600</v>
      </c>
      <c r="J219" s="277">
        <f>_xlfn.XLOOKUP(Tabla14[[#This Row],[Codigo Finca]],Tabla4[Codigo Finca],Tabla4[Precio Caja Segunda],0)</f>
        <v>1000</v>
      </c>
      <c r="K219" s="277">
        <f>_xlfn.XLOOKUP(Tabla14[[#This Row],[Codigo Finca]],Tabla4[Codigo Finca],Tabla4[Precio Rechazo],0)</f>
        <v>500</v>
      </c>
      <c r="L219" s="277">
        <f t="shared" ref="L219:L224" si="309">S219+N219</f>
        <v>0</v>
      </c>
      <c r="M219" s="278">
        <f t="shared" ref="M219:M224" si="310">IF(F219&gt;0,L219/F219,0)</f>
        <v>0</v>
      </c>
      <c r="N219" s="283"/>
      <c r="O219" s="279"/>
      <c r="P219" s="280">
        <f t="shared" ref="P219:P224" si="311">IF(N219&gt;0,(N219/M219)/2,0)</f>
        <v>0</v>
      </c>
      <c r="Q219" s="281">
        <f t="shared" ref="Q219:Q224" si="312">IF(O219&gt;0,P219/O219,0)</f>
        <v>0</v>
      </c>
      <c r="R219" s="282">
        <f t="shared" ref="R219:R224" si="313">IF(I219&gt;0,Q219*I219,)</f>
        <v>0</v>
      </c>
      <c r="S219" s="283"/>
      <c r="T219" s="275">
        <v>5</v>
      </c>
      <c r="U219" s="280">
        <f t="shared" ref="U219:U224" si="314">F219-P219</f>
        <v>100</v>
      </c>
      <c r="V219" s="281">
        <f t="shared" ref="V219:V224" si="315">IF(T219&gt;0,U219/T219,0)</f>
        <v>20</v>
      </c>
      <c r="W219" s="282">
        <f t="shared" ref="W219:W224" si="316">IF(T219&gt;0,(U219*I219)/T219,0)</f>
        <v>32000</v>
      </c>
      <c r="X219" s="283"/>
      <c r="Y219" s="275"/>
      <c r="Z219" s="280">
        <f>Tabla14[[#This Row],[Cajas Segunda]]</f>
        <v>0</v>
      </c>
      <c r="AA219" s="281">
        <f t="shared" ref="AA219:AA224" si="317">IF(Y219&gt;0,Z219/Y219,0)</f>
        <v>0</v>
      </c>
      <c r="AB219" s="284">
        <f t="shared" ref="AB219:AB224" si="318">IF(Y219&gt;0,(Z219*J219)/Y219,0)</f>
        <v>0</v>
      </c>
      <c r="AC219" s="285"/>
      <c r="AD219" s="286">
        <v>411</v>
      </c>
      <c r="AE219" s="286"/>
      <c r="AF219" s="286"/>
      <c r="AG219" s="286">
        <v>5</v>
      </c>
      <c r="AH219" s="280">
        <f t="shared" ref="AH219:AH224" si="319">IF(AND(AC219&gt;0,AE219=0,AF219=0,AD219=0),AC219,IF(AND(AC219=0,AE219&gt;0,AF219&gt;0,AD219=0),AE219*AF219/25,IF(AND(AC219=0,AE219=0,AF219=0,AD219&gt;0),AD219/25,0)))</f>
        <v>16.440000000000001</v>
      </c>
      <c r="AI219" s="281">
        <f t="shared" ref="AI219:AI224" si="320">IF(AG219&gt;0,AH219/AG219,0)</f>
        <v>3.2880000000000003</v>
      </c>
      <c r="AJ219" s="282">
        <f t="shared" ref="AJ219:AJ224" si="321">AI219*K219</f>
        <v>1644.0000000000002</v>
      </c>
      <c r="AK219" s="287">
        <f>Tabla14[[#This Row],[Cajas por Personas]]</f>
        <v>0</v>
      </c>
      <c r="AL219" s="288">
        <f>Tabla14[[#This Row],[Valor Precorte Pesona]]</f>
        <v>0</v>
      </c>
      <c r="AM219" s="294">
        <f>Tabla14[[#This Row],[Personas Precorte]]</f>
        <v>0</v>
      </c>
      <c r="AN219" s="308">
        <f>Tabla14[[#This Row],[Valor Precorte Pesona Precorte]]*Tabla14[[#This Row],[Perzonas Precorte]]</f>
        <v>0</v>
      </c>
      <c r="AO219" s="287">
        <f>Tabla14[[#This Row],[Cajas por Personas2]]</f>
        <v>20</v>
      </c>
      <c r="AP219" s="288">
        <f>Tabla14[[#This Row],[Valor Embarque Pesona]]</f>
        <v>32000</v>
      </c>
      <c r="AQ219" s="295">
        <f>Tabla14[[#This Row],[Personas Precorte2]]</f>
        <v>5</v>
      </c>
      <c r="AR219" s="296">
        <f>Tabla14[[#This Row],[Valor Embarque Pesona3]]*Tabla14[[#This Row],[Perzona Primera]]</f>
        <v>160000</v>
      </c>
      <c r="AS219" s="287">
        <f>Tabla14[[#This Row],[Columna2]]</f>
        <v>0</v>
      </c>
      <c r="AT219" s="288">
        <f>Tabla14[[#This Row],[Columna1]]</f>
        <v>0</v>
      </c>
      <c r="AU219" s="302">
        <f>Tabla14[[#This Row],[Personas Intervienen]]</f>
        <v>0</v>
      </c>
      <c r="AV219" s="297">
        <f>Tabla14[[#This Row],[Valor Embarque Pesona5]]*Tabla14[[#This Row],[Presonas Segunda]]</f>
        <v>0</v>
      </c>
      <c r="AW219" s="287">
        <f>Tabla14[[#This Row],[Bolsas Por Personas]]</f>
        <v>3.2880000000000003</v>
      </c>
      <c r="AX219" s="288">
        <f>Tabla14[[#This Row],[Valor bolsas Pesona]]</f>
        <v>1644.0000000000002</v>
      </c>
      <c r="AY219" s="309">
        <f>Tabla14[[#This Row],[Personas13]]</f>
        <v>5</v>
      </c>
      <c r="AZ219" s="310">
        <f>Tabla14[[#This Row],[Valor bolsas Pesona2]]*Tabla14[[#This Row],[Personas Rechazo]]</f>
        <v>8220.0000000000018</v>
      </c>
      <c r="BA219" s="311">
        <f>+Tabla14[[#This Row],[Total Valor Segunda]]+Tabla14[[#This Row],[Total Valor Primera]]+Tabla14[[#This Row],[Total Valor Precorte]]</f>
        <v>160000</v>
      </c>
      <c r="BB219" s="292">
        <f>Tabla14[[#This Row],[Valor bolsas Pesona2]]+Tabla14[[#This Row],[Valor Embarque Pesona3]]</f>
        <v>33644</v>
      </c>
      <c r="BC219" s="332">
        <v>34000</v>
      </c>
      <c r="BD219" s="292">
        <f>Tabla14[[#This Row],[VALOR GANADO]]-Tabla14[[#This Row],[REAJUSTADO]]</f>
        <v>-356</v>
      </c>
      <c r="BE219" s="250">
        <f>Tabla14[[#This Row],[CUANTO SE REAJUSTA]]*Tabla14[[#This Row],[Personas Rechazo]]</f>
        <v>-1780</v>
      </c>
      <c r="BF219" s="250">
        <f>Tabla14[[#This Row],[REAJUSTADO]]/25000</f>
        <v>1.36</v>
      </c>
      <c r="BG219" s="302">
        <f>Tabla14[[#This Row],[REAJUSTADO]]*Tabla14[[#This Row],[Personas Rechazo]]</f>
        <v>170000</v>
      </c>
      <c r="BH219" s="292" t="str">
        <f>Tabla14[[#This Row],[Finca]]</f>
        <v>San Pedro</v>
      </c>
      <c r="BJ219" s="332">
        <f>Tabla14[[#This Row],[Numero de Ocacionales]]*Tabla14[[#This Row],[REAJUSTADO]]</f>
        <v>0</v>
      </c>
      <c r="BK219" s="332"/>
      <c r="BL219" s="332"/>
      <c r="BM219" s="332">
        <f>+Tabla14[[#This Row],[CUANTO SE REAJUSTA]]*3</f>
        <v>-1068</v>
      </c>
    </row>
    <row r="220" spans="3:68" hidden="1" x14ac:dyDescent="0.25">
      <c r="C220" s="274">
        <v>44866</v>
      </c>
      <c r="D220" s="507">
        <f>YEAR(Tabla14[[#This Row],[Fecha]])</f>
        <v>2022</v>
      </c>
      <c r="E220" s="313">
        <f>IF(Tabla14[[#This Row],[Fecha]]&gt;0,_xlfn.ISOWEEKNUM(Tabla14[[#This Row],[Fecha]]),0)</f>
        <v>44</v>
      </c>
      <c r="F220" s="283">
        <f>120+101</f>
        <v>221</v>
      </c>
      <c r="G220" s="275" t="s">
        <v>211</v>
      </c>
      <c r="H220" s="325" t="str">
        <f>_xlfn.XLOOKUP(Tabla14[[#This Row],[Codigo Finca]],Tabla4[Codigo Finca],Tabla4[Nombre Finca],"")</f>
        <v>San Pedro</v>
      </c>
      <c r="I220" s="277">
        <f>_xlfn.XLOOKUP(Tabla14[[#This Row],[Codigo Finca]],Tabla4[Codigo Finca],Tabla4[Precio Caja],0)</f>
        <v>1600</v>
      </c>
      <c r="J220" s="277">
        <f>_xlfn.XLOOKUP(Tabla14[[#This Row],[Codigo Finca]],Tabla4[Codigo Finca],Tabla4[Precio Caja Segunda],0)</f>
        <v>1000</v>
      </c>
      <c r="K220" s="277">
        <f>_xlfn.XLOOKUP(Tabla14[[#This Row],[Codigo Finca]],Tabla4[Codigo Finca],Tabla4[Precio Rechazo],0)</f>
        <v>500</v>
      </c>
      <c r="L220" s="277">
        <f t="shared" si="309"/>
        <v>0</v>
      </c>
      <c r="M220" s="278">
        <f t="shared" si="310"/>
        <v>0</v>
      </c>
      <c r="N220" s="283"/>
      <c r="O220" s="279"/>
      <c r="P220" s="280">
        <f t="shared" si="311"/>
        <v>0</v>
      </c>
      <c r="Q220" s="281">
        <f t="shared" si="312"/>
        <v>0</v>
      </c>
      <c r="R220" s="282">
        <f t="shared" si="313"/>
        <v>0</v>
      </c>
      <c r="S220" s="283"/>
      <c r="T220" s="275">
        <v>10</v>
      </c>
      <c r="U220" s="280">
        <f t="shared" si="314"/>
        <v>221</v>
      </c>
      <c r="V220" s="281">
        <f t="shared" si="315"/>
        <v>22.1</v>
      </c>
      <c r="W220" s="282">
        <f t="shared" si="316"/>
        <v>35360</v>
      </c>
      <c r="X220" s="283"/>
      <c r="Y220" s="275"/>
      <c r="Z220" s="280">
        <f>Tabla14[[#This Row],[Cajas Segunda]]</f>
        <v>0</v>
      </c>
      <c r="AA220" s="281">
        <f t="shared" si="317"/>
        <v>0</v>
      </c>
      <c r="AB220" s="284">
        <f t="shared" si="318"/>
        <v>0</v>
      </c>
      <c r="AC220" s="285"/>
      <c r="AD220" s="286">
        <v>908.31</v>
      </c>
      <c r="AE220" s="286"/>
      <c r="AF220" s="286"/>
      <c r="AG220" s="286">
        <v>10</v>
      </c>
      <c r="AH220" s="280">
        <f t="shared" si="319"/>
        <v>36.3324</v>
      </c>
      <c r="AI220" s="281">
        <f t="shared" si="320"/>
        <v>3.6332399999999998</v>
      </c>
      <c r="AJ220" s="282">
        <f t="shared" si="321"/>
        <v>1816.62</v>
      </c>
      <c r="AK220" s="287">
        <f>Tabla14[[#This Row],[Cajas por Personas]]</f>
        <v>0</v>
      </c>
      <c r="AL220" s="288">
        <f>Tabla14[[#This Row],[Valor Precorte Pesona]]</f>
        <v>0</v>
      </c>
      <c r="AM220" s="294">
        <f>Tabla14[[#This Row],[Personas Precorte]]</f>
        <v>0</v>
      </c>
      <c r="AN220" s="308">
        <f>Tabla14[[#This Row],[Valor Precorte Pesona Precorte]]*Tabla14[[#This Row],[Perzonas Precorte]]</f>
        <v>0</v>
      </c>
      <c r="AO220" s="287">
        <f>Tabla14[[#This Row],[Cajas por Personas2]]</f>
        <v>22.1</v>
      </c>
      <c r="AP220" s="288">
        <f>Tabla14[[#This Row],[Valor Embarque Pesona]]</f>
        <v>35360</v>
      </c>
      <c r="AQ220" s="295">
        <f>Tabla14[[#This Row],[Personas Precorte2]]</f>
        <v>10</v>
      </c>
      <c r="AR220" s="296">
        <f>Tabla14[[#This Row],[Valor Embarque Pesona3]]*Tabla14[[#This Row],[Perzona Primera]]</f>
        <v>353600</v>
      </c>
      <c r="AS220" s="287">
        <f>Tabla14[[#This Row],[Columna2]]</f>
        <v>0</v>
      </c>
      <c r="AT220" s="288">
        <f>Tabla14[[#This Row],[Columna1]]</f>
        <v>0</v>
      </c>
      <c r="AU220" s="302">
        <f>Tabla14[[#This Row],[Personas Intervienen]]</f>
        <v>0</v>
      </c>
      <c r="AV220" s="297">
        <f>Tabla14[[#This Row],[Valor Embarque Pesona5]]*Tabla14[[#This Row],[Presonas Segunda]]</f>
        <v>0</v>
      </c>
      <c r="AW220" s="287">
        <f>Tabla14[[#This Row],[Bolsas Por Personas]]</f>
        <v>3.6332399999999998</v>
      </c>
      <c r="AX220" s="288">
        <f>Tabla14[[#This Row],[Valor bolsas Pesona]]</f>
        <v>1816.62</v>
      </c>
      <c r="AY220" s="309">
        <f>Tabla14[[#This Row],[Personas13]]</f>
        <v>10</v>
      </c>
      <c r="AZ220" s="310">
        <f>Tabla14[[#This Row],[Valor bolsas Pesona2]]*Tabla14[[#This Row],[Personas Rechazo]]</f>
        <v>18166.199999999997</v>
      </c>
      <c r="BA220" s="311">
        <f>+Tabla14[[#This Row],[Total Valor Segunda]]+Tabla14[[#This Row],[Total Valor Primera]]+Tabla14[[#This Row],[Total Valor Precorte]]</f>
        <v>353600</v>
      </c>
      <c r="BB220" s="408">
        <f>Tabla14[[#This Row],[Valor bolsas Pesona2]]+Tabla14[[#This Row],[Valor Embarque Pesona3]]</f>
        <v>37176.620000000003</v>
      </c>
      <c r="BC220" s="407">
        <v>45000</v>
      </c>
      <c r="BD220" s="408">
        <f>Tabla14[[#This Row],[VALOR GANADO]]-Tabla14[[#This Row],[REAJUSTADO]]</f>
        <v>-7823.3799999999974</v>
      </c>
      <c r="BE220" s="250">
        <f>Tabla14[[#This Row],[CUANTO SE REAJUSTA]]*Tabla14[[#This Row],[Personas Rechazo]]</f>
        <v>-78233.799999999974</v>
      </c>
      <c r="BF220" s="250">
        <f>Tabla14[[#This Row],[REAJUSTADO]]/25000</f>
        <v>1.8</v>
      </c>
      <c r="BG220" s="302">
        <f>Tabla14[[#This Row],[REAJUSTADO]]*Tabla14[[#This Row],[Personas Rechazo]]</f>
        <v>450000</v>
      </c>
      <c r="BH220" s="292" t="str">
        <f>Tabla14[[#This Row],[Finca]]</f>
        <v>San Pedro</v>
      </c>
      <c r="BJ220" s="332">
        <f>Tabla14[[#This Row],[Numero de Ocacionales]]*Tabla14[[#This Row],[REAJUSTADO]]</f>
        <v>0</v>
      </c>
      <c r="BK220" s="332"/>
      <c r="BL220" s="332"/>
      <c r="BM220" s="332">
        <f>+Tabla14[[#This Row],[CUANTO SE REAJUSTA]]*3</f>
        <v>-23470.139999999992</v>
      </c>
    </row>
    <row r="221" spans="3:68" hidden="1" x14ac:dyDescent="0.25">
      <c r="C221" s="274">
        <v>44866</v>
      </c>
      <c r="D221" s="507">
        <f>YEAR(Tabla14[[#This Row],[Fecha]])</f>
        <v>2022</v>
      </c>
      <c r="E221" s="313">
        <f>IF(Tabla14[[#This Row],[Fecha]]&gt;0,_xlfn.ISOWEEKNUM(Tabla14[[#This Row],[Fecha]]),0)</f>
        <v>44</v>
      </c>
      <c r="F221" s="283">
        <v>30</v>
      </c>
      <c r="G221" s="275" t="s">
        <v>209</v>
      </c>
      <c r="H221" s="325" t="str">
        <f>_xlfn.XLOOKUP(Tabla14[[#This Row],[Codigo Finca]],Tabla4[Codigo Finca],Tabla4[Nombre Finca],"")</f>
        <v>San Pedro</v>
      </c>
      <c r="I221" s="277">
        <f>_xlfn.XLOOKUP(Tabla14[[#This Row],[Codigo Finca]],Tabla4[Codigo Finca],Tabla4[Precio Caja],0)</f>
        <v>1800</v>
      </c>
      <c r="J221" s="277">
        <f>_xlfn.XLOOKUP(Tabla14[[#This Row],[Codigo Finca]],Tabla4[Codigo Finca],Tabla4[Precio Caja Segunda],0)</f>
        <v>1000</v>
      </c>
      <c r="K221" s="277">
        <f>_xlfn.XLOOKUP(Tabla14[[#This Row],[Codigo Finca]],Tabla4[Codigo Finca],Tabla4[Precio Rechazo],0)</f>
        <v>600</v>
      </c>
      <c r="L221" s="277">
        <f t="shared" si="309"/>
        <v>0</v>
      </c>
      <c r="M221" s="278">
        <f t="shared" si="310"/>
        <v>0</v>
      </c>
      <c r="N221" s="283"/>
      <c r="O221" s="279"/>
      <c r="P221" s="280">
        <f t="shared" si="311"/>
        <v>0</v>
      </c>
      <c r="Q221" s="281">
        <f t="shared" si="312"/>
        <v>0</v>
      </c>
      <c r="R221" s="282">
        <f t="shared" si="313"/>
        <v>0</v>
      </c>
      <c r="S221" s="283"/>
      <c r="T221" s="275">
        <v>10</v>
      </c>
      <c r="U221" s="280">
        <f t="shared" si="314"/>
        <v>30</v>
      </c>
      <c r="V221" s="281">
        <f t="shared" si="315"/>
        <v>3</v>
      </c>
      <c r="W221" s="282">
        <f t="shared" si="316"/>
        <v>5400</v>
      </c>
      <c r="X221" s="283"/>
      <c r="Y221" s="275"/>
      <c r="Z221" s="280">
        <f>Tabla14[[#This Row],[Cajas Segunda]]</f>
        <v>0</v>
      </c>
      <c r="AA221" s="281">
        <f t="shared" si="317"/>
        <v>0</v>
      </c>
      <c r="AB221" s="284">
        <f t="shared" si="318"/>
        <v>0</v>
      </c>
      <c r="AC221" s="285"/>
      <c r="AD221" s="286">
        <v>123.3</v>
      </c>
      <c r="AE221" s="286"/>
      <c r="AF221" s="286"/>
      <c r="AG221" s="286">
        <v>10</v>
      </c>
      <c r="AH221" s="280">
        <f t="shared" si="319"/>
        <v>4.9319999999999995</v>
      </c>
      <c r="AI221" s="281">
        <f t="shared" si="320"/>
        <v>0.49319999999999997</v>
      </c>
      <c r="AJ221" s="282">
        <f t="shared" si="321"/>
        <v>295.91999999999996</v>
      </c>
      <c r="AK221" s="287">
        <f>Tabla14[[#This Row],[Cajas por Personas]]</f>
        <v>0</v>
      </c>
      <c r="AL221" s="288">
        <f>Tabla14[[#This Row],[Valor Precorte Pesona]]</f>
        <v>0</v>
      </c>
      <c r="AM221" s="294">
        <f>Tabla14[[#This Row],[Personas Precorte]]</f>
        <v>0</v>
      </c>
      <c r="AN221" s="308">
        <f>Tabla14[[#This Row],[Valor Precorte Pesona Precorte]]*Tabla14[[#This Row],[Perzonas Precorte]]</f>
        <v>0</v>
      </c>
      <c r="AO221" s="287">
        <f>Tabla14[[#This Row],[Cajas por Personas2]]</f>
        <v>3</v>
      </c>
      <c r="AP221" s="288">
        <f>Tabla14[[#This Row],[Valor Embarque Pesona]]</f>
        <v>5400</v>
      </c>
      <c r="AQ221" s="295">
        <f>Tabla14[[#This Row],[Personas Precorte2]]</f>
        <v>10</v>
      </c>
      <c r="AR221" s="296">
        <f>Tabla14[[#This Row],[Valor Embarque Pesona3]]*Tabla14[[#This Row],[Perzona Primera]]</f>
        <v>54000</v>
      </c>
      <c r="AS221" s="287">
        <f>Tabla14[[#This Row],[Columna2]]</f>
        <v>0</v>
      </c>
      <c r="AT221" s="288">
        <f>Tabla14[[#This Row],[Columna1]]</f>
        <v>0</v>
      </c>
      <c r="AU221" s="302">
        <f>Tabla14[[#This Row],[Personas Intervienen]]</f>
        <v>0</v>
      </c>
      <c r="AV221" s="297">
        <f>Tabla14[[#This Row],[Valor Embarque Pesona5]]*Tabla14[[#This Row],[Presonas Segunda]]</f>
        <v>0</v>
      </c>
      <c r="AW221" s="287">
        <f>Tabla14[[#This Row],[Bolsas Por Personas]]</f>
        <v>0.49319999999999997</v>
      </c>
      <c r="AX221" s="288">
        <f>Tabla14[[#This Row],[Valor bolsas Pesona]]</f>
        <v>295.91999999999996</v>
      </c>
      <c r="AY221" s="309">
        <f>Tabla14[[#This Row],[Personas13]]</f>
        <v>10</v>
      </c>
      <c r="AZ221" s="310">
        <f>Tabla14[[#This Row],[Valor bolsas Pesona2]]*Tabla14[[#This Row],[Personas Rechazo]]</f>
        <v>2959.2</v>
      </c>
      <c r="BA221" s="311">
        <f>+Tabla14[[#This Row],[Total Valor Segunda]]+Tabla14[[#This Row],[Total Valor Primera]]+Tabla14[[#This Row],[Total Valor Precorte]]</f>
        <v>54000</v>
      </c>
      <c r="BB221" s="408">
        <f>Tabla14[[#This Row],[Valor bolsas Pesona2]]+Tabla14[[#This Row],[Valor Embarque Pesona3]]</f>
        <v>5695.92</v>
      </c>
      <c r="BC221" s="407"/>
      <c r="BD221" s="408">
        <f>Tabla14[[#This Row],[VALOR GANADO]]-Tabla14[[#This Row],[REAJUSTADO]]</f>
        <v>5695.92</v>
      </c>
      <c r="BE221" s="250">
        <f>Tabla14[[#This Row],[CUANTO SE REAJUSTA]]*Tabla14[[#This Row],[Personas Rechazo]]</f>
        <v>56959.199999999997</v>
      </c>
      <c r="BF221" s="250">
        <f>Tabla14[[#This Row],[REAJUSTADO]]/25000</f>
        <v>0</v>
      </c>
      <c r="BG221" s="302">
        <f>Tabla14[[#This Row],[REAJUSTADO]]*Tabla14[[#This Row],[Personas Rechazo]]</f>
        <v>0</v>
      </c>
      <c r="BH221" s="292" t="str">
        <f>Tabla14[[#This Row],[Finca]]</f>
        <v>San Pedro</v>
      </c>
      <c r="BJ221" s="332">
        <f>Tabla14[[#This Row],[Numero de Ocacionales]]*Tabla14[[#This Row],[REAJUSTADO]]</f>
        <v>0</v>
      </c>
      <c r="BK221" s="332"/>
      <c r="BL221" s="332"/>
      <c r="BM221" s="332">
        <f>+Tabla14[[#This Row],[CUANTO SE REAJUSTA]]*3</f>
        <v>17087.760000000002</v>
      </c>
    </row>
    <row r="222" spans="3:68" hidden="1" x14ac:dyDescent="0.25">
      <c r="C222" s="274">
        <v>44866</v>
      </c>
      <c r="D222" s="507">
        <f>YEAR(Tabla14[[#This Row],[Fecha]])</f>
        <v>2022</v>
      </c>
      <c r="E222" s="313">
        <f>IF(Tabla14[[#This Row],[Fecha]]&gt;0,_xlfn.ISOWEEKNUM(Tabla14[[#This Row],[Fecha]]),0)</f>
        <v>44</v>
      </c>
      <c r="F222" s="283">
        <v>36</v>
      </c>
      <c r="G222" s="275" t="s">
        <v>155</v>
      </c>
      <c r="H222" s="325" t="str">
        <f>_xlfn.XLOOKUP(Tabla14[[#This Row],[Codigo Finca]],Tabla4[Codigo Finca],Tabla4[Nombre Finca],"")</f>
        <v>Damaquiel</v>
      </c>
      <c r="I222" s="277">
        <f>_xlfn.XLOOKUP(Tabla14[[#This Row],[Codigo Finca]],Tabla4[Codigo Finca],Tabla4[Precio Caja],0)</f>
        <v>1500</v>
      </c>
      <c r="J222" s="277">
        <f>_xlfn.XLOOKUP(Tabla14[[#This Row],[Codigo Finca]],Tabla4[Codigo Finca],Tabla4[Precio Caja Segunda],0)</f>
        <v>1000</v>
      </c>
      <c r="K222" s="277">
        <f>_xlfn.XLOOKUP(Tabla14[[#This Row],[Codigo Finca]],Tabla4[Codigo Finca],Tabla4[Precio Rechazo],0)</f>
        <v>500</v>
      </c>
      <c r="L222" s="277">
        <f t="shared" si="309"/>
        <v>0</v>
      </c>
      <c r="M222" s="278">
        <f t="shared" si="310"/>
        <v>0</v>
      </c>
      <c r="N222" s="283"/>
      <c r="O222" s="279"/>
      <c r="P222" s="280">
        <f t="shared" si="311"/>
        <v>0</v>
      </c>
      <c r="Q222" s="281">
        <f t="shared" si="312"/>
        <v>0</v>
      </c>
      <c r="R222" s="282">
        <f t="shared" si="313"/>
        <v>0</v>
      </c>
      <c r="S222" s="283"/>
      <c r="T222" s="275">
        <v>6</v>
      </c>
      <c r="U222" s="280">
        <f t="shared" si="314"/>
        <v>36</v>
      </c>
      <c r="V222" s="281">
        <f t="shared" si="315"/>
        <v>6</v>
      </c>
      <c r="W222" s="282">
        <f t="shared" si="316"/>
        <v>9000</v>
      </c>
      <c r="X222" s="283"/>
      <c r="Y222" s="275"/>
      <c r="Z222" s="280">
        <f>Tabla14[[#This Row],[Cajas Segunda]]</f>
        <v>0</v>
      </c>
      <c r="AA222" s="281">
        <f t="shared" si="317"/>
        <v>0</v>
      </c>
      <c r="AB222" s="284">
        <f t="shared" si="318"/>
        <v>0</v>
      </c>
      <c r="AC222" s="285"/>
      <c r="AD222" s="286">
        <v>1047</v>
      </c>
      <c r="AE222" s="286"/>
      <c r="AF222" s="286"/>
      <c r="AG222" s="286">
        <v>6</v>
      </c>
      <c r="AH222" s="280">
        <f t="shared" si="319"/>
        <v>41.88</v>
      </c>
      <c r="AI222" s="281">
        <f t="shared" si="320"/>
        <v>6.98</v>
      </c>
      <c r="AJ222" s="282">
        <f t="shared" si="321"/>
        <v>3490</v>
      </c>
      <c r="AK222" s="287">
        <f>Tabla14[[#This Row],[Cajas por Personas]]</f>
        <v>0</v>
      </c>
      <c r="AL222" s="288">
        <f>Tabla14[[#This Row],[Valor Precorte Pesona]]</f>
        <v>0</v>
      </c>
      <c r="AM222" s="294">
        <f>Tabla14[[#This Row],[Personas Precorte]]</f>
        <v>0</v>
      </c>
      <c r="AN222" s="308">
        <f>Tabla14[[#This Row],[Valor Precorte Pesona Precorte]]*Tabla14[[#This Row],[Perzonas Precorte]]</f>
        <v>0</v>
      </c>
      <c r="AO222" s="287">
        <f>Tabla14[[#This Row],[Cajas por Personas2]]</f>
        <v>6</v>
      </c>
      <c r="AP222" s="288">
        <f>Tabla14[[#This Row],[Valor Embarque Pesona]]</f>
        <v>9000</v>
      </c>
      <c r="AQ222" s="295">
        <f>Tabla14[[#This Row],[Personas Precorte2]]</f>
        <v>6</v>
      </c>
      <c r="AR222" s="296">
        <f>Tabla14[[#This Row],[Valor Embarque Pesona3]]*Tabla14[[#This Row],[Perzona Primera]]</f>
        <v>54000</v>
      </c>
      <c r="AS222" s="287">
        <f>Tabla14[[#This Row],[Columna2]]</f>
        <v>0</v>
      </c>
      <c r="AT222" s="288">
        <f>Tabla14[[#This Row],[Columna1]]</f>
        <v>0</v>
      </c>
      <c r="AU222" s="302">
        <f>Tabla14[[#This Row],[Personas Intervienen]]</f>
        <v>0</v>
      </c>
      <c r="AV222" s="297">
        <f>Tabla14[[#This Row],[Valor Embarque Pesona5]]*Tabla14[[#This Row],[Presonas Segunda]]</f>
        <v>0</v>
      </c>
      <c r="AW222" s="287">
        <f>Tabla14[[#This Row],[Bolsas Por Personas]]</f>
        <v>6.98</v>
      </c>
      <c r="AX222" s="288">
        <f>Tabla14[[#This Row],[Valor bolsas Pesona]]</f>
        <v>3490</v>
      </c>
      <c r="AY222" s="309">
        <f>Tabla14[[#This Row],[Personas13]]</f>
        <v>6</v>
      </c>
      <c r="AZ222" s="310">
        <f>Tabla14[[#This Row],[Valor bolsas Pesona2]]*Tabla14[[#This Row],[Personas Rechazo]]</f>
        <v>20940</v>
      </c>
      <c r="BA222" s="311">
        <f>+Tabla14[[#This Row],[Total Valor Segunda]]+Tabla14[[#This Row],[Total Valor Primera]]+Tabla14[[#This Row],[Total Valor Precorte]]</f>
        <v>54000</v>
      </c>
      <c r="BB222" s="292">
        <f>Tabla14[[#This Row],[Valor bolsas Pesona2]]+Tabla14[[#This Row],[Valor Embarque Pesona3]]</f>
        <v>12490</v>
      </c>
      <c r="BC222" s="332">
        <v>30000</v>
      </c>
      <c r="BD222" s="292">
        <f>Tabla14[[#This Row],[VALOR GANADO]]-Tabla14[[#This Row],[REAJUSTADO]]</f>
        <v>-17510</v>
      </c>
      <c r="BE222" s="250">
        <f>Tabla14[[#This Row],[CUANTO SE REAJUSTA]]*Tabla14[[#This Row],[Personas Rechazo]]</f>
        <v>-105060</v>
      </c>
      <c r="BF222" s="250">
        <f>Tabla14[[#This Row],[REAJUSTADO]]/25000</f>
        <v>1.2</v>
      </c>
      <c r="BG222" s="302">
        <f>Tabla14[[#This Row],[REAJUSTADO]]*Tabla14[[#This Row],[Personas Rechazo]]</f>
        <v>180000</v>
      </c>
      <c r="BH222" s="292" t="str">
        <f>Tabla14[[#This Row],[Finca]]</f>
        <v>Damaquiel</v>
      </c>
      <c r="BJ222" s="332">
        <f>Tabla14[[#This Row],[Numero de Ocacionales]]*Tabla14[[#This Row],[REAJUSTADO]]</f>
        <v>0</v>
      </c>
      <c r="BK222" s="332"/>
      <c r="BL222" s="332"/>
      <c r="BM222" s="332">
        <f>+Tabla14[[#This Row],[CUANTO SE REAJUSTA]]*3</f>
        <v>-52530</v>
      </c>
    </row>
    <row r="223" spans="3:68" hidden="1" x14ac:dyDescent="0.25">
      <c r="C223" s="274">
        <v>44867</v>
      </c>
      <c r="D223" s="507">
        <f>YEAR(Tabla14[[#This Row],[Fecha]])</f>
        <v>2022</v>
      </c>
      <c r="E223" s="313">
        <f>IF(Tabla14[[#This Row],[Fecha]]&gt;0,_xlfn.ISOWEEKNUM(Tabla14[[#This Row],[Fecha]]),0)</f>
        <v>44</v>
      </c>
      <c r="F223" s="283">
        <v>43</v>
      </c>
      <c r="G223" s="275" t="s">
        <v>153</v>
      </c>
      <c r="H223" s="325" t="str">
        <f>_xlfn.XLOOKUP(Tabla14[[#This Row],[Codigo Finca]],Tabla4[Codigo Finca],Tabla4[Nombre Finca],"")</f>
        <v>Uveros</v>
      </c>
      <c r="I223" s="277">
        <f>_xlfn.XLOOKUP(Tabla14[[#This Row],[Codigo Finca]],Tabla4[Codigo Finca],Tabla4[Precio Caja],0)</f>
        <v>1500</v>
      </c>
      <c r="J223" s="277">
        <f>_xlfn.XLOOKUP(Tabla14[[#This Row],[Codigo Finca]],Tabla4[Codigo Finca],Tabla4[Precio Caja Segunda],0)</f>
        <v>1000</v>
      </c>
      <c r="K223" s="277">
        <f>_xlfn.XLOOKUP(Tabla14[[#This Row],[Codigo Finca]],Tabla4[Codigo Finca],Tabla4[Precio Rechazo],0)</f>
        <v>500</v>
      </c>
      <c r="L223" s="277">
        <f t="shared" si="309"/>
        <v>317</v>
      </c>
      <c r="M223" s="278">
        <f t="shared" si="310"/>
        <v>7.3720930232558137</v>
      </c>
      <c r="N223" s="283"/>
      <c r="O223" s="279"/>
      <c r="P223" s="280">
        <f t="shared" si="311"/>
        <v>0</v>
      </c>
      <c r="Q223" s="281">
        <f t="shared" si="312"/>
        <v>0</v>
      </c>
      <c r="R223" s="282">
        <f t="shared" si="313"/>
        <v>0</v>
      </c>
      <c r="S223" s="283">
        <f>167+150</f>
        <v>317</v>
      </c>
      <c r="T223" s="275">
        <v>6</v>
      </c>
      <c r="U223" s="280">
        <f t="shared" si="314"/>
        <v>43</v>
      </c>
      <c r="V223" s="281">
        <f t="shared" si="315"/>
        <v>7.166666666666667</v>
      </c>
      <c r="W223" s="282">
        <f t="shared" si="316"/>
        <v>10750</v>
      </c>
      <c r="X223" s="283"/>
      <c r="Y223" s="275"/>
      <c r="Z223" s="280">
        <f>Tabla14[[#This Row],[Cajas Segunda]]</f>
        <v>0</v>
      </c>
      <c r="AA223" s="281">
        <f t="shared" si="317"/>
        <v>0</v>
      </c>
      <c r="AB223" s="284">
        <f t="shared" si="318"/>
        <v>0</v>
      </c>
      <c r="AC223" s="285"/>
      <c r="AD223" s="286">
        <v>1060</v>
      </c>
      <c r="AE223" s="286"/>
      <c r="AF223" s="286"/>
      <c r="AG223" s="286">
        <v>6</v>
      </c>
      <c r="AH223" s="280">
        <f t="shared" si="319"/>
        <v>42.4</v>
      </c>
      <c r="AI223" s="281">
        <f t="shared" si="320"/>
        <v>7.0666666666666664</v>
      </c>
      <c r="AJ223" s="282">
        <f t="shared" si="321"/>
        <v>3533.333333333333</v>
      </c>
      <c r="AK223" s="287">
        <f>Tabla14[[#This Row],[Cajas por Personas]]</f>
        <v>0</v>
      </c>
      <c r="AL223" s="288">
        <f>Tabla14[[#This Row],[Valor Precorte Pesona]]</f>
        <v>0</v>
      </c>
      <c r="AM223" s="294">
        <f>Tabla14[[#This Row],[Personas Precorte]]</f>
        <v>0</v>
      </c>
      <c r="AN223" s="308">
        <f>Tabla14[[#This Row],[Valor Precorte Pesona Precorte]]*Tabla14[[#This Row],[Perzonas Precorte]]</f>
        <v>0</v>
      </c>
      <c r="AO223" s="287">
        <f>Tabla14[[#This Row],[Cajas por Personas2]]</f>
        <v>7.166666666666667</v>
      </c>
      <c r="AP223" s="288">
        <f>Tabla14[[#This Row],[Valor Embarque Pesona]]</f>
        <v>10750</v>
      </c>
      <c r="AQ223" s="295">
        <f>Tabla14[[#This Row],[Personas Precorte2]]</f>
        <v>6</v>
      </c>
      <c r="AR223" s="296">
        <f>Tabla14[[#This Row],[Valor Embarque Pesona3]]*Tabla14[[#This Row],[Perzona Primera]]</f>
        <v>64500</v>
      </c>
      <c r="AS223" s="287">
        <f>Tabla14[[#This Row],[Columna2]]</f>
        <v>0</v>
      </c>
      <c r="AT223" s="288">
        <f>Tabla14[[#This Row],[Columna1]]</f>
        <v>0</v>
      </c>
      <c r="AU223" s="302">
        <f>Tabla14[[#This Row],[Personas Intervienen]]</f>
        <v>0</v>
      </c>
      <c r="AV223" s="297">
        <f>Tabla14[[#This Row],[Valor Embarque Pesona5]]*Tabla14[[#This Row],[Presonas Segunda]]</f>
        <v>0</v>
      </c>
      <c r="AW223" s="287">
        <f>Tabla14[[#This Row],[Bolsas Por Personas]]</f>
        <v>7.0666666666666664</v>
      </c>
      <c r="AX223" s="288">
        <f>Tabla14[[#This Row],[Valor bolsas Pesona]]</f>
        <v>3533.333333333333</v>
      </c>
      <c r="AY223" s="309">
        <f>Tabla14[[#This Row],[Personas13]]</f>
        <v>6</v>
      </c>
      <c r="AZ223" s="310">
        <f>Tabla14[[#This Row],[Valor bolsas Pesona2]]*Tabla14[[#This Row],[Personas Rechazo]]</f>
        <v>21200</v>
      </c>
      <c r="BA223" s="311">
        <f>+Tabla14[[#This Row],[Total Valor Segunda]]+Tabla14[[#This Row],[Total Valor Primera]]+Tabla14[[#This Row],[Total Valor Precorte]]</f>
        <v>64500</v>
      </c>
      <c r="BB223" s="292">
        <f>Tabla14[[#This Row],[Valor bolsas Pesona2]]+Tabla14[[#This Row],[Valor Embarque Pesona3]]</f>
        <v>14283.333333333332</v>
      </c>
      <c r="BC223" s="332">
        <v>30000</v>
      </c>
      <c r="BD223" s="292">
        <f>Tabla14[[#This Row],[VALOR GANADO]]-Tabla14[[#This Row],[REAJUSTADO]]</f>
        <v>-15716.666666666668</v>
      </c>
      <c r="BE223" s="250">
        <f>Tabla14[[#This Row],[CUANTO SE REAJUSTA]]*Tabla14[[#This Row],[Personas Rechazo]]</f>
        <v>-94300</v>
      </c>
      <c r="BF223" s="250">
        <f>Tabla14[[#This Row],[REAJUSTADO]]/25000</f>
        <v>1.2</v>
      </c>
      <c r="BG223" s="302">
        <f>Tabla14[[#This Row],[REAJUSTADO]]*Tabla14[[#This Row],[Personas Rechazo]]</f>
        <v>180000</v>
      </c>
      <c r="BH223" s="292" t="str">
        <f>Tabla14[[#This Row],[Finca]]</f>
        <v>Uveros</v>
      </c>
      <c r="BJ223" s="332">
        <f>Tabla14[[#This Row],[Numero de Ocacionales]]*Tabla14[[#This Row],[REAJUSTADO]]</f>
        <v>0</v>
      </c>
      <c r="BK223" s="332"/>
      <c r="BL223" s="332"/>
      <c r="BM223" s="332">
        <f>+Tabla14[[#This Row],[CUANTO SE REAJUSTA]]*3</f>
        <v>-47150</v>
      </c>
    </row>
    <row r="224" spans="3:68" hidden="1" x14ac:dyDescent="0.25">
      <c r="C224" s="274">
        <v>44867</v>
      </c>
      <c r="D224" s="507">
        <f>YEAR(Tabla14[[#This Row],[Fecha]])</f>
        <v>2022</v>
      </c>
      <c r="E224" s="313">
        <f>IF(Tabla14[[#This Row],[Fecha]]&gt;0,_xlfn.ISOWEEKNUM(Tabla14[[#This Row],[Fecha]]),0)</f>
        <v>44</v>
      </c>
      <c r="F224" s="283">
        <v>56</v>
      </c>
      <c r="G224" s="275" t="s">
        <v>157</v>
      </c>
      <c r="H224" s="325" t="str">
        <f>_xlfn.XLOOKUP(Tabla14[[#This Row],[Codigo Finca]],Tabla4[Codigo Finca],Tabla4[Nombre Finca],"")</f>
        <v>Pedrito</v>
      </c>
      <c r="I224" s="277">
        <f>_xlfn.XLOOKUP(Tabla14[[#This Row],[Codigo Finca]],Tabla4[Codigo Finca],Tabla4[Precio Caja],0)</f>
        <v>2100</v>
      </c>
      <c r="J224" s="277">
        <f>_xlfn.XLOOKUP(Tabla14[[#This Row],[Codigo Finca]],Tabla4[Codigo Finca],Tabla4[Precio Caja Segunda],0)</f>
        <v>1000</v>
      </c>
      <c r="K224" s="277">
        <f>_xlfn.XLOOKUP(Tabla14[[#This Row],[Codigo Finca]],Tabla4[Codigo Finca],Tabla4[Precio Rechazo],0)</f>
        <v>500</v>
      </c>
      <c r="L224" s="277">
        <f t="shared" si="309"/>
        <v>450</v>
      </c>
      <c r="M224" s="278">
        <f t="shared" si="310"/>
        <v>8.0357142857142865</v>
      </c>
      <c r="N224" s="283"/>
      <c r="O224" s="279"/>
      <c r="P224" s="280">
        <f t="shared" si="311"/>
        <v>0</v>
      </c>
      <c r="Q224" s="281">
        <f t="shared" si="312"/>
        <v>0</v>
      </c>
      <c r="R224" s="282">
        <f t="shared" si="313"/>
        <v>0</v>
      </c>
      <c r="S224" s="283">
        <v>450</v>
      </c>
      <c r="T224" s="275">
        <v>9</v>
      </c>
      <c r="U224" s="280">
        <f t="shared" si="314"/>
        <v>56</v>
      </c>
      <c r="V224" s="281">
        <f t="shared" si="315"/>
        <v>6.2222222222222223</v>
      </c>
      <c r="W224" s="282">
        <f t="shared" si="316"/>
        <v>13066.666666666666</v>
      </c>
      <c r="X224" s="283"/>
      <c r="Y224" s="275"/>
      <c r="Z224" s="280">
        <f>Tabla14[[#This Row],[Cajas Segunda]]</f>
        <v>0</v>
      </c>
      <c r="AA224" s="281">
        <f t="shared" si="317"/>
        <v>0</v>
      </c>
      <c r="AB224" s="284">
        <f t="shared" si="318"/>
        <v>0</v>
      </c>
      <c r="AC224" s="285"/>
      <c r="AD224" s="286">
        <v>1410</v>
      </c>
      <c r="AE224" s="286"/>
      <c r="AF224" s="286"/>
      <c r="AG224" s="286">
        <v>9</v>
      </c>
      <c r="AH224" s="280">
        <f t="shared" si="319"/>
        <v>56.4</v>
      </c>
      <c r="AI224" s="281">
        <f t="shared" si="320"/>
        <v>6.2666666666666666</v>
      </c>
      <c r="AJ224" s="282">
        <f t="shared" si="321"/>
        <v>3133.3333333333335</v>
      </c>
      <c r="AK224" s="287">
        <f>Tabla14[[#This Row],[Cajas por Personas]]</f>
        <v>0</v>
      </c>
      <c r="AL224" s="288">
        <f>Tabla14[[#This Row],[Valor Precorte Pesona]]</f>
        <v>0</v>
      </c>
      <c r="AM224" s="294">
        <f>Tabla14[[#This Row],[Personas Precorte]]</f>
        <v>0</v>
      </c>
      <c r="AN224" s="308">
        <f>Tabla14[[#This Row],[Valor Precorte Pesona Precorte]]*Tabla14[[#This Row],[Perzonas Precorte]]</f>
        <v>0</v>
      </c>
      <c r="AO224" s="287">
        <f>Tabla14[[#This Row],[Cajas por Personas2]]</f>
        <v>6.2222222222222223</v>
      </c>
      <c r="AP224" s="288">
        <f>Tabla14[[#This Row],[Valor Embarque Pesona]]</f>
        <v>13066.666666666666</v>
      </c>
      <c r="AQ224" s="295">
        <f>Tabla14[[#This Row],[Personas Precorte2]]</f>
        <v>9</v>
      </c>
      <c r="AR224" s="296">
        <f>Tabla14[[#This Row],[Valor Embarque Pesona3]]*Tabla14[[#This Row],[Perzona Primera]]</f>
        <v>117600</v>
      </c>
      <c r="AS224" s="287">
        <f>Tabla14[[#This Row],[Columna2]]</f>
        <v>0</v>
      </c>
      <c r="AT224" s="288">
        <f>Tabla14[[#This Row],[Columna1]]</f>
        <v>0</v>
      </c>
      <c r="AU224" s="302">
        <f>Tabla14[[#This Row],[Personas Intervienen]]</f>
        <v>0</v>
      </c>
      <c r="AV224" s="297">
        <f>Tabla14[[#This Row],[Valor Embarque Pesona5]]*Tabla14[[#This Row],[Presonas Segunda]]</f>
        <v>0</v>
      </c>
      <c r="AW224" s="287">
        <f>Tabla14[[#This Row],[Bolsas Por Personas]]</f>
        <v>6.2666666666666666</v>
      </c>
      <c r="AX224" s="288">
        <f>Tabla14[[#This Row],[Valor bolsas Pesona]]</f>
        <v>3133.3333333333335</v>
      </c>
      <c r="AY224" s="309">
        <f>Tabla14[[#This Row],[Personas13]]</f>
        <v>9</v>
      </c>
      <c r="AZ224" s="310">
        <f>Tabla14[[#This Row],[Valor bolsas Pesona2]]*Tabla14[[#This Row],[Personas Rechazo]]</f>
        <v>28200</v>
      </c>
      <c r="BA224" s="311">
        <f>+Tabla14[[#This Row],[Total Valor Segunda]]+Tabla14[[#This Row],[Total Valor Primera]]+Tabla14[[#This Row],[Total Valor Precorte]]</f>
        <v>117600</v>
      </c>
      <c r="BB224" s="292">
        <f>Tabla14[[#This Row],[Valor bolsas Pesona2]]+Tabla14[[#This Row],[Valor Embarque Pesona3]]</f>
        <v>16200</v>
      </c>
      <c r="BC224" s="332">
        <v>30000</v>
      </c>
      <c r="BD224" s="292">
        <f>Tabla14[[#This Row],[VALOR GANADO]]-Tabla14[[#This Row],[REAJUSTADO]]</f>
        <v>-13800</v>
      </c>
      <c r="BE224" s="250">
        <f>Tabla14[[#This Row],[CUANTO SE REAJUSTA]]*Tabla14[[#This Row],[Personas Rechazo]]</f>
        <v>-124200</v>
      </c>
      <c r="BF224" s="250">
        <f>Tabla14[[#This Row],[REAJUSTADO]]/25000</f>
        <v>1.2</v>
      </c>
      <c r="BG224" s="302">
        <f>Tabla14[[#This Row],[REAJUSTADO]]*Tabla14[[#This Row],[Personas Rechazo]]</f>
        <v>270000</v>
      </c>
      <c r="BH224" s="292" t="str">
        <f>Tabla14[[#This Row],[Finca]]</f>
        <v>Pedrito</v>
      </c>
      <c r="BJ224" s="332">
        <f>Tabla14[[#This Row],[Numero de Ocacionales]]*Tabla14[[#This Row],[REAJUSTADO]]</f>
        <v>0</v>
      </c>
      <c r="BK224" s="332"/>
      <c r="BL224" s="332"/>
      <c r="BM224" s="332">
        <f>+Tabla14[[#This Row],[CUANTO SE REAJUSTA]]*3</f>
        <v>-41400</v>
      </c>
    </row>
    <row r="225" spans="3:65" hidden="1" x14ac:dyDescent="0.25">
      <c r="C225" s="274">
        <v>44873</v>
      </c>
      <c r="D225" s="507">
        <f>YEAR(Tabla14[[#This Row],[Fecha]])</f>
        <v>2022</v>
      </c>
      <c r="E225" s="313">
        <f>IF(Tabla14[[#This Row],[Fecha]]&gt;0,_xlfn.ISOWEEKNUM(Tabla14[[#This Row],[Fecha]]),0)</f>
        <v>45</v>
      </c>
      <c r="F225" s="283">
        <f>150+197</f>
        <v>347</v>
      </c>
      <c r="G225" s="275" t="s">
        <v>211</v>
      </c>
      <c r="H225" s="325" t="str">
        <f>_xlfn.XLOOKUP(Tabla14[[#This Row],[Codigo Finca]],Tabla4[Codigo Finca],Tabla4[Nombre Finca],"")</f>
        <v>San Pedro</v>
      </c>
      <c r="I225" s="277">
        <f>_xlfn.XLOOKUP(Tabla14[[#This Row],[Codigo Finca]],Tabla4[Codigo Finca],Tabla4[Precio Caja],0)</f>
        <v>1600</v>
      </c>
      <c r="J225" s="277">
        <f>_xlfn.XLOOKUP(Tabla14[[#This Row],[Codigo Finca]],Tabla4[Codigo Finca],Tabla4[Precio Caja Segunda],0)</f>
        <v>1000</v>
      </c>
      <c r="K225" s="277">
        <f>_xlfn.XLOOKUP(Tabla14[[#This Row],[Codigo Finca]],Tabla4[Codigo Finca],Tabla4[Precio Rechazo],0)</f>
        <v>500</v>
      </c>
      <c r="L225" s="277">
        <f t="shared" ref="L225:L230" si="322">S225+N225</f>
        <v>1189</v>
      </c>
      <c r="M225" s="278">
        <f t="shared" ref="M225:M230" si="323">IF(F225&gt;0,L225/F225,0)</f>
        <v>3.4265129682997117</v>
      </c>
      <c r="N225" s="283"/>
      <c r="O225" s="279"/>
      <c r="P225" s="280">
        <f t="shared" ref="P225:P230" si="324">IF(N225&gt;0,(N225/M225)/2,0)</f>
        <v>0</v>
      </c>
      <c r="Q225" s="281">
        <f t="shared" ref="Q225:Q230" si="325">IF(O225&gt;0,P225/O225,0)</f>
        <v>0</v>
      </c>
      <c r="R225" s="282">
        <f t="shared" ref="R225:R230" si="326">IF(I225&gt;0,Q225*I225,)</f>
        <v>0</v>
      </c>
      <c r="S225" s="283">
        <v>1189</v>
      </c>
      <c r="T225" s="275">
        <v>11</v>
      </c>
      <c r="U225" s="280">
        <f t="shared" ref="U225:U230" si="327">F225-P225</f>
        <v>347</v>
      </c>
      <c r="V225" s="281">
        <f t="shared" ref="V225:V230" si="328">IF(T225&gt;0,U225/T225,0)</f>
        <v>31.545454545454547</v>
      </c>
      <c r="W225" s="282">
        <f t="shared" ref="W225:W230" si="329">IF(T225&gt;0,(U225*I225)/T225,0)</f>
        <v>50472.727272727272</v>
      </c>
      <c r="X225" s="283"/>
      <c r="Y225" s="275"/>
      <c r="Z225" s="280">
        <f>Tabla14[[#This Row],[Cajas Segunda]]</f>
        <v>0</v>
      </c>
      <c r="AA225" s="281">
        <f t="shared" ref="AA225:AA230" si="330">IF(Y225&gt;0,Z225/Y225,0)</f>
        <v>0</v>
      </c>
      <c r="AB225" s="284">
        <f t="shared" ref="AB225:AB230" si="331">IF(Y225&gt;0,(Z225*J225)/Y225,0)</f>
        <v>0</v>
      </c>
      <c r="AC225" s="285"/>
      <c r="AD225" s="286">
        <v>1601</v>
      </c>
      <c r="AE225" s="286"/>
      <c r="AF225" s="286"/>
      <c r="AG225" s="286">
        <v>11</v>
      </c>
      <c r="AH225" s="280">
        <f t="shared" ref="AH225:AH230" si="332">IF(AND(AC225&gt;0,AE225=0,AF225=0,AD225=0),AC225,IF(AND(AC225=0,AE225&gt;0,AF225&gt;0,AD225=0),AE225*AF225/25,IF(AND(AC225=0,AE225=0,AF225=0,AD225&gt;0),AD225/25,0)))</f>
        <v>64.040000000000006</v>
      </c>
      <c r="AI225" s="281">
        <f t="shared" ref="AI225:AI230" si="333">IF(AG225&gt;0,AH225/AG225,0)</f>
        <v>5.8218181818181822</v>
      </c>
      <c r="AJ225" s="282">
        <f t="shared" ref="AJ225:AJ230" si="334">AI225*K225</f>
        <v>2910.909090909091</v>
      </c>
      <c r="AK225" s="287">
        <f>Tabla14[[#This Row],[Cajas por Personas]]</f>
        <v>0</v>
      </c>
      <c r="AL225" s="288">
        <f>Tabla14[[#This Row],[Valor Precorte Pesona]]</f>
        <v>0</v>
      </c>
      <c r="AM225" s="294">
        <f>Tabla14[[#This Row],[Personas Precorte]]</f>
        <v>0</v>
      </c>
      <c r="AN225" s="308">
        <f>Tabla14[[#This Row],[Valor Precorte Pesona Precorte]]*Tabla14[[#This Row],[Perzonas Precorte]]</f>
        <v>0</v>
      </c>
      <c r="AO225" s="287">
        <f>Tabla14[[#This Row],[Cajas por Personas2]]</f>
        <v>31.545454545454547</v>
      </c>
      <c r="AP225" s="288">
        <f>Tabla14[[#This Row],[Valor Embarque Pesona]]</f>
        <v>50472.727272727272</v>
      </c>
      <c r="AQ225" s="295">
        <f>Tabla14[[#This Row],[Personas Precorte2]]</f>
        <v>11</v>
      </c>
      <c r="AR225" s="296">
        <f>Tabla14[[#This Row],[Valor Embarque Pesona3]]*Tabla14[[#This Row],[Perzona Primera]]</f>
        <v>555200</v>
      </c>
      <c r="AS225" s="287">
        <f>Tabla14[[#This Row],[Columna2]]</f>
        <v>0</v>
      </c>
      <c r="AT225" s="288">
        <f>Tabla14[[#This Row],[Columna1]]</f>
        <v>0</v>
      </c>
      <c r="AU225" s="302">
        <f>Tabla14[[#This Row],[Personas Intervienen]]</f>
        <v>0</v>
      </c>
      <c r="AV225" s="297">
        <f>Tabla14[[#This Row],[Valor Embarque Pesona5]]*Tabla14[[#This Row],[Presonas Segunda]]</f>
        <v>0</v>
      </c>
      <c r="AW225" s="287">
        <f>Tabla14[[#This Row],[Bolsas Por Personas]]</f>
        <v>5.8218181818181822</v>
      </c>
      <c r="AX225" s="288">
        <f>Tabla14[[#This Row],[Valor bolsas Pesona]]</f>
        <v>2910.909090909091</v>
      </c>
      <c r="AY225" s="309">
        <f>Tabla14[[#This Row],[Personas13]]</f>
        <v>11</v>
      </c>
      <c r="AZ225" s="310">
        <f>Tabla14[[#This Row],[Valor bolsas Pesona2]]*Tabla14[[#This Row],[Personas Rechazo]]</f>
        <v>32020</v>
      </c>
      <c r="BA225" s="311">
        <f>+Tabla14[[#This Row],[Total Valor Segunda]]+Tabla14[[#This Row],[Total Valor Primera]]+Tabla14[[#This Row],[Total Valor Precorte]]</f>
        <v>555200</v>
      </c>
      <c r="BB225" s="292">
        <f>Tabla14[[#This Row],[Valor bolsas Pesona2]]+Tabla14[[#This Row],[Valor Embarque Pesona3]]</f>
        <v>53383.63636363636</v>
      </c>
      <c r="BC225" s="332">
        <v>53000</v>
      </c>
      <c r="BD225" s="292">
        <f>Tabla14[[#This Row],[VALOR GANADO]]-Tabla14[[#This Row],[REAJUSTADO]]</f>
        <v>383.63636363636033</v>
      </c>
      <c r="BE225" s="250">
        <f>Tabla14[[#This Row],[CUANTO SE REAJUSTA]]*Tabla14[[#This Row],[Personas Rechazo]]</f>
        <v>4219.9999999999636</v>
      </c>
      <c r="BF225" s="250">
        <f>Tabla14[[#This Row],[REAJUSTADO]]/25000</f>
        <v>2.12</v>
      </c>
      <c r="BG225" s="302">
        <f>Tabla14[[#This Row],[REAJUSTADO]]*Tabla14[[#This Row],[Personas Rechazo]]</f>
        <v>583000</v>
      </c>
      <c r="BH225" s="292" t="str">
        <f>Tabla14[[#This Row],[Finca]]</f>
        <v>San Pedro</v>
      </c>
      <c r="BJ225" s="332">
        <f>Tabla14[[#This Row],[Numero de Ocacionales]]*Tabla14[[#This Row],[REAJUSTADO]]</f>
        <v>0</v>
      </c>
      <c r="BK225" s="332"/>
      <c r="BL225" s="332"/>
      <c r="BM225" s="332">
        <f>+Tabla14[[#This Row],[CUANTO SE REAJUSTA]]*3</f>
        <v>1150.909090909081</v>
      </c>
    </row>
    <row r="226" spans="3:65" hidden="1" x14ac:dyDescent="0.25">
      <c r="C226" s="274">
        <v>44874</v>
      </c>
      <c r="D226" s="507">
        <f>YEAR(Tabla14[[#This Row],[Fecha]])</f>
        <v>2022</v>
      </c>
      <c r="E226" s="313">
        <f>IF(Tabla14[[#This Row],[Fecha]]&gt;0,_xlfn.ISOWEEKNUM(Tabla14[[#This Row],[Fecha]]),0)</f>
        <v>45</v>
      </c>
      <c r="F226" s="283">
        <v>18</v>
      </c>
      <c r="G226" s="275" t="s">
        <v>153</v>
      </c>
      <c r="H226" s="325" t="str">
        <f>_xlfn.XLOOKUP(Tabla14[[#This Row],[Codigo Finca]],Tabla4[Codigo Finca],Tabla4[Nombre Finca],"")</f>
        <v>Uveros</v>
      </c>
      <c r="I226" s="277">
        <f>_xlfn.XLOOKUP(Tabla14[[#This Row],[Codigo Finca]],Tabla4[Codigo Finca],Tabla4[Precio Caja],0)</f>
        <v>1500</v>
      </c>
      <c r="J226" s="277">
        <f>_xlfn.XLOOKUP(Tabla14[[#This Row],[Codigo Finca]],Tabla4[Codigo Finca],Tabla4[Precio Caja Segunda],0)</f>
        <v>1000</v>
      </c>
      <c r="K226" s="277">
        <f>_xlfn.XLOOKUP(Tabla14[[#This Row],[Codigo Finca]],Tabla4[Codigo Finca],Tabla4[Precio Rechazo],0)</f>
        <v>500</v>
      </c>
      <c r="L226" s="277">
        <f t="shared" si="322"/>
        <v>144</v>
      </c>
      <c r="M226" s="278">
        <f t="shared" si="323"/>
        <v>8</v>
      </c>
      <c r="N226" s="283"/>
      <c r="O226" s="279"/>
      <c r="P226" s="280">
        <f t="shared" si="324"/>
        <v>0</v>
      </c>
      <c r="Q226" s="281">
        <f t="shared" si="325"/>
        <v>0</v>
      </c>
      <c r="R226" s="282">
        <f t="shared" si="326"/>
        <v>0</v>
      </c>
      <c r="S226" s="283">
        <v>144</v>
      </c>
      <c r="T226" s="275">
        <v>6</v>
      </c>
      <c r="U226" s="280">
        <f t="shared" si="327"/>
        <v>18</v>
      </c>
      <c r="V226" s="281">
        <f t="shared" si="328"/>
        <v>3</v>
      </c>
      <c r="W226" s="282">
        <f t="shared" si="329"/>
        <v>4500</v>
      </c>
      <c r="X226" s="283"/>
      <c r="Y226" s="275"/>
      <c r="Z226" s="280">
        <f>Tabla14[[#This Row],[Cajas Segunda]]</f>
        <v>0</v>
      </c>
      <c r="AA226" s="281">
        <f t="shared" si="330"/>
        <v>0</v>
      </c>
      <c r="AB226" s="284">
        <f t="shared" si="331"/>
        <v>0</v>
      </c>
      <c r="AC226" s="285"/>
      <c r="AD226" s="286">
        <v>355</v>
      </c>
      <c r="AE226" s="286"/>
      <c r="AF226" s="286"/>
      <c r="AG226" s="286">
        <v>6</v>
      </c>
      <c r="AH226" s="280">
        <f t="shared" si="332"/>
        <v>14.2</v>
      </c>
      <c r="AI226" s="281">
        <f t="shared" si="333"/>
        <v>2.3666666666666667</v>
      </c>
      <c r="AJ226" s="282">
        <f t="shared" si="334"/>
        <v>1183.3333333333333</v>
      </c>
      <c r="AK226" s="287">
        <f>Tabla14[[#This Row],[Cajas por Personas]]</f>
        <v>0</v>
      </c>
      <c r="AL226" s="288">
        <f>Tabla14[[#This Row],[Valor Precorte Pesona]]</f>
        <v>0</v>
      </c>
      <c r="AM226" s="294">
        <f>Tabla14[[#This Row],[Personas Precorte]]</f>
        <v>0</v>
      </c>
      <c r="AN226" s="308">
        <f>Tabla14[[#This Row],[Valor Precorte Pesona Precorte]]*Tabla14[[#This Row],[Perzonas Precorte]]</f>
        <v>0</v>
      </c>
      <c r="AO226" s="287">
        <f>Tabla14[[#This Row],[Cajas por Personas2]]</f>
        <v>3</v>
      </c>
      <c r="AP226" s="288">
        <f>Tabla14[[#This Row],[Valor Embarque Pesona]]</f>
        <v>4500</v>
      </c>
      <c r="AQ226" s="295">
        <f>Tabla14[[#This Row],[Personas Precorte2]]</f>
        <v>6</v>
      </c>
      <c r="AR226" s="296">
        <f>Tabla14[[#This Row],[Valor Embarque Pesona3]]*Tabla14[[#This Row],[Perzona Primera]]</f>
        <v>27000</v>
      </c>
      <c r="AS226" s="287">
        <f>Tabla14[[#This Row],[Columna2]]</f>
        <v>0</v>
      </c>
      <c r="AT226" s="288">
        <f>Tabla14[[#This Row],[Columna1]]</f>
        <v>0</v>
      </c>
      <c r="AU226" s="302">
        <f>Tabla14[[#This Row],[Personas Intervienen]]</f>
        <v>0</v>
      </c>
      <c r="AV226" s="297">
        <f>Tabla14[[#This Row],[Valor Embarque Pesona5]]*Tabla14[[#This Row],[Presonas Segunda]]</f>
        <v>0</v>
      </c>
      <c r="AW226" s="287">
        <f>Tabla14[[#This Row],[Bolsas Por Personas]]</f>
        <v>2.3666666666666667</v>
      </c>
      <c r="AX226" s="288">
        <f>Tabla14[[#This Row],[Valor bolsas Pesona]]</f>
        <v>1183.3333333333333</v>
      </c>
      <c r="AY226" s="309">
        <f>Tabla14[[#This Row],[Personas13]]</f>
        <v>6</v>
      </c>
      <c r="AZ226" s="310">
        <f>Tabla14[[#This Row],[Valor bolsas Pesona2]]*Tabla14[[#This Row],[Personas Rechazo]]</f>
        <v>7100</v>
      </c>
      <c r="BA226" s="311">
        <f>+Tabla14[[#This Row],[Total Valor Segunda]]+Tabla14[[#This Row],[Total Valor Primera]]+Tabla14[[#This Row],[Total Valor Precorte]]</f>
        <v>27000</v>
      </c>
      <c r="BB226" s="292">
        <f>Tabla14[[#This Row],[Valor bolsas Pesona2]]+Tabla14[[#This Row],[Valor Embarque Pesona3]]</f>
        <v>5683.333333333333</v>
      </c>
      <c r="BC226" s="332">
        <v>30000</v>
      </c>
      <c r="BD226" s="292">
        <f>Tabla14[[#This Row],[VALOR GANADO]]-Tabla14[[#This Row],[REAJUSTADO]]</f>
        <v>-24316.666666666668</v>
      </c>
      <c r="BE226" s="250">
        <f>Tabla14[[#This Row],[CUANTO SE REAJUSTA]]*Tabla14[[#This Row],[Personas Rechazo]]</f>
        <v>-145900</v>
      </c>
      <c r="BF226" s="250">
        <f>Tabla14[[#This Row],[REAJUSTADO]]/25000</f>
        <v>1.2</v>
      </c>
      <c r="BG226" s="302">
        <f>Tabla14[[#This Row],[REAJUSTADO]]*Tabla14[[#This Row],[Personas Rechazo]]</f>
        <v>180000</v>
      </c>
      <c r="BH226" s="292" t="str">
        <f>Tabla14[[#This Row],[Finca]]</f>
        <v>Uveros</v>
      </c>
      <c r="BJ226" s="332">
        <f>Tabla14[[#This Row],[Numero de Ocacionales]]*Tabla14[[#This Row],[REAJUSTADO]]</f>
        <v>0</v>
      </c>
      <c r="BK226" s="332"/>
      <c r="BL226" s="332"/>
      <c r="BM226" s="332">
        <f>+Tabla14[[#This Row],[CUANTO SE REAJUSTA]]*3</f>
        <v>-72950</v>
      </c>
    </row>
    <row r="227" spans="3:65" hidden="1" x14ac:dyDescent="0.25">
      <c r="C227" s="274">
        <v>44874</v>
      </c>
      <c r="D227" s="507">
        <f>YEAR(Tabla14[[#This Row],[Fecha]])</f>
        <v>2022</v>
      </c>
      <c r="E227" s="313">
        <f>IF(Tabla14[[#This Row],[Fecha]]&gt;0,_xlfn.ISOWEEKNUM(Tabla14[[#This Row],[Fecha]]),0)</f>
        <v>45</v>
      </c>
      <c r="F227" s="283">
        <v>73</v>
      </c>
      <c r="G227" s="275" t="s">
        <v>157</v>
      </c>
      <c r="H227" s="325" t="str">
        <f>_xlfn.XLOOKUP(Tabla14[[#This Row],[Codigo Finca]],Tabla4[Codigo Finca],Tabla4[Nombre Finca],"")</f>
        <v>Pedrito</v>
      </c>
      <c r="I227" s="277">
        <f>_xlfn.XLOOKUP(Tabla14[[#This Row],[Codigo Finca]],Tabla4[Codigo Finca],Tabla4[Precio Caja],0)</f>
        <v>2100</v>
      </c>
      <c r="J227" s="277">
        <f>_xlfn.XLOOKUP(Tabla14[[#This Row],[Codigo Finca]],Tabla4[Codigo Finca],Tabla4[Precio Caja Segunda],0)</f>
        <v>1000</v>
      </c>
      <c r="K227" s="277">
        <f>_xlfn.XLOOKUP(Tabla14[[#This Row],[Codigo Finca]],Tabla4[Codigo Finca],Tabla4[Precio Rechazo],0)</f>
        <v>500</v>
      </c>
      <c r="L227" s="277">
        <f t="shared" si="322"/>
        <v>462</v>
      </c>
      <c r="M227" s="278">
        <f t="shared" si="323"/>
        <v>6.3287671232876717</v>
      </c>
      <c r="N227" s="283"/>
      <c r="O227" s="279"/>
      <c r="P227" s="280">
        <f t="shared" si="324"/>
        <v>0</v>
      </c>
      <c r="Q227" s="281">
        <f t="shared" si="325"/>
        <v>0</v>
      </c>
      <c r="R227" s="282">
        <f t="shared" si="326"/>
        <v>0</v>
      </c>
      <c r="S227" s="283">
        <v>462</v>
      </c>
      <c r="T227" s="275">
        <v>7</v>
      </c>
      <c r="U227" s="280">
        <f t="shared" si="327"/>
        <v>73</v>
      </c>
      <c r="V227" s="281">
        <f t="shared" si="328"/>
        <v>10.428571428571429</v>
      </c>
      <c r="W227" s="282">
        <f t="shared" si="329"/>
        <v>21900</v>
      </c>
      <c r="X227" s="283"/>
      <c r="Y227" s="275"/>
      <c r="Z227" s="280">
        <f>Tabla14[[#This Row],[Cajas Segunda]]</f>
        <v>0</v>
      </c>
      <c r="AA227" s="281">
        <f t="shared" si="330"/>
        <v>0</v>
      </c>
      <c r="AB227" s="284">
        <f t="shared" si="331"/>
        <v>0</v>
      </c>
      <c r="AC227" s="285"/>
      <c r="AD227" s="286">
        <v>1227</v>
      </c>
      <c r="AE227" s="286"/>
      <c r="AF227" s="286"/>
      <c r="AG227" s="286">
        <v>7</v>
      </c>
      <c r="AH227" s="280">
        <f t="shared" si="332"/>
        <v>49.08</v>
      </c>
      <c r="AI227" s="281">
        <f t="shared" si="333"/>
        <v>7.0114285714285716</v>
      </c>
      <c r="AJ227" s="282">
        <f t="shared" si="334"/>
        <v>3505.7142857142858</v>
      </c>
      <c r="AK227" s="287">
        <f>Tabla14[[#This Row],[Cajas por Personas]]</f>
        <v>0</v>
      </c>
      <c r="AL227" s="288">
        <f>Tabla14[[#This Row],[Valor Precorte Pesona]]</f>
        <v>0</v>
      </c>
      <c r="AM227" s="294">
        <f>Tabla14[[#This Row],[Personas Precorte]]</f>
        <v>0</v>
      </c>
      <c r="AN227" s="308">
        <f>Tabla14[[#This Row],[Valor Precorte Pesona Precorte]]*Tabla14[[#This Row],[Perzonas Precorte]]</f>
        <v>0</v>
      </c>
      <c r="AO227" s="287">
        <f>Tabla14[[#This Row],[Cajas por Personas2]]</f>
        <v>10.428571428571429</v>
      </c>
      <c r="AP227" s="288">
        <f>Tabla14[[#This Row],[Valor Embarque Pesona]]</f>
        <v>21900</v>
      </c>
      <c r="AQ227" s="295">
        <f>Tabla14[[#This Row],[Personas Precorte2]]</f>
        <v>7</v>
      </c>
      <c r="AR227" s="296">
        <f>Tabla14[[#This Row],[Valor Embarque Pesona3]]*Tabla14[[#This Row],[Perzona Primera]]</f>
        <v>153300</v>
      </c>
      <c r="AS227" s="287">
        <f>Tabla14[[#This Row],[Columna2]]</f>
        <v>0</v>
      </c>
      <c r="AT227" s="288">
        <f>Tabla14[[#This Row],[Columna1]]</f>
        <v>0</v>
      </c>
      <c r="AU227" s="302">
        <f>Tabla14[[#This Row],[Personas Intervienen]]</f>
        <v>0</v>
      </c>
      <c r="AV227" s="297">
        <f>Tabla14[[#This Row],[Valor Embarque Pesona5]]*Tabla14[[#This Row],[Presonas Segunda]]</f>
        <v>0</v>
      </c>
      <c r="AW227" s="287">
        <f>Tabla14[[#This Row],[Bolsas Por Personas]]</f>
        <v>7.0114285714285716</v>
      </c>
      <c r="AX227" s="288">
        <f>Tabla14[[#This Row],[Valor bolsas Pesona]]</f>
        <v>3505.7142857142858</v>
      </c>
      <c r="AY227" s="309">
        <f>Tabla14[[#This Row],[Personas13]]</f>
        <v>7</v>
      </c>
      <c r="AZ227" s="310">
        <f>Tabla14[[#This Row],[Valor bolsas Pesona2]]*Tabla14[[#This Row],[Personas Rechazo]]</f>
        <v>24540</v>
      </c>
      <c r="BA227" s="311">
        <f>+Tabla14[[#This Row],[Total Valor Segunda]]+Tabla14[[#This Row],[Total Valor Primera]]+Tabla14[[#This Row],[Total Valor Precorte]]</f>
        <v>153300</v>
      </c>
      <c r="BB227" s="292">
        <f>Tabla14[[#This Row],[Valor bolsas Pesona2]]+Tabla14[[#This Row],[Valor Embarque Pesona3]]</f>
        <v>25405.714285714286</v>
      </c>
      <c r="BC227" s="332">
        <v>30000</v>
      </c>
      <c r="BD227" s="292">
        <f>Tabla14[[#This Row],[VALOR GANADO]]-Tabla14[[#This Row],[REAJUSTADO]]</f>
        <v>-4594.2857142857138</v>
      </c>
      <c r="BE227" s="250">
        <f>Tabla14[[#This Row],[CUANTO SE REAJUSTA]]*Tabla14[[#This Row],[Personas Rechazo]]</f>
        <v>-32159.999999999996</v>
      </c>
      <c r="BF227" s="250">
        <f>Tabla14[[#This Row],[REAJUSTADO]]/25000</f>
        <v>1.2</v>
      </c>
      <c r="BG227" s="302">
        <f>Tabla14[[#This Row],[REAJUSTADO]]*Tabla14[[#This Row],[Personas Rechazo]]</f>
        <v>210000</v>
      </c>
      <c r="BH227" s="292" t="str">
        <f>Tabla14[[#This Row],[Finca]]</f>
        <v>Pedrito</v>
      </c>
      <c r="BJ227" s="332">
        <f>Tabla14[[#This Row],[Numero de Ocacionales]]*Tabla14[[#This Row],[REAJUSTADO]]</f>
        <v>0</v>
      </c>
      <c r="BK227" s="332"/>
      <c r="BL227" s="332"/>
      <c r="BM227" s="332">
        <f>+Tabla14[[#This Row],[CUANTO SE REAJUSTA]]*3</f>
        <v>-13782.857142857141</v>
      </c>
    </row>
    <row r="228" spans="3:65" hidden="1" x14ac:dyDescent="0.25">
      <c r="C228" s="274">
        <v>44874</v>
      </c>
      <c r="D228" s="507">
        <f>YEAR(Tabla14[[#This Row],[Fecha]])</f>
        <v>2022</v>
      </c>
      <c r="E228" s="313">
        <f>IF(Tabla14[[#This Row],[Fecha]]&gt;0,_xlfn.ISOWEEKNUM(Tabla14[[#This Row],[Fecha]]),0)</f>
        <v>45</v>
      </c>
      <c r="F228" s="283">
        <v>62</v>
      </c>
      <c r="G228" s="275" t="s">
        <v>211</v>
      </c>
      <c r="H228" s="325" t="str">
        <f>_xlfn.XLOOKUP(Tabla14[[#This Row],[Codigo Finca]],Tabla4[Codigo Finca],Tabla4[Nombre Finca],"")</f>
        <v>San Pedro</v>
      </c>
      <c r="I228" s="277">
        <f>_xlfn.XLOOKUP(Tabla14[[#This Row],[Codigo Finca]],Tabla4[Codigo Finca],Tabla4[Precio Caja],0)</f>
        <v>1600</v>
      </c>
      <c r="J228" s="277">
        <f>_xlfn.XLOOKUP(Tabla14[[#This Row],[Codigo Finca]],Tabla4[Codigo Finca],Tabla4[Precio Caja Segunda],0)</f>
        <v>1000</v>
      </c>
      <c r="K228" s="277">
        <f>_xlfn.XLOOKUP(Tabla14[[#This Row],[Codigo Finca]],Tabla4[Codigo Finca],Tabla4[Precio Rechazo],0)</f>
        <v>500</v>
      </c>
      <c r="L228" s="277">
        <f t="shared" si="322"/>
        <v>227</v>
      </c>
      <c r="M228" s="278">
        <f t="shared" si="323"/>
        <v>3.661290322580645</v>
      </c>
      <c r="N228" s="283"/>
      <c r="O228" s="279"/>
      <c r="P228" s="280">
        <f t="shared" si="324"/>
        <v>0</v>
      </c>
      <c r="Q228" s="281">
        <f t="shared" si="325"/>
        <v>0</v>
      </c>
      <c r="R228" s="282">
        <f t="shared" si="326"/>
        <v>0</v>
      </c>
      <c r="S228" s="283">
        <v>227</v>
      </c>
      <c r="T228" s="275">
        <v>5</v>
      </c>
      <c r="U228" s="280">
        <f t="shared" si="327"/>
        <v>62</v>
      </c>
      <c r="V228" s="281">
        <f t="shared" si="328"/>
        <v>12.4</v>
      </c>
      <c r="W228" s="282">
        <f t="shared" si="329"/>
        <v>19840</v>
      </c>
      <c r="X228" s="283"/>
      <c r="Y228" s="275"/>
      <c r="Z228" s="280">
        <f>Tabla14[[#This Row],[Cajas Segunda]]</f>
        <v>0</v>
      </c>
      <c r="AA228" s="281">
        <f t="shared" si="330"/>
        <v>0</v>
      </c>
      <c r="AB228" s="284">
        <f t="shared" si="331"/>
        <v>0</v>
      </c>
      <c r="AC228" s="285"/>
      <c r="AD228" s="286">
        <v>286</v>
      </c>
      <c r="AE228" s="286"/>
      <c r="AF228" s="286"/>
      <c r="AG228" s="286">
        <v>5</v>
      </c>
      <c r="AH228" s="280">
        <f t="shared" si="332"/>
        <v>11.44</v>
      </c>
      <c r="AI228" s="281">
        <f t="shared" si="333"/>
        <v>2.2879999999999998</v>
      </c>
      <c r="AJ228" s="282">
        <f t="shared" si="334"/>
        <v>1144</v>
      </c>
      <c r="AK228" s="287">
        <f>Tabla14[[#This Row],[Cajas por Personas]]</f>
        <v>0</v>
      </c>
      <c r="AL228" s="288">
        <f>Tabla14[[#This Row],[Valor Precorte Pesona]]</f>
        <v>0</v>
      </c>
      <c r="AM228" s="294">
        <f>Tabla14[[#This Row],[Personas Precorte]]</f>
        <v>0</v>
      </c>
      <c r="AN228" s="308">
        <f>Tabla14[[#This Row],[Valor Precorte Pesona Precorte]]*Tabla14[[#This Row],[Perzonas Precorte]]</f>
        <v>0</v>
      </c>
      <c r="AO228" s="287">
        <f>Tabla14[[#This Row],[Cajas por Personas2]]</f>
        <v>12.4</v>
      </c>
      <c r="AP228" s="288">
        <f>Tabla14[[#This Row],[Valor Embarque Pesona]]</f>
        <v>19840</v>
      </c>
      <c r="AQ228" s="295">
        <f>Tabla14[[#This Row],[Personas Precorte2]]</f>
        <v>5</v>
      </c>
      <c r="AR228" s="296">
        <f>Tabla14[[#This Row],[Valor Embarque Pesona3]]*Tabla14[[#This Row],[Perzona Primera]]</f>
        <v>99200</v>
      </c>
      <c r="AS228" s="287">
        <f>Tabla14[[#This Row],[Columna2]]</f>
        <v>0</v>
      </c>
      <c r="AT228" s="288">
        <f>Tabla14[[#This Row],[Columna1]]</f>
        <v>0</v>
      </c>
      <c r="AU228" s="302">
        <f>Tabla14[[#This Row],[Personas Intervienen]]</f>
        <v>0</v>
      </c>
      <c r="AV228" s="297">
        <f>Tabla14[[#This Row],[Valor Embarque Pesona5]]*Tabla14[[#This Row],[Presonas Segunda]]</f>
        <v>0</v>
      </c>
      <c r="AW228" s="287">
        <f>Tabla14[[#This Row],[Bolsas Por Personas]]</f>
        <v>2.2879999999999998</v>
      </c>
      <c r="AX228" s="288">
        <f>Tabla14[[#This Row],[Valor bolsas Pesona]]</f>
        <v>1144</v>
      </c>
      <c r="AY228" s="309">
        <f>Tabla14[[#This Row],[Personas13]]</f>
        <v>5</v>
      </c>
      <c r="AZ228" s="310">
        <f>Tabla14[[#This Row],[Valor bolsas Pesona2]]*Tabla14[[#This Row],[Personas Rechazo]]</f>
        <v>5720</v>
      </c>
      <c r="BA228" s="311">
        <f>+Tabla14[[#This Row],[Total Valor Segunda]]+Tabla14[[#This Row],[Total Valor Primera]]+Tabla14[[#This Row],[Total Valor Precorte]]</f>
        <v>99200</v>
      </c>
      <c r="BB228" s="415">
        <f>Tabla14[[#This Row],[Valor bolsas Pesona2]]+Tabla14[[#This Row],[Valor Embarque Pesona3]]</f>
        <v>20984</v>
      </c>
      <c r="BC228" s="416">
        <v>36000</v>
      </c>
      <c r="BD228" s="415">
        <f>Tabla14[[#This Row],[VALOR GANADO]]-Tabla14[[#This Row],[REAJUSTADO]]</f>
        <v>-15016</v>
      </c>
      <c r="BE228" s="250">
        <f>Tabla14[[#This Row],[CUANTO SE REAJUSTA]]*Tabla14[[#This Row],[Personas Rechazo]]</f>
        <v>-75080</v>
      </c>
      <c r="BF228" s="250">
        <f>Tabla14[[#This Row],[REAJUSTADO]]/25000</f>
        <v>1.44</v>
      </c>
      <c r="BG228" s="302">
        <f>Tabla14[[#This Row],[REAJUSTADO]]*Tabla14[[#This Row],[Personas Rechazo]]</f>
        <v>180000</v>
      </c>
      <c r="BH228" s="292" t="str">
        <f>Tabla14[[#This Row],[Finca]]</f>
        <v>San Pedro</v>
      </c>
      <c r="BJ228" s="332">
        <f>Tabla14[[#This Row],[Numero de Ocacionales]]*Tabla14[[#This Row],[REAJUSTADO]]</f>
        <v>0</v>
      </c>
      <c r="BK228" s="332"/>
      <c r="BL228" s="332"/>
      <c r="BM228" s="332">
        <f>+Tabla14[[#This Row],[CUANTO SE REAJUSTA]]*3</f>
        <v>-45048</v>
      </c>
    </row>
    <row r="229" spans="3:65" hidden="1" x14ac:dyDescent="0.25">
      <c r="C229" s="274">
        <v>44874</v>
      </c>
      <c r="D229" s="507">
        <f>YEAR(Tabla14[[#This Row],[Fecha]])</f>
        <v>2022</v>
      </c>
      <c r="E229" s="313">
        <f>IF(Tabla14[[#This Row],[Fecha]]&gt;0,_xlfn.ISOWEEKNUM(Tabla14[[#This Row],[Fecha]]),0)</f>
        <v>45</v>
      </c>
      <c r="F229" s="283">
        <v>40</v>
      </c>
      <c r="G229" s="275" t="s">
        <v>209</v>
      </c>
      <c r="H229" s="325" t="str">
        <f>_xlfn.XLOOKUP(Tabla14[[#This Row],[Codigo Finca]],Tabla4[Codigo Finca],Tabla4[Nombre Finca],"")</f>
        <v>San Pedro</v>
      </c>
      <c r="I229" s="277">
        <f>_xlfn.XLOOKUP(Tabla14[[#This Row],[Codigo Finca]],Tabla4[Codigo Finca],Tabla4[Precio Caja],0)</f>
        <v>1800</v>
      </c>
      <c r="J229" s="277">
        <f>_xlfn.XLOOKUP(Tabla14[[#This Row],[Codigo Finca]],Tabla4[Codigo Finca],Tabla4[Precio Caja Segunda],0)</f>
        <v>1000</v>
      </c>
      <c r="K229" s="277">
        <f>_xlfn.XLOOKUP(Tabla14[[#This Row],[Codigo Finca]],Tabla4[Codigo Finca],Tabla4[Precio Rechazo],0)</f>
        <v>600</v>
      </c>
      <c r="L229" s="277">
        <f t="shared" si="322"/>
        <v>125</v>
      </c>
      <c r="M229" s="278">
        <f t="shared" si="323"/>
        <v>3.125</v>
      </c>
      <c r="N229" s="283"/>
      <c r="O229" s="279"/>
      <c r="P229" s="280">
        <f t="shared" si="324"/>
        <v>0</v>
      </c>
      <c r="Q229" s="281">
        <f t="shared" si="325"/>
        <v>0</v>
      </c>
      <c r="R229" s="282">
        <f t="shared" si="326"/>
        <v>0</v>
      </c>
      <c r="S229" s="283">
        <v>125</v>
      </c>
      <c r="T229" s="275">
        <v>5</v>
      </c>
      <c r="U229" s="280">
        <f t="shared" si="327"/>
        <v>40</v>
      </c>
      <c r="V229" s="281">
        <f t="shared" si="328"/>
        <v>8</v>
      </c>
      <c r="W229" s="282">
        <f t="shared" si="329"/>
        <v>14400</v>
      </c>
      <c r="X229" s="283"/>
      <c r="Y229" s="275"/>
      <c r="Z229" s="280">
        <f>Tabla14[[#This Row],[Cajas Segunda]]</f>
        <v>0</v>
      </c>
      <c r="AA229" s="281">
        <f t="shared" si="330"/>
        <v>0</v>
      </c>
      <c r="AB229" s="284">
        <f t="shared" si="331"/>
        <v>0</v>
      </c>
      <c r="AC229" s="285"/>
      <c r="AD229" s="286">
        <v>184.58</v>
      </c>
      <c r="AE229" s="286"/>
      <c r="AF229" s="286"/>
      <c r="AG229" s="286">
        <v>5</v>
      </c>
      <c r="AH229" s="280">
        <f t="shared" si="332"/>
        <v>7.3832000000000004</v>
      </c>
      <c r="AI229" s="281">
        <f t="shared" si="333"/>
        <v>1.4766400000000002</v>
      </c>
      <c r="AJ229" s="282">
        <f t="shared" si="334"/>
        <v>885.98400000000015</v>
      </c>
      <c r="AK229" s="287">
        <f>Tabla14[[#This Row],[Cajas por Personas]]</f>
        <v>0</v>
      </c>
      <c r="AL229" s="288">
        <f>Tabla14[[#This Row],[Valor Precorte Pesona]]</f>
        <v>0</v>
      </c>
      <c r="AM229" s="294">
        <f>Tabla14[[#This Row],[Personas Precorte]]</f>
        <v>0</v>
      </c>
      <c r="AN229" s="308">
        <f>Tabla14[[#This Row],[Valor Precorte Pesona Precorte]]*Tabla14[[#This Row],[Perzonas Precorte]]</f>
        <v>0</v>
      </c>
      <c r="AO229" s="287">
        <f>Tabla14[[#This Row],[Cajas por Personas2]]</f>
        <v>8</v>
      </c>
      <c r="AP229" s="288">
        <f>Tabla14[[#This Row],[Valor Embarque Pesona]]</f>
        <v>14400</v>
      </c>
      <c r="AQ229" s="295">
        <f>Tabla14[[#This Row],[Personas Precorte2]]</f>
        <v>5</v>
      </c>
      <c r="AR229" s="296">
        <f>Tabla14[[#This Row],[Valor Embarque Pesona3]]*Tabla14[[#This Row],[Perzona Primera]]</f>
        <v>72000</v>
      </c>
      <c r="AS229" s="287">
        <f>Tabla14[[#This Row],[Columna2]]</f>
        <v>0</v>
      </c>
      <c r="AT229" s="288">
        <f>Tabla14[[#This Row],[Columna1]]</f>
        <v>0</v>
      </c>
      <c r="AU229" s="302">
        <f>Tabla14[[#This Row],[Personas Intervienen]]</f>
        <v>0</v>
      </c>
      <c r="AV229" s="297">
        <f>Tabla14[[#This Row],[Valor Embarque Pesona5]]*Tabla14[[#This Row],[Presonas Segunda]]</f>
        <v>0</v>
      </c>
      <c r="AW229" s="287">
        <f>Tabla14[[#This Row],[Bolsas Por Personas]]</f>
        <v>1.4766400000000002</v>
      </c>
      <c r="AX229" s="288">
        <f>Tabla14[[#This Row],[Valor bolsas Pesona]]</f>
        <v>885.98400000000015</v>
      </c>
      <c r="AY229" s="309">
        <f>Tabla14[[#This Row],[Personas13]]</f>
        <v>5</v>
      </c>
      <c r="AZ229" s="310">
        <f>Tabla14[[#This Row],[Valor bolsas Pesona2]]*Tabla14[[#This Row],[Personas Rechazo]]</f>
        <v>4429.920000000001</v>
      </c>
      <c r="BA229" s="311">
        <f>+Tabla14[[#This Row],[Total Valor Segunda]]+Tabla14[[#This Row],[Total Valor Primera]]+Tabla14[[#This Row],[Total Valor Precorte]]</f>
        <v>72000</v>
      </c>
      <c r="BB229" s="415">
        <f>Tabla14[[#This Row],[Valor bolsas Pesona2]]+Tabla14[[#This Row],[Valor Embarque Pesona3]]</f>
        <v>15285.984</v>
      </c>
      <c r="BC229" s="416"/>
      <c r="BD229" s="415">
        <f>Tabla14[[#This Row],[VALOR GANADO]]-Tabla14[[#This Row],[REAJUSTADO]]</f>
        <v>15285.984</v>
      </c>
      <c r="BE229" s="250">
        <f>Tabla14[[#This Row],[CUANTO SE REAJUSTA]]*Tabla14[[#This Row],[Personas Rechazo]]</f>
        <v>76429.919999999998</v>
      </c>
      <c r="BF229" s="250">
        <f>Tabla14[[#This Row],[REAJUSTADO]]/25000</f>
        <v>0</v>
      </c>
      <c r="BG229" s="302">
        <f>Tabla14[[#This Row],[REAJUSTADO]]*Tabla14[[#This Row],[Personas Rechazo]]</f>
        <v>0</v>
      </c>
      <c r="BH229" s="292" t="str">
        <f>Tabla14[[#This Row],[Finca]]</f>
        <v>San Pedro</v>
      </c>
      <c r="BJ229" s="332">
        <f>Tabla14[[#This Row],[Numero de Ocacionales]]*Tabla14[[#This Row],[REAJUSTADO]]</f>
        <v>0</v>
      </c>
      <c r="BK229" s="332"/>
      <c r="BL229" s="332"/>
      <c r="BM229" s="332">
        <f>+Tabla14[[#This Row],[CUANTO SE REAJUSTA]]*3</f>
        <v>45857.952000000005</v>
      </c>
    </row>
    <row r="230" spans="3:65" hidden="1" x14ac:dyDescent="0.25">
      <c r="C230" s="274">
        <v>44875</v>
      </c>
      <c r="D230" s="507">
        <f>YEAR(Tabla14[[#This Row],[Fecha]])</f>
        <v>2022</v>
      </c>
      <c r="E230" s="313">
        <f>IF(Tabla14[[#This Row],[Fecha]]&gt;0,_xlfn.ISOWEEKNUM(Tabla14[[#This Row],[Fecha]]),0)</f>
        <v>45</v>
      </c>
      <c r="F230" s="283">
        <v>31</v>
      </c>
      <c r="G230" s="275" t="s">
        <v>155</v>
      </c>
      <c r="H230" s="325" t="str">
        <f>_xlfn.XLOOKUP(Tabla14[[#This Row],[Codigo Finca]],Tabla4[Codigo Finca],Tabla4[Nombre Finca],"")</f>
        <v>Damaquiel</v>
      </c>
      <c r="I230" s="277">
        <f>_xlfn.XLOOKUP(Tabla14[[#This Row],[Codigo Finca]],Tabla4[Codigo Finca],Tabla4[Precio Caja],0)</f>
        <v>1500</v>
      </c>
      <c r="J230" s="277">
        <f>_xlfn.XLOOKUP(Tabla14[[#This Row],[Codigo Finca]],Tabla4[Codigo Finca],Tabla4[Precio Caja Segunda],0)</f>
        <v>1000</v>
      </c>
      <c r="K230" s="277">
        <f>_xlfn.XLOOKUP(Tabla14[[#This Row],[Codigo Finca]],Tabla4[Codigo Finca],Tabla4[Precio Rechazo],0)</f>
        <v>500</v>
      </c>
      <c r="L230" s="277">
        <f t="shared" si="322"/>
        <v>298</v>
      </c>
      <c r="M230" s="278">
        <f t="shared" si="323"/>
        <v>9.612903225806452</v>
      </c>
      <c r="N230" s="283"/>
      <c r="O230" s="279"/>
      <c r="P230" s="280">
        <f t="shared" si="324"/>
        <v>0</v>
      </c>
      <c r="Q230" s="281">
        <f t="shared" si="325"/>
        <v>0</v>
      </c>
      <c r="R230" s="282">
        <f t="shared" si="326"/>
        <v>0</v>
      </c>
      <c r="S230" s="283">
        <f>60+103+101+34</f>
        <v>298</v>
      </c>
      <c r="T230" s="275">
        <v>6</v>
      </c>
      <c r="U230" s="280">
        <f t="shared" si="327"/>
        <v>31</v>
      </c>
      <c r="V230" s="281">
        <f t="shared" si="328"/>
        <v>5.166666666666667</v>
      </c>
      <c r="W230" s="282">
        <f t="shared" si="329"/>
        <v>7750</v>
      </c>
      <c r="X230" s="283"/>
      <c r="Y230" s="275"/>
      <c r="Z230" s="280">
        <f>Tabla14[[#This Row],[Cajas Segunda]]</f>
        <v>0</v>
      </c>
      <c r="AA230" s="281">
        <f t="shared" si="330"/>
        <v>0</v>
      </c>
      <c r="AB230" s="284">
        <f t="shared" si="331"/>
        <v>0</v>
      </c>
      <c r="AC230" s="285"/>
      <c r="AD230" s="286">
        <v>298</v>
      </c>
      <c r="AE230" s="286"/>
      <c r="AF230" s="286"/>
      <c r="AG230" s="286">
        <v>6</v>
      </c>
      <c r="AH230" s="280">
        <f t="shared" si="332"/>
        <v>11.92</v>
      </c>
      <c r="AI230" s="281">
        <f t="shared" si="333"/>
        <v>1.9866666666666666</v>
      </c>
      <c r="AJ230" s="282">
        <f t="shared" si="334"/>
        <v>993.33333333333326</v>
      </c>
      <c r="AK230" s="287">
        <f>Tabla14[[#This Row],[Cajas por Personas]]</f>
        <v>0</v>
      </c>
      <c r="AL230" s="288">
        <f>Tabla14[[#This Row],[Valor Precorte Pesona]]</f>
        <v>0</v>
      </c>
      <c r="AM230" s="294">
        <f>Tabla14[[#This Row],[Personas Precorte]]</f>
        <v>0</v>
      </c>
      <c r="AN230" s="308">
        <f>Tabla14[[#This Row],[Valor Precorte Pesona Precorte]]*Tabla14[[#This Row],[Perzonas Precorte]]</f>
        <v>0</v>
      </c>
      <c r="AO230" s="287">
        <f>Tabla14[[#This Row],[Cajas por Personas2]]</f>
        <v>5.166666666666667</v>
      </c>
      <c r="AP230" s="288">
        <f>Tabla14[[#This Row],[Valor Embarque Pesona]]</f>
        <v>7750</v>
      </c>
      <c r="AQ230" s="295">
        <f>Tabla14[[#This Row],[Personas Precorte2]]</f>
        <v>6</v>
      </c>
      <c r="AR230" s="296">
        <f>Tabla14[[#This Row],[Valor Embarque Pesona3]]*Tabla14[[#This Row],[Perzona Primera]]</f>
        <v>46500</v>
      </c>
      <c r="AS230" s="287">
        <f>Tabla14[[#This Row],[Columna2]]</f>
        <v>0</v>
      </c>
      <c r="AT230" s="288">
        <f>Tabla14[[#This Row],[Columna1]]</f>
        <v>0</v>
      </c>
      <c r="AU230" s="302">
        <f>Tabla14[[#This Row],[Personas Intervienen]]</f>
        <v>0</v>
      </c>
      <c r="AV230" s="297">
        <f>Tabla14[[#This Row],[Valor Embarque Pesona5]]*Tabla14[[#This Row],[Presonas Segunda]]</f>
        <v>0</v>
      </c>
      <c r="AW230" s="287">
        <f>Tabla14[[#This Row],[Bolsas Por Personas]]</f>
        <v>1.9866666666666666</v>
      </c>
      <c r="AX230" s="288">
        <f>Tabla14[[#This Row],[Valor bolsas Pesona]]</f>
        <v>993.33333333333326</v>
      </c>
      <c r="AY230" s="309">
        <f>Tabla14[[#This Row],[Personas13]]</f>
        <v>6</v>
      </c>
      <c r="AZ230" s="310">
        <f>Tabla14[[#This Row],[Valor bolsas Pesona2]]*Tabla14[[#This Row],[Personas Rechazo]]</f>
        <v>5960</v>
      </c>
      <c r="BA230" s="311">
        <f>+Tabla14[[#This Row],[Total Valor Segunda]]+Tabla14[[#This Row],[Total Valor Primera]]+Tabla14[[#This Row],[Total Valor Precorte]]</f>
        <v>46500</v>
      </c>
      <c r="BB230" s="292">
        <f>Tabla14[[#This Row],[Valor bolsas Pesona2]]+Tabla14[[#This Row],[Valor Embarque Pesona3]]</f>
        <v>8743.3333333333339</v>
      </c>
      <c r="BC230" s="332">
        <v>30000</v>
      </c>
      <c r="BD230" s="292">
        <f>Tabla14[[#This Row],[VALOR GANADO]]-Tabla14[[#This Row],[REAJUSTADO]]</f>
        <v>-21256.666666666664</v>
      </c>
      <c r="BE230" s="250">
        <f>Tabla14[[#This Row],[CUANTO SE REAJUSTA]]*Tabla14[[#This Row],[Personas Rechazo]]</f>
        <v>-127539.99999999999</v>
      </c>
      <c r="BF230" s="250">
        <f>Tabla14[[#This Row],[REAJUSTADO]]/25000</f>
        <v>1.2</v>
      </c>
      <c r="BG230" s="302">
        <f>Tabla14[[#This Row],[REAJUSTADO]]*Tabla14[[#This Row],[Personas Rechazo]]</f>
        <v>180000</v>
      </c>
      <c r="BH230" s="292" t="str">
        <f>Tabla14[[#This Row],[Finca]]</f>
        <v>Damaquiel</v>
      </c>
      <c r="BJ230" s="332">
        <f>Tabla14[[#This Row],[Numero de Ocacionales]]*Tabla14[[#This Row],[REAJUSTADO]]</f>
        <v>0</v>
      </c>
      <c r="BK230" s="332"/>
      <c r="BL230" s="332"/>
      <c r="BM230" s="332">
        <f>+Tabla14[[#This Row],[CUANTO SE REAJUSTA]]*3</f>
        <v>-63769.999999999993</v>
      </c>
    </row>
    <row r="231" spans="3:65" hidden="1" x14ac:dyDescent="0.25">
      <c r="C231" s="274">
        <v>44880</v>
      </c>
      <c r="D231" s="507">
        <f>YEAR(Tabla14[[#This Row],[Fecha]])</f>
        <v>2022</v>
      </c>
      <c r="E231" s="313">
        <f>IF(Tabla14[[#This Row],[Fecha]]&gt;0,_xlfn.ISOWEEKNUM(Tabla14[[#This Row],[Fecha]]),0)</f>
        <v>46</v>
      </c>
      <c r="F231" s="283">
        <v>188</v>
      </c>
      <c r="G231" s="275" t="s">
        <v>222</v>
      </c>
      <c r="H231" s="325" t="str">
        <f>_xlfn.XLOOKUP(Tabla14[[#This Row],[Codigo Finca]],Tabla4[Codigo Finca],Tabla4[Nombre Finca],"")</f>
        <v>San Pedro</v>
      </c>
      <c r="I231" s="277">
        <f>_xlfn.XLOOKUP(Tabla14[[#This Row],[Codigo Finca]],Tabla4[Codigo Finca],Tabla4[Precio Caja],0)</f>
        <v>1600</v>
      </c>
      <c r="J231" s="277">
        <f>_xlfn.XLOOKUP(Tabla14[[#This Row],[Codigo Finca]],Tabla4[Codigo Finca],Tabla4[Precio Caja Segunda],0)</f>
        <v>1000</v>
      </c>
      <c r="K231" s="277">
        <f>_xlfn.XLOOKUP(Tabla14[[#This Row],[Codigo Finca]],Tabla4[Codigo Finca],Tabla4[Precio Rechazo],0)</f>
        <v>500</v>
      </c>
      <c r="L231" s="277">
        <f t="shared" ref="L231:L236" si="335">S231+N231</f>
        <v>715</v>
      </c>
      <c r="M231" s="278">
        <f t="shared" ref="M231:M236" si="336">IF(F231&gt;0,L231/F231,0)</f>
        <v>3.8031914893617023</v>
      </c>
      <c r="N231" s="283"/>
      <c r="O231" s="279"/>
      <c r="P231" s="280">
        <f t="shared" ref="P231:P236" si="337">IF(N231&gt;0,(N231/M231)/2,0)</f>
        <v>0</v>
      </c>
      <c r="Q231" s="281">
        <f t="shared" ref="Q231:Q236" si="338">IF(O231&gt;0,P231/O231,0)</f>
        <v>0</v>
      </c>
      <c r="R231" s="282">
        <f t="shared" ref="R231:R236" si="339">IF(I231&gt;0,Q231*I231,)</f>
        <v>0</v>
      </c>
      <c r="S231" s="283">
        <v>715</v>
      </c>
      <c r="T231" s="275">
        <v>9</v>
      </c>
      <c r="U231" s="280">
        <f t="shared" ref="U231:U236" si="340">F231-P231</f>
        <v>188</v>
      </c>
      <c r="V231" s="281">
        <f t="shared" ref="V231:V236" si="341">IF(T231&gt;0,U231/T231,0)</f>
        <v>20.888888888888889</v>
      </c>
      <c r="W231" s="282">
        <f t="shared" ref="W231:W236" si="342">IF(T231&gt;0,(U231*I231)/T231,0)</f>
        <v>33422.222222222219</v>
      </c>
      <c r="X231" s="283"/>
      <c r="Y231" s="275"/>
      <c r="Z231" s="280">
        <f>Tabla14[[#This Row],[Cajas Segunda]]</f>
        <v>0</v>
      </c>
      <c r="AA231" s="281">
        <f t="shared" ref="AA231:AA236" si="343">IF(Y231&gt;0,Z231/Y231,0)</f>
        <v>0</v>
      </c>
      <c r="AB231" s="284">
        <f t="shared" ref="AB231:AB236" si="344">IF(Y231&gt;0,(Z231*J231)/Y231,0)</f>
        <v>0</v>
      </c>
      <c r="AC231" s="285"/>
      <c r="AD231" s="286">
        <v>1136</v>
      </c>
      <c r="AE231" s="286"/>
      <c r="AF231" s="286"/>
      <c r="AG231" s="286">
        <v>9</v>
      </c>
      <c r="AH231" s="280">
        <f t="shared" ref="AH231:AH236" si="345">IF(AND(AC231&gt;0,AE231=0,AF231=0,AD231=0),AC231,IF(AND(AC231=0,AE231&gt;0,AF231&gt;0,AD231=0),AE231*AF231/25,IF(AND(AC231=0,AE231=0,AF231=0,AD231&gt;0),AD231/25,0)))</f>
        <v>45.44</v>
      </c>
      <c r="AI231" s="281">
        <f t="shared" ref="AI231:AI236" si="346">IF(AG231&gt;0,AH231/AG231,0)</f>
        <v>5.0488888888888885</v>
      </c>
      <c r="AJ231" s="282">
        <f t="shared" ref="AJ231:AJ236" si="347">AI231*K231</f>
        <v>2524.4444444444443</v>
      </c>
      <c r="AK231" s="287">
        <f>Tabla14[[#This Row],[Cajas por Personas]]</f>
        <v>0</v>
      </c>
      <c r="AL231" s="288">
        <f>Tabla14[[#This Row],[Valor Precorte Pesona]]</f>
        <v>0</v>
      </c>
      <c r="AM231" s="294">
        <f>Tabla14[[#This Row],[Personas Precorte]]</f>
        <v>0</v>
      </c>
      <c r="AN231" s="308">
        <f>Tabla14[[#This Row],[Valor Precorte Pesona Precorte]]*Tabla14[[#This Row],[Perzonas Precorte]]</f>
        <v>0</v>
      </c>
      <c r="AO231" s="287">
        <f>Tabla14[[#This Row],[Cajas por Personas2]]</f>
        <v>20.888888888888889</v>
      </c>
      <c r="AP231" s="288">
        <f>Tabla14[[#This Row],[Valor Embarque Pesona]]</f>
        <v>33422.222222222219</v>
      </c>
      <c r="AQ231" s="295">
        <f>Tabla14[[#This Row],[Personas Precorte2]]</f>
        <v>9</v>
      </c>
      <c r="AR231" s="296">
        <f>Tabla14[[#This Row],[Valor Embarque Pesona3]]*Tabla14[[#This Row],[Perzona Primera]]</f>
        <v>300800</v>
      </c>
      <c r="AS231" s="287">
        <f>Tabla14[[#This Row],[Columna2]]</f>
        <v>0</v>
      </c>
      <c r="AT231" s="288">
        <f>Tabla14[[#This Row],[Columna1]]</f>
        <v>0</v>
      </c>
      <c r="AU231" s="302">
        <f>Tabla14[[#This Row],[Personas Intervienen]]</f>
        <v>0</v>
      </c>
      <c r="AV231" s="297">
        <f>Tabla14[[#This Row],[Valor Embarque Pesona5]]*Tabla14[[#This Row],[Presonas Segunda]]</f>
        <v>0</v>
      </c>
      <c r="AW231" s="287">
        <f>Tabla14[[#This Row],[Bolsas Por Personas]]</f>
        <v>5.0488888888888885</v>
      </c>
      <c r="AX231" s="288">
        <f>Tabla14[[#This Row],[Valor bolsas Pesona]]</f>
        <v>2524.4444444444443</v>
      </c>
      <c r="AY231" s="309">
        <f>Tabla14[[#This Row],[Personas13]]</f>
        <v>9</v>
      </c>
      <c r="AZ231" s="310">
        <f>Tabla14[[#This Row],[Valor bolsas Pesona2]]*Tabla14[[#This Row],[Personas Rechazo]]</f>
        <v>22720</v>
      </c>
      <c r="BA231" s="311">
        <f>+Tabla14[[#This Row],[Total Valor Segunda]]+Tabla14[[#This Row],[Total Valor Primera]]+Tabla14[[#This Row],[Total Valor Precorte]]</f>
        <v>300800</v>
      </c>
      <c r="BB231" s="292">
        <f>Tabla14[[#This Row],[Valor bolsas Pesona2]]+Tabla14[[#This Row],[Valor Embarque Pesona3]]</f>
        <v>35946.666666666664</v>
      </c>
      <c r="BC231" s="332">
        <v>36000</v>
      </c>
      <c r="BD231" s="292">
        <f>Tabla14[[#This Row],[VALOR GANADO]]-Tabla14[[#This Row],[REAJUSTADO]]</f>
        <v>-53.333333333335759</v>
      </c>
      <c r="BE231" s="250">
        <f>Tabla14[[#This Row],[CUANTO SE REAJUSTA]]*Tabla14[[#This Row],[Personas Rechazo]]</f>
        <v>-480.00000000002183</v>
      </c>
      <c r="BF231" s="250">
        <f>Tabla14[[#This Row],[REAJUSTADO]]/25000</f>
        <v>1.44</v>
      </c>
      <c r="BG231" s="302">
        <f>Tabla14[[#This Row],[REAJUSTADO]]*Tabla14[[#This Row],[Personas Rechazo]]</f>
        <v>324000</v>
      </c>
      <c r="BH231" s="292" t="str">
        <f>Tabla14[[#This Row],[Finca]]</f>
        <v>San Pedro</v>
      </c>
      <c r="BJ231" s="332">
        <f>Tabla14[[#This Row],[Numero de Ocacionales]]*Tabla14[[#This Row],[REAJUSTADO]]</f>
        <v>0</v>
      </c>
      <c r="BK231" s="332"/>
      <c r="BL231" s="332"/>
      <c r="BM231" s="332">
        <f>+Tabla14[[#This Row],[CUANTO SE REAJUSTA]]*3</f>
        <v>-160.00000000000728</v>
      </c>
    </row>
    <row r="232" spans="3:65" hidden="1" x14ac:dyDescent="0.25">
      <c r="C232" s="274">
        <v>44880</v>
      </c>
      <c r="D232" s="507">
        <f>YEAR(Tabla14[[#This Row],[Fecha]])</f>
        <v>2022</v>
      </c>
      <c r="E232" s="313">
        <f>IF(Tabla14[[#This Row],[Fecha]]&gt;0,_xlfn.ISOWEEKNUM(Tabla14[[#This Row],[Fecha]]),0)</f>
        <v>46</v>
      </c>
      <c r="F232" s="283">
        <v>22</v>
      </c>
      <c r="G232" s="275" t="s">
        <v>223</v>
      </c>
      <c r="H232" s="325" t="str">
        <f>_xlfn.XLOOKUP(Tabla14[[#This Row],[Codigo Finca]],Tabla4[Codigo Finca],Tabla4[Nombre Finca],"")</f>
        <v>Uveros</v>
      </c>
      <c r="I232" s="277">
        <f>_xlfn.XLOOKUP(Tabla14[[#This Row],[Codigo Finca]],Tabla4[Codigo Finca],Tabla4[Precio Caja],0)</f>
        <v>1500</v>
      </c>
      <c r="J232" s="277">
        <f>_xlfn.XLOOKUP(Tabla14[[#This Row],[Codigo Finca]],Tabla4[Codigo Finca],Tabla4[Precio Caja Segunda],0)</f>
        <v>1000</v>
      </c>
      <c r="K232" s="277">
        <f>_xlfn.XLOOKUP(Tabla14[[#This Row],[Codigo Finca]],Tabla4[Codigo Finca],Tabla4[Precio Rechazo],0)</f>
        <v>500</v>
      </c>
      <c r="L232" s="277">
        <f t="shared" si="335"/>
        <v>157</v>
      </c>
      <c r="M232" s="278">
        <f t="shared" si="336"/>
        <v>7.1363636363636367</v>
      </c>
      <c r="N232" s="283"/>
      <c r="O232" s="279"/>
      <c r="P232" s="280">
        <f t="shared" si="337"/>
        <v>0</v>
      </c>
      <c r="Q232" s="281">
        <f t="shared" si="338"/>
        <v>0</v>
      </c>
      <c r="R232" s="282">
        <f t="shared" si="339"/>
        <v>0</v>
      </c>
      <c r="S232" s="283">
        <v>157</v>
      </c>
      <c r="T232" s="275">
        <v>2</v>
      </c>
      <c r="U232" s="280">
        <f t="shared" si="340"/>
        <v>22</v>
      </c>
      <c r="V232" s="281">
        <f t="shared" si="341"/>
        <v>11</v>
      </c>
      <c r="W232" s="282">
        <f t="shared" si="342"/>
        <v>16500</v>
      </c>
      <c r="X232" s="283"/>
      <c r="Y232" s="275"/>
      <c r="Z232" s="280">
        <f>Tabla14[[#This Row],[Cajas Segunda]]</f>
        <v>0</v>
      </c>
      <c r="AA232" s="281">
        <f t="shared" si="343"/>
        <v>0</v>
      </c>
      <c r="AB232" s="284">
        <f t="shared" si="344"/>
        <v>0</v>
      </c>
      <c r="AC232" s="285"/>
      <c r="AD232" s="286">
        <v>243</v>
      </c>
      <c r="AE232" s="286"/>
      <c r="AF232" s="286"/>
      <c r="AG232" s="286">
        <v>2</v>
      </c>
      <c r="AH232" s="280">
        <f t="shared" si="345"/>
        <v>9.7200000000000006</v>
      </c>
      <c r="AI232" s="281">
        <f t="shared" si="346"/>
        <v>4.8600000000000003</v>
      </c>
      <c r="AJ232" s="282">
        <f t="shared" si="347"/>
        <v>2430</v>
      </c>
      <c r="AK232" s="287">
        <f>Tabla14[[#This Row],[Cajas por Personas]]</f>
        <v>0</v>
      </c>
      <c r="AL232" s="288">
        <f>Tabla14[[#This Row],[Valor Precorte Pesona]]</f>
        <v>0</v>
      </c>
      <c r="AM232" s="294">
        <f>Tabla14[[#This Row],[Personas Precorte]]</f>
        <v>0</v>
      </c>
      <c r="AN232" s="308">
        <f>Tabla14[[#This Row],[Valor Precorte Pesona Precorte]]*Tabla14[[#This Row],[Perzonas Precorte]]</f>
        <v>0</v>
      </c>
      <c r="AO232" s="287">
        <f>Tabla14[[#This Row],[Cajas por Personas2]]</f>
        <v>11</v>
      </c>
      <c r="AP232" s="288">
        <f>Tabla14[[#This Row],[Valor Embarque Pesona]]</f>
        <v>16500</v>
      </c>
      <c r="AQ232" s="295">
        <f>Tabla14[[#This Row],[Personas Precorte2]]</f>
        <v>2</v>
      </c>
      <c r="AR232" s="296">
        <f>Tabla14[[#This Row],[Valor Embarque Pesona3]]*Tabla14[[#This Row],[Perzona Primera]]</f>
        <v>33000</v>
      </c>
      <c r="AS232" s="287">
        <f>Tabla14[[#This Row],[Columna2]]</f>
        <v>0</v>
      </c>
      <c r="AT232" s="288">
        <f>Tabla14[[#This Row],[Columna1]]</f>
        <v>0</v>
      </c>
      <c r="AU232" s="302">
        <f>Tabla14[[#This Row],[Personas Intervienen]]</f>
        <v>0</v>
      </c>
      <c r="AV232" s="297">
        <f>Tabla14[[#This Row],[Valor Embarque Pesona5]]*Tabla14[[#This Row],[Presonas Segunda]]</f>
        <v>0</v>
      </c>
      <c r="AW232" s="287">
        <f>Tabla14[[#This Row],[Bolsas Por Personas]]</f>
        <v>4.8600000000000003</v>
      </c>
      <c r="AX232" s="288">
        <f>Tabla14[[#This Row],[Valor bolsas Pesona]]</f>
        <v>2430</v>
      </c>
      <c r="AY232" s="309">
        <f>Tabla14[[#This Row],[Personas13]]</f>
        <v>2</v>
      </c>
      <c r="AZ232" s="310">
        <f>Tabla14[[#This Row],[Valor bolsas Pesona2]]*Tabla14[[#This Row],[Personas Rechazo]]</f>
        <v>4860</v>
      </c>
      <c r="BA232" s="311">
        <f>+Tabla14[[#This Row],[Total Valor Segunda]]+Tabla14[[#This Row],[Total Valor Primera]]+Tabla14[[#This Row],[Total Valor Precorte]]</f>
        <v>33000</v>
      </c>
      <c r="BB232" s="292">
        <f>Tabla14[[#This Row],[Valor bolsas Pesona2]]+Tabla14[[#This Row],[Valor Embarque Pesona3]]</f>
        <v>18930</v>
      </c>
      <c r="BC232" s="332">
        <v>30000</v>
      </c>
      <c r="BD232" s="292">
        <f>Tabla14[[#This Row],[VALOR GANADO]]-Tabla14[[#This Row],[REAJUSTADO]]</f>
        <v>-11070</v>
      </c>
      <c r="BE232" s="250">
        <f>Tabla14[[#This Row],[CUANTO SE REAJUSTA]]*Tabla14[[#This Row],[Personas Rechazo]]</f>
        <v>-22140</v>
      </c>
      <c r="BF232" s="250">
        <f>Tabla14[[#This Row],[REAJUSTADO]]/25000</f>
        <v>1.2</v>
      </c>
      <c r="BG232" s="302">
        <f>Tabla14[[#This Row],[REAJUSTADO]]*Tabla14[[#This Row],[Personas Rechazo]]</f>
        <v>60000</v>
      </c>
      <c r="BH232" s="292" t="str">
        <f>Tabla14[[#This Row],[Finca]]</f>
        <v>Uveros</v>
      </c>
      <c r="BJ232" s="332">
        <f>Tabla14[[#This Row],[Numero de Ocacionales]]*Tabla14[[#This Row],[REAJUSTADO]]</f>
        <v>0</v>
      </c>
      <c r="BK232" s="332"/>
      <c r="BL232" s="332"/>
      <c r="BM232" s="332">
        <f>+Tabla14[[#This Row],[CUANTO SE REAJUSTA]]*3</f>
        <v>-33210</v>
      </c>
    </row>
    <row r="233" spans="3:65" hidden="1" x14ac:dyDescent="0.25">
      <c r="C233" s="274">
        <v>44881</v>
      </c>
      <c r="D233" s="507">
        <f>YEAR(Tabla14[[#This Row],[Fecha]])</f>
        <v>2022</v>
      </c>
      <c r="E233" s="313">
        <f>IF(Tabla14[[#This Row],[Fecha]]&gt;0,_xlfn.ISOWEEKNUM(Tabla14[[#This Row],[Fecha]]),0)</f>
        <v>46</v>
      </c>
      <c r="F233" s="283">
        <v>17</v>
      </c>
      <c r="G233" s="275" t="s">
        <v>155</v>
      </c>
      <c r="H233" s="325" t="str">
        <f>_xlfn.XLOOKUP(Tabla14[[#This Row],[Codigo Finca]],Tabla4[Codigo Finca],Tabla4[Nombre Finca],"")</f>
        <v>Damaquiel</v>
      </c>
      <c r="I233" s="277">
        <f>_xlfn.XLOOKUP(Tabla14[[#This Row],[Codigo Finca]],Tabla4[Codigo Finca],Tabla4[Precio Caja],0)</f>
        <v>1500</v>
      </c>
      <c r="J233" s="277">
        <f>_xlfn.XLOOKUP(Tabla14[[#This Row],[Codigo Finca]],Tabla4[Codigo Finca],Tabla4[Precio Caja Segunda],0)</f>
        <v>1000</v>
      </c>
      <c r="K233" s="277">
        <f>_xlfn.XLOOKUP(Tabla14[[#This Row],[Codigo Finca]],Tabla4[Codigo Finca],Tabla4[Precio Rechazo],0)</f>
        <v>500</v>
      </c>
      <c r="L233" s="277">
        <f t="shared" si="335"/>
        <v>188</v>
      </c>
      <c r="M233" s="278">
        <f t="shared" si="336"/>
        <v>11.058823529411764</v>
      </c>
      <c r="N233" s="283"/>
      <c r="O233" s="279"/>
      <c r="P233" s="280">
        <f t="shared" si="337"/>
        <v>0</v>
      </c>
      <c r="Q233" s="281">
        <f t="shared" si="338"/>
        <v>0</v>
      </c>
      <c r="R233" s="282">
        <f t="shared" si="339"/>
        <v>0</v>
      </c>
      <c r="S233" s="283">
        <v>188</v>
      </c>
      <c r="T233" s="275">
        <v>3</v>
      </c>
      <c r="U233" s="280">
        <f t="shared" si="340"/>
        <v>17</v>
      </c>
      <c r="V233" s="281">
        <f t="shared" si="341"/>
        <v>5.666666666666667</v>
      </c>
      <c r="W233" s="282">
        <f t="shared" si="342"/>
        <v>8500</v>
      </c>
      <c r="X233" s="283"/>
      <c r="Y233" s="275"/>
      <c r="Z233" s="280">
        <f>Tabla14[[#This Row],[Cajas Segunda]]</f>
        <v>0</v>
      </c>
      <c r="AA233" s="281">
        <f t="shared" si="343"/>
        <v>0</v>
      </c>
      <c r="AB233" s="284">
        <f t="shared" si="344"/>
        <v>0</v>
      </c>
      <c r="AC233" s="285"/>
      <c r="AD233" s="286">
        <v>350</v>
      </c>
      <c r="AE233" s="286"/>
      <c r="AF233" s="286"/>
      <c r="AG233" s="286">
        <v>3</v>
      </c>
      <c r="AH233" s="280">
        <f t="shared" si="345"/>
        <v>14</v>
      </c>
      <c r="AI233" s="281">
        <f t="shared" si="346"/>
        <v>4.666666666666667</v>
      </c>
      <c r="AJ233" s="282">
        <f t="shared" si="347"/>
        <v>2333.3333333333335</v>
      </c>
      <c r="AK233" s="287">
        <f>Tabla14[[#This Row],[Cajas por Personas]]</f>
        <v>0</v>
      </c>
      <c r="AL233" s="288">
        <f>Tabla14[[#This Row],[Valor Precorte Pesona]]</f>
        <v>0</v>
      </c>
      <c r="AM233" s="294">
        <f>Tabla14[[#This Row],[Personas Precorte]]</f>
        <v>0</v>
      </c>
      <c r="AN233" s="308">
        <f>Tabla14[[#This Row],[Valor Precorte Pesona Precorte]]*Tabla14[[#This Row],[Perzonas Precorte]]</f>
        <v>0</v>
      </c>
      <c r="AO233" s="287">
        <f>Tabla14[[#This Row],[Cajas por Personas2]]</f>
        <v>5.666666666666667</v>
      </c>
      <c r="AP233" s="288">
        <f>Tabla14[[#This Row],[Valor Embarque Pesona]]</f>
        <v>8500</v>
      </c>
      <c r="AQ233" s="295">
        <f>Tabla14[[#This Row],[Personas Precorte2]]</f>
        <v>3</v>
      </c>
      <c r="AR233" s="296">
        <f>Tabla14[[#This Row],[Valor Embarque Pesona3]]*Tabla14[[#This Row],[Perzona Primera]]</f>
        <v>25500</v>
      </c>
      <c r="AS233" s="287">
        <f>Tabla14[[#This Row],[Columna2]]</f>
        <v>0</v>
      </c>
      <c r="AT233" s="288">
        <f>Tabla14[[#This Row],[Columna1]]</f>
        <v>0</v>
      </c>
      <c r="AU233" s="302">
        <f>Tabla14[[#This Row],[Personas Intervienen]]</f>
        <v>0</v>
      </c>
      <c r="AV233" s="297">
        <f>Tabla14[[#This Row],[Valor Embarque Pesona5]]*Tabla14[[#This Row],[Presonas Segunda]]</f>
        <v>0</v>
      </c>
      <c r="AW233" s="287">
        <f>Tabla14[[#This Row],[Bolsas Por Personas]]</f>
        <v>4.666666666666667</v>
      </c>
      <c r="AX233" s="288">
        <f>Tabla14[[#This Row],[Valor bolsas Pesona]]</f>
        <v>2333.3333333333335</v>
      </c>
      <c r="AY233" s="309">
        <f>Tabla14[[#This Row],[Personas13]]</f>
        <v>3</v>
      </c>
      <c r="AZ233" s="310">
        <f>Tabla14[[#This Row],[Valor bolsas Pesona2]]*Tabla14[[#This Row],[Personas Rechazo]]</f>
        <v>7000</v>
      </c>
      <c r="BA233" s="311">
        <f>+Tabla14[[#This Row],[Total Valor Segunda]]+Tabla14[[#This Row],[Total Valor Primera]]+Tabla14[[#This Row],[Total Valor Precorte]]</f>
        <v>25500</v>
      </c>
      <c r="BB233" s="292">
        <f>Tabla14[[#This Row],[Valor bolsas Pesona2]]+Tabla14[[#This Row],[Valor Embarque Pesona3]]</f>
        <v>10833.333333333334</v>
      </c>
      <c r="BC233" s="332">
        <v>30000</v>
      </c>
      <c r="BD233" s="292">
        <f>Tabla14[[#This Row],[VALOR GANADO]]-Tabla14[[#This Row],[REAJUSTADO]]</f>
        <v>-19166.666666666664</v>
      </c>
      <c r="BE233" s="250">
        <f>Tabla14[[#This Row],[CUANTO SE REAJUSTA]]*Tabla14[[#This Row],[Personas Rechazo]]</f>
        <v>-57499.999999999993</v>
      </c>
      <c r="BF233" s="250">
        <f>Tabla14[[#This Row],[REAJUSTADO]]/25000</f>
        <v>1.2</v>
      </c>
      <c r="BG233" s="302">
        <f>Tabla14[[#This Row],[REAJUSTADO]]*Tabla14[[#This Row],[Personas Rechazo]]</f>
        <v>90000</v>
      </c>
      <c r="BH233" s="292" t="str">
        <f>Tabla14[[#This Row],[Finca]]</f>
        <v>Damaquiel</v>
      </c>
      <c r="BJ233" s="332">
        <f>Tabla14[[#This Row],[Numero de Ocacionales]]*Tabla14[[#This Row],[REAJUSTADO]]</f>
        <v>0</v>
      </c>
      <c r="BK233" s="332"/>
      <c r="BL233" s="332"/>
      <c r="BM233" s="332">
        <f>+Tabla14[[#This Row],[CUANTO SE REAJUSTA]]*3</f>
        <v>-57499.999999999993</v>
      </c>
    </row>
    <row r="234" spans="3:65" hidden="1" x14ac:dyDescent="0.25">
      <c r="C234" s="274">
        <v>44881</v>
      </c>
      <c r="D234" s="507">
        <f>YEAR(Tabla14[[#This Row],[Fecha]])</f>
        <v>2022</v>
      </c>
      <c r="E234" s="313">
        <f>IF(Tabla14[[#This Row],[Fecha]]&gt;0,_xlfn.ISOWEEKNUM(Tabla14[[#This Row],[Fecha]]),0)</f>
        <v>46</v>
      </c>
      <c r="F234" s="283">
        <v>52</v>
      </c>
      <c r="G234" s="275" t="s">
        <v>157</v>
      </c>
      <c r="H234" s="325" t="str">
        <f>_xlfn.XLOOKUP(Tabla14[[#This Row],[Codigo Finca]],Tabla4[Codigo Finca],Tabla4[Nombre Finca],"")</f>
        <v>Pedrito</v>
      </c>
      <c r="I234" s="277">
        <f>_xlfn.XLOOKUP(Tabla14[[#This Row],[Codigo Finca]],Tabla4[Codigo Finca],Tabla4[Precio Caja],0)</f>
        <v>2100</v>
      </c>
      <c r="J234" s="277">
        <f>_xlfn.XLOOKUP(Tabla14[[#This Row],[Codigo Finca]],Tabla4[Codigo Finca],Tabla4[Precio Caja Segunda],0)</f>
        <v>1000</v>
      </c>
      <c r="K234" s="277">
        <f>_xlfn.XLOOKUP(Tabla14[[#This Row],[Codigo Finca]],Tabla4[Codigo Finca],Tabla4[Precio Rechazo],0)</f>
        <v>500</v>
      </c>
      <c r="L234" s="277">
        <f t="shared" si="335"/>
        <v>360</v>
      </c>
      <c r="M234" s="278">
        <f t="shared" si="336"/>
        <v>6.9230769230769234</v>
      </c>
      <c r="N234" s="283"/>
      <c r="O234" s="279"/>
      <c r="P234" s="280">
        <f t="shared" si="337"/>
        <v>0</v>
      </c>
      <c r="Q234" s="281">
        <f t="shared" si="338"/>
        <v>0</v>
      </c>
      <c r="R234" s="282">
        <f t="shared" si="339"/>
        <v>0</v>
      </c>
      <c r="S234" s="283">
        <v>360</v>
      </c>
      <c r="T234" s="275">
        <v>8</v>
      </c>
      <c r="U234" s="280">
        <f t="shared" si="340"/>
        <v>52</v>
      </c>
      <c r="V234" s="281">
        <f t="shared" si="341"/>
        <v>6.5</v>
      </c>
      <c r="W234" s="282">
        <f t="shared" si="342"/>
        <v>13650</v>
      </c>
      <c r="X234" s="283"/>
      <c r="Y234" s="275"/>
      <c r="Z234" s="280">
        <f>Tabla14[[#This Row],[Cajas Segunda]]</f>
        <v>0</v>
      </c>
      <c r="AA234" s="281">
        <f t="shared" si="343"/>
        <v>0</v>
      </c>
      <c r="AB234" s="284">
        <f t="shared" si="344"/>
        <v>0</v>
      </c>
      <c r="AC234" s="285"/>
      <c r="AD234" s="286">
        <v>1037</v>
      </c>
      <c r="AE234" s="286"/>
      <c r="AF234" s="286"/>
      <c r="AG234" s="286">
        <v>8</v>
      </c>
      <c r="AH234" s="280">
        <f t="shared" si="345"/>
        <v>41.48</v>
      </c>
      <c r="AI234" s="281">
        <f t="shared" si="346"/>
        <v>5.1849999999999996</v>
      </c>
      <c r="AJ234" s="282">
        <f t="shared" si="347"/>
        <v>2592.5</v>
      </c>
      <c r="AK234" s="287">
        <f>Tabla14[[#This Row],[Cajas por Personas]]</f>
        <v>0</v>
      </c>
      <c r="AL234" s="288">
        <f>Tabla14[[#This Row],[Valor Precorte Pesona]]</f>
        <v>0</v>
      </c>
      <c r="AM234" s="294">
        <f>Tabla14[[#This Row],[Personas Precorte]]</f>
        <v>0</v>
      </c>
      <c r="AN234" s="308">
        <f>Tabla14[[#This Row],[Valor Precorte Pesona Precorte]]*Tabla14[[#This Row],[Perzonas Precorte]]</f>
        <v>0</v>
      </c>
      <c r="AO234" s="287">
        <f>Tabla14[[#This Row],[Cajas por Personas2]]</f>
        <v>6.5</v>
      </c>
      <c r="AP234" s="288">
        <f>Tabla14[[#This Row],[Valor Embarque Pesona]]</f>
        <v>13650</v>
      </c>
      <c r="AQ234" s="295">
        <f>Tabla14[[#This Row],[Personas Precorte2]]</f>
        <v>8</v>
      </c>
      <c r="AR234" s="296">
        <f>Tabla14[[#This Row],[Valor Embarque Pesona3]]*Tabla14[[#This Row],[Perzona Primera]]</f>
        <v>109200</v>
      </c>
      <c r="AS234" s="287">
        <f>Tabla14[[#This Row],[Columna2]]</f>
        <v>0</v>
      </c>
      <c r="AT234" s="288">
        <f>Tabla14[[#This Row],[Columna1]]</f>
        <v>0</v>
      </c>
      <c r="AU234" s="302">
        <f>Tabla14[[#This Row],[Personas Intervienen]]</f>
        <v>0</v>
      </c>
      <c r="AV234" s="297">
        <f>Tabla14[[#This Row],[Valor Embarque Pesona5]]*Tabla14[[#This Row],[Presonas Segunda]]</f>
        <v>0</v>
      </c>
      <c r="AW234" s="287">
        <f>Tabla14[[#This Row],[Bolsas Por Personas]]</f>
        <v>5.1849999999999996</v>
      </c>
      <c r="AX234" s="288">
        <f>Tabla14[[#This Row],[Valor bolsas Pesona]]</f>
        <v>2592.5</v>
      </c>
      <c r="AY234" s="309">
        <f>Tabla14[[#This Row],[Personas13]]</f>
        <v>8</v>
      </c>
      <c r="AZ234" s="310">
        <f>Tabla14[[#This Row],[Valor bolsas Pesona2]]*Tabla14[[#This Row],[Personas Rechazo]]</f>
        <v>20740</v>
      </c>
      <c r="BA234" s="311">
        <f>+Tabla14[[#This Row],[Total Valor Segunda]]+Tabla14[[#This Row],[Total Valor Primera]]+Tabla14[[#This Row],[Total Valor Precorte]]</f>
        <v>109200</v>
      </c>
      <c r="BB234" s="292">
        <f>Tabla14[[#This Row],[Valor bolsas Pesona2]]+Tabla14[[#This Row],[Valor Embarque Pesona3]]</f>
        <v>16242.5</v>
      </c>
      <c r="BC234" s="332">
        <v>30000</v>
      </c>
      <c r="BD234" s="292">
        <f>Tabla14[[#This Row],[VALOR GANADO]]-Tabla14[[#This Row],[REAJUSTADO]]</f>
        <v>-13757.5</v>
      </c>
      <c r="BE234" s="250">
        <f>Tabla14[[#This Row],[CUANTO SE REAJUSTA]]*Tabla14[[#This Row],[Personas Rechazo]]</f>
        <v>-110060</v>
      </c>
      <c r="BF234" s="250">
        <f>Tabla14[[#This Row],[REAJUSTADO]]/25000</f>
        <v>1.2</v>
      </c>
      <c r="BG234" s="302">
        <f>Tabla14[[#This Row],[REAJUSTADO]]*Tabla14[[#This Row],[Personas Rechazo]]</f>
        <v>240000</v>
      </c>
      <c r="BH234" s="292" t="str">
        <f>Tabla14[[#This Row],[Finca]]</f>
        <v>Pedrito</v>
      </c>
      <c r="BJ234" s="332">
        <f>Tabla14[[#This Row],[Numero de Ocacionales]]*Tabla14[[#This Row],[REAJUSTADO]]</f>
        <v>0</v>
      </c>
      <c r="BK234" s="332"/>
      <c r="BL234" s="332"/>
      <c r="BM234" s="332">
        <f>+Tabla14[[#This Row],[CUANTO SE REAJUSTA]]*3</f>
        <v>-41272.5</v>
      </c>
    </row>
    <row r="235" spans="3:65" hidden="1" x14ac:dyDescent="0.25">
      <c r="C235" s="274">
        <v>44881</v>
      </c>
      <c r="D235" s="507">
        <f>YEAR(Tabla14[[#This Row],[Fecha]])</f>
        <v>2022</v>
      </c>
      <c r="E235" s="313">
        <f>IF(Tabla14[[#This Row],[Fecha]]&gt;0,_xlfn.ISOWEEKNUM(Tabla14[[#This Row],[Fecha]]),0)</f>
        <v>46</v>
      </c>
      <c r="F235" s="283">
        <v>18</v>
      </c>
      <c r="G235" s="275" t="s">
        <v>209</v>
      </c>
      <c r="H235" s="325" t="str">
        <f>_xlfn.XLOOKUP(Tabla14[[#This Row],[Codigo Finca]],Tabla4[Codigo Finca],Tabla4[Nombre Finca],"")</f>
        <v>San Pedro</v>
      </c>
      <c r="I235" s="277">
        <f>_xlfn.XLOOKUP(Tabla14[[#This Row],[Codigo Finca]],Tabla4[Codigo Finca],Tabla4[Precio Caja],0)</f>
        <v>1800</v>
      </c>
      <c r="J235" s="277">
        <f>_xlfn.XLOOKUP(Tabla14[[#This Row],[Codigo Finca]],Tabla4[Codigo Finca],Tabla4[Precio Caja Segunda],0)</f>
        <v>1000</v>
      </c>
      <c r="K235" s="277">
        <f>_xlfn.XLOOKUP(Tabla14[[#This Row],[Codigo Finca]],Tabla4[Codigo Finca],Tabla4[Precio Rechazo],0)</f>
        <v>600</v>
      </c>
      <c r="L235" s="277">
        <f t="shared" si="335"/>
        <v>52</v>
      </c>
      <c r="M235" s="278">
        <f t="shared" si="336"/>
        <v>2.8888888888888888</v>
      </c>
      <c r="N235" s="283"/>
      <c r="O235" s="279"/>
      <c r="P235" s="280">
        <f t="shared" si="337"/>
        <v>0</v>
      </c>
      <c r="Q235" s="281">
        <f t="shared" si="338"/>
        <v>0</v>
      </c>
      <c r="R235" s="282">
        <f t="shared" si="339"/>
        <v>0</v>
      </c>
      <c r="S235" s="283">
        <v>52</v>
      </c>
      <c r="T235" s="275">
        <v>6</v>
      </c>
      <c r="U235" s="280">
        <f t="shared" si="340"/>
        <v>18</v>
      </c>
      <c r="V235" s="281">
        <f t="shared" si="341"/>
        <v>3</v>
      </c>
      <c r="W235" s="282">
        <f t="shared" si="342"/>
        <v>5400</v>
      </c>
      <c r="X235" s="283"/>
      <c r="Y235" s="275"/>
      <c r="Z235" s="280">
        <f>Tabla14[[#This Row],[Cajas Segunda]]</f>
        <v>0</v>
      </c>
      <c r="AA235" s="281">
        <f t="shared" si="343"/>
        <v>0</v>
      </c>
      <c r="AB235" s="284">
        <f t="shared" si="344"/>
        <v>0</v>
      </c>
      <c r="AC235" s="285"/>
      <c r="AD235" s="286">
        <v>109</v>
      </c>
      <c r="AE235" s="286"/>
      <c r="AF235" s="286"/>
      <c r="AG235" s="286">
        <v>6</v>
      </c>
      <c r="AH235" s="280">
        <f t="shared" si="345"/>
        <v>4.3600000000000003</v>
      </c>
      <c r="AI235" s="281">
        <f t="shared" si="346"/>
        <v>0.72666666666666668</v>
      </c>
      <c r="AJ235" s="282">
        <f t="shared" si="347"/>
        <v>436</v>
      </c>
      <c r="AK235" s="287">
        <f>Tabla14[[#This Row],[Cajas por Personas]]</f>
        <v>0</v>
      </c>
      <c r="AL235" s="288">
        <f>Tabla14[[#This Row],[Valor Precorte Pesona]]</f>
        <v>0</v>
      </c>
      <c r="AM235" s="294">
        <f>Tabla14[[#This Row],[Personas Precorte]]</f>
        <v>0</v>
      </c>
      <c r="AN235" s="308">
        <f>Tabla14[[#This Row],[Valor Precorte Pesona Precorte]]*Tabla14[[#This Row],[Perzonas Precorte]]</f>
        <v>0</v>
      </c>
      <c r="AO235" s="287">
        <f>Tabla14[[#This Row],[Cajas por Personas2]]</f>
        <v>3</v>
      </c>
      <c r="AP235" s="288">
        <f>Tabla14[[#This Row],[Valor Embarque Pesona]]</f>
        <v>5400</v>
      </c>
      <c r="AQ235" s="295">
        <f>Tabla14[[#This Row],[Personas Precorte2]]</f>
        <v>6</v>
      </c>
      <c r="AR235" s="296">
        <f>Tabla14[[#This Row],[Valor Embarque Pesona3]]*Tabla14[[#This Row],[Perzona Primera]]</f>
        <v>32400</v>
      </c>
      <c r="AS235" s="287">
        <f>Tabla14[[#This Row],[Columna2]]</f>
        <v>0</v>
      </c>
      <c r="AT235" s="288">
        <f>Tabla14[[#This Row],[Columna1]]</f>
        <v>0</v>
      </c>
      <c r="AU235" s="302">
        <f>Tabla14[[#This Row],[Personas Intervienen]]</f>
        <v>0</v>
      </c>
      <c r="AV235" s="297">
        <f>Tabla14[[#This Row],[Valor Embarque Pesona5]]*Tabla14[[#This Row],[Presonas Segunda]]</f>
        <v>0</v>
      </c>
      <c r="AW235" s="287">
        <f>Tabla14[[#This Row],[Bolsas Por Personas]]</f>
        <v>0.72666666666666668</v>
      </c>
      <c r="AX235" s="288">
        <f>Tabla14[[#This Row],[Valor bolsas Pesona]]</f>
        <v>436</v>
      </c>
      <c r="AY235" s="309">
        <f>Tabla14[[#This Row],[Personas13]]</f>
        <v>6</v>
      </c>
      <c r="AZ235" s="310">
        <f>Tabla14[[#This Row],[Valor bolsas Pesona2]]*Tabla14[[#This Row],[Personas Rechazo]]</f>
        <v>2616</v>
      </c>
      <c r="BA235" s="311">
        <f>+Tabla14[[#This Row],[Total Valor Segunda]]+Tabla14[[#This Row],[Total Valor Primera]]+Tabla14[[#This Row],[Total Valor Precorte]]</f>
        <v>32400</v>
      </c>
      <c r="BB235" s="445">
        <f>Tabla14[[#This Row],[Valor bolsas Pesona2]]+Tabla14[[#This Row],[Valor Embarque Pesona3]]</f>
        <v>5836</v>
      </c>
      <c r="BC235" s="446">
        <v>34000</v>
      </c>
      <c r="BD235" s="445">
        <f>Tabla14[[#This Row],[VALOR GANADO]]-Tabla14[[#This Row],[REAJUSTADO]]</f>
        <v>-28164</v>
      </c>
      <c r="BE235" s="250">
        <f>Tabla14[[#This Row],[CUANTO SE REAJUSTA]]*Tabla14[[#This Row],[Personas Rechazo]]</f>
        <v>-168984</v>
      </c>
      <c r="BF235" s="250">
        <f>Tabla14[[#This Row],[REAJUSTADO]]/25000</f>
        <v>1.36</v>
      </c>
      <c r="BG235" s="302">
        <f>Tabla14[[#This Row],[REAJUSTADO]]*Tabla14[[#This Row],[Personas Rechazo]]</f>
        <v>204000</v>
      </c>
      <c r="BH235" s="292" t="str">
        <f>Tabla14[[#This Row],[Finca]]</f>
        <v>San Pedro</v>
      </c>
      <c r="BJ235" s="332">
        <f>Tabla14[[#This Row],[Numero de Ocacionales]]*Tabla14[[#This Row],[REAJUSTADO]]</f>
        <v>0</v>
      </c>
      <c r="BK235" s="332"/>
      <c r="BL235" s="332"/>
      <c r="BM235" s="332">
        <f>+Tabla14[[#This Row],[CUANTO SE REAJUSTA]]*3</f>
        <v>-84492</v>
      </c>
    </row>
    <row r="236" spans="3:65" hidden="1" x14ac:dyDescent="0.25">
      <c r="C236" s="274">
        <v>44881</v>
      </c>
      <c r="D236" s="507">
        <f>YEAR(Tabla14[[#This Row],[Fecha]])</f>
        <v>2022</v>
      </c>
      <c r="E236" s="313">
        <f>IF(Tabla14[[#This Row],[Fecha]]&gt;0,_xlfn.ISOWEEKNUM(Tabla14[[#This Row],[Fecha]]),0)</f>
        <v>46</v>
      </c>
      <c r="F236" s="283">
        <f>70+26+2</f>
        <v>98</v>
      </c>
      <c r="G236" s="275" t="s">
        <v>211</v>
      </c>
      <c r="H236" s="325" t="str">
        <f>_xlfn.XLOOKUP(Tabla14[[#This Row],[Codigo Finca]],Tabla4[Codigo Finca],Tabla4[Nombre Finca],"")</f>
        <v>San Pedro</v>
      </c>
      <c r="I236" s="277">
        <f>_xlfn.XLOOKUP(Tabla14[[#This Row],[Codigo Finca]],Tabla4[Codigo Finca],Tabla4[Precio Caja],0)</f>
        <v>1600</v>
      </c>
      <c r="J236" s="277">
        <f>_xlfn.XLOOKUP(Tabla14[[#This Row],[Codigo Finca]],Tabla4[Codigo Finca],Tabla4[Precio Caja Segunda],0)</f>
        <v>1000</v>
      </c>
      <c r="K236" s="277">
        <f>_xlfn.XLOOKUP(Tabla14[[#This Row],[Codigo Finca]],Tabla4[Codigo Finca],Tabla4[Precio Rechazo],0)</f>
        <v>500</v>
      </c>
      <c r="L236" s="277">
        <f t="shared" si="335"/>
        <v>294</v>
      </c>
      <c r="M236" s="278">
        <f t="shared" si="336"/>
        <v>3</v>
      </c>
      <c r="N236" s="283"/>
      <c r="O236" s="279"/>
      <c r="P236" s="280">
        <f t="shared" si="337"/>
        <v>0</v>
      </c>
      <c r="Q236" s="281">
        <f t="shared" si="338"/>
        <v>0</v>
      </c>
      <c r="R236" s="282">
        <f t="shared" si="339"/>
        <v>0</v>
      </c>
      <c r="S236" s="283">
        <f>346-52</f>
        <v>294</v>
      </c>
      <c r="T236" s="275">
        <v>6</v>
      </c>
      <c r="U236" s="280">
        <f t="shared" si="340"/>
        <v>98</v>
      </c>
      <c r="V236" s="281">
        <f t="shared" si="341"/>
        <v>16.333333333333332</v>
      </c>
      <c r="W236" s="282">
        <f t="shared" si="342"/>
        <v>26133.333333333332</v>
      </c>
      <c r="X236" s="283"/>
      <c r="Y236" s="275"/>
      <c r="Z236" s="280">
        <f>Tabla14[[#This Row],[Cajas Segunda]]</f>
        <v>0</v>
      </c>
      <c r="AA236" s="281">
        <f t="shared" si="343"/>
        <v>0</v>
      </c>
      <c r="AB236" s="284">
        <f t="shared" si="344"/>
        <v>0</v>
      </c>
      <c r="AC236" s="285"/>
      <c r="AD236" s="286">
        <v>592</v>
      </c>
      <c r="AE236" s="286"/>
      <c r="AF236" s="286"/>
      <c r="AG236" s="286">
        <v>6</v>
      </c>
      <c r="AH236" s="280">
        <f t="shared" si="345"/>
        <v>23.68</v>
      </c>
      <c r="AI236" s="281">
        <f t="shared" si="346"/>
        <v>3.9466666666666668</v>
      </c>
      <c r="AJ236" s="282">
        <f t="shared" si="347"/>
        <v>1973.3333333333335</v>
      </c>
      <c r="AK236" s="287">
        <f>Tabla14[[#This Row],[Cajas por Personas]]</f>
        <v>0</v>
      </c>
      <c r="AL236" s="288">
        <f>Tabla14[[#This Row],[Valor Precorte Pesona]]</f>
        <v>0</v>
      </c>
      <c r="AM236" s="294">
        <f>Tabla14[[#This Row],[Personas Precorte]]</f>
        <v>0</v>
      </c>
      <c r="AN236" s="308">
        <f>Tabla14[[#This Row],[Valor Precorte Pesona Precorte]]*Tabla14[[#This Row],[Perzonas Precorte]]</f>
        <v>0</v>
      </c>
      <c r="AO236" s="287">
        <f>Tabla14[[#This Row],[Cajas por Personas2]]</f>
        <v>16.333333333333332</v>
      </c>
      <c r="AP236" s="288">
        <f>Tabla14[[#This Row],[Valor Embarque Pesona]]</f>
        <v>26133.333333333332</v>
      </c>
      <c r="AQ236" s="295">
        <f>Tabla14[[#This Row],[Personas Precorte2]]</f>
        <v>6</v>
      </c>
      <c r="AR236" s="296">
        <f>Tabla14[[#This Row],[Valor Embarque Pesona3]]*Tabla14[[#This Row],[Perzona Primera]]</f>
        <v>156800</v>
      </c>
      <c r="AS236" s="287">
        <f>Tabla14[[#This Row],[Columna2]]</f>
        <v>0</v>
      </c>
      <c r="AT236" s="288">
        <f>Tabla14[[#This Row],[Columna1]]</f>
        <v>0</v>
      </c>
      <c r="AU236" s="302">
        <f>Tabla14[[#This Row],[Personas Intervienen]]</f>
        <v>0</v>
      </c>
      <c r="AV236" s="297">
        <f>Tabla14[[#This Row],[Valor Embarque Pesona5]]*Tabla14[[#This Row],[Presonas Segunda]]</f>
        <v>0</v>
      </c>
      <c r="AW236" s="287">
        <f>Tabla14[[#This Row],[Bolsas Por Personas]]</f>
        <v>3.9466666666666668</v>
      </c>
      <c r="AX236" s="288">
        <f>Tabla14[[#This Row],[Valor bolsas Pesona]]</f>
        <v>1973.3333333333335</v>
      </c>
      <c r="AY236" s="309">
        <f>Tabla14[[#This Row],[Personas13]]</f>
        <v>6</v>
      </c>
      <c r="AZ236" s="310">
        <f>Tabla14[[#This Row],[Valor bolsas Pesona2]]*Tabla14[[#This Row],[Personas Rechazo]]</f>
        <v>11840</v>
      </c>
      <c r="BA236" s="311">
        <f>+Tabla14[[#This Row],[Total Valor Segunda]]+Tabla14[[#This Row],[Total Valor Primera]]+Tabla14[[#This Row],[Total Valor Precorte]]</f>
        <v>156800</v>
      </c>
      <c r="BB236" s="445">
        <f>Tabla14[[#This Row],[Valor bolsas Pesona2]]+Tabla14[[#This Row],[Valor Embarque Pesona3]]</f>
        <v>28106.666666666664</v>
      </c>
      <c r="BC236" s="446"/>
      <c r="BD236" s="445">
        <f>Tabla14[[#This Row],[VALOR GANADO]]-Tabla14[[#This Row],[REAJUSTADO]]</f>
        <v>28106.666666666664</v>
      </c>
      <c r="BE236" s="250">
        <f>Tabla14[[#This Row],[CUANTO SE REAJUSTA]]*Tabla14[[#This Row],[Personas Rechazo]]</f>
        <v>168640</v>
      </c>
      <c r="BF236" s="250">
        <f>Tabla14[[#This Row],[REAJUSTADO]]/25000</f>
        <v>0</v>
      </c>
      <c r="BG236" s="302">
        <f>Tabla14[[#This Row],[REAJUSTADO]]*Tabla14[[#This Row],[Personas Rechazo]]</f>
        <v>0</v>
      </c>
      <c r="BH236" s="292" t="str">
        <f>Tabla14[[#This Row],[Finca]]</f>
        <v>San Pedro</v>
      </c>
      <c r="BJ236" s="332">
        <f>Tabla14[[#This Row],[Numero de Ocacionales]]*Tabla14[[#This Row],[REAJUSTADO]]</f>
        <v>0</v>
      </c>
      <c r="BK236" s="332"/>
      <c r="BL236" s="332"/>
      <c r="BM236" s="332">
        <f>+Tabla14[[#This Row],[CUANTO SE REAJUSTA]]*3</f>
        <v>84320</v>
      </c>
    </row>
    <row r="237" spans="3:65" hidden="1" x14ac:dyDescent="0.25">
      <c r="C237" s="274">
        <v>44894</v>
      </c>
      <c r="D237" s="507">
        <f>YEAR(Tabla14[[#This Row],[Fecha]])</f>
        <v>2022</v>
      </c>
      <c r="E237" s="313">
        <f>IF(Tabla14[[#This Row],[Fecha]]&gt;0,_xlfn.ISOWEEKNUM(Tabla14[[#This Row],[Fecha]]),0)</f>
        <v>48</v>
      </c>
      <c r="F237" s="283">
        <v>384</v>
      </c>
      <c r="G237" s="275" t="s">
        <v>211</v>
      </c>
      <c r="H237" s="325" t="str">
        <f>_xlfn.XLOOKUP(Tabla14[[#This Row],[Codigo Finca]],Tabla4[Codigo Finca],Tabla4[Nombre Finca],"")</f>
        <v>San Pedro</v>
      </c>
      <c r="I237" s="277">
        <f>_xlfn.XLOOKUP(Tabla14[[#This Row],[Codigo Finca]],Tabla4[Codigo Finca],Tabla4[Precio Caja],0)</f>
        <v>1600</v>
      </c>
      <c r="J237" s="277">
        <f>_xlfn.XLOOKUP(Tabla14[[#This Row],[Codigo Finca]],Tabla4[Codigo Finca],Tabla4[Precio Caja Segunda],0)</f>
        <v>1000</v>
      </c>
      <c r="K237" s="277">
        <f>_xlfn.XLOOKUP(Tabla14[[#This Row],[Codigo Finca]],Tabla4[Codigo Finca],Tabla4[Precio Rechazo],0)</f>
        <v>500</v>
      </c>
      <c r="L237" s="277">
        <f t="shared" ref="L237:L242" si="348">S237+N237</f>
        <v>1247</v>
      </c>
      <c r="M237" s="278">
        <f t="shared" ref="M237:M242" si="349">IF(F237&gt;0,L237/F237,0)</f>
        <v>3.2473958333333335</v>
      </c>
      <c r="N237" s="283"/>
      <c r="O237" s="279"/>
      <c r="P237" s="280">
        <f t="shared" ref="P237:P242" si="350">IF(N237&gt;0,(N237/M237)/2,0)</f>
        <v>0</v>
      </c>
      <c r="Q237" s="281">
        <f t="shared" ref="Q237:Q242" si="351">IF(O237&gt;0,P237/O237,0)</f>
        <v>0</v>
      </c>
      <c r="R237" s="282">
        <f t="shared" ref="R237:R242" si="352">IF(I237&gt;0,Q237*I237,)</f>
        <v>0</v>
      </c>
      <c r="S237" s="283">
        <v>1247</v>
      </c>
      <c r="T237" s="275">
        <v>14</v>
      </c>
      <c r="U237" s="280">
        <f t="shared" ref="U237:U242" si="353">F237-P237</f>
        <v>384</v>
      </c>
      <c r="V237" s="281">
        <f t="shared" ref="V237:V242" si="354">IF(T237&gt;0,U237/T237,0)</f>
        <v>27.428571428571427</v>
      </c>
      <c r="W237" s="282">
        <f t="shared" ref="W237:W242" si="355">IF(T237&gt;0,(U237*I237)/T237,0)</f>
        <v>43885.714285714283</v>
      </c>
      <c r="X237" s="283"/>
      <c r="Y237" s="275"/>
      <c r="Z237" s="280">
        <f>Tabla14[[#This Row],[Cajas Segunda]]</f>
        <v>0</v>
      </c>
      <c r="AA237" s="281">
        <f t="shared" ref="AA237:AA242" si="356">IF(Y237&gt;0,Z237/Y237,0)</f>
        <v>0</v>
      </c>
      <c r="AB237" s="284">
        <f t="shared" ref="AB237:AB242" si="357">IF(Y237&gt;0,(Z237*J237)/Y237,0)</f>
        <v>0</v>
      </c>
      <c r="AC237" s="285">
        <v>57.83</v>
      </c>
      <c r="AD237" s="286"/>
      <c r="AE237" s="286"/>
      <c r="AF237" s="286"/>
      <c r="AG237" s="286">
        <v>14</v>
      </c>
      <c r="AH237" s="280">
        <f t="shared" ref="AH237:AH242" si="358">IF(AND(AC237&gt;0,AE237=0,AF237=0,AD237=0),AC237,IF(AND(AC237=0,AE237&gt;0,AF237&gt;0,AD237=0),AE237*AF237/25,IF(AND(AC237=0,AE237=0,AF237=0,AD237&gt;0),AD237/25,0)))</f>
        <v>57.83</v>
      </c>
      <c r="AI237" s="281">
        <f t="shared" ref="AI237:AI242" si="359">IF(AG237&gt;0,AH237/AG237,0)</f>
        <v>4.1307142857142853</v>
      </c>
      <c r="AJ237" s="282">
        <f t="shared" ref="AJ237:AJ242" si="360">AI237*K237</f>
        <v>2065.3571428571427</v>
      </c>
      <c r="AK237" s="287">
        <f>Tabla14[[#This Row],[Cajas por Personas]]</f>
        <v>0</v>
      </c>
      <c r="AL237" s="288">
        <f>Tabla14[[#This Row],[Valor Precorte Pesona]]</f>
        <v>0</v>
      </c>
      <c r="AM237" s="294">
        <f>Tabla14[[#This Row],[Personas Precorte]]</f>
        <v>0</v>
      </c>
      <c r="AN237" s="308">
        <f>Tabla14[[#This Row],[Valor Precorte Pesona Precorte]]*Tabla14[[#This Row],[Perzonas Precorte]]</f>
        <v>0</v>
      </c>
      <c r="AO237" s="287">
        <f>Tabla14[[#This Row],[Cajas por Personas2]]</f>
        <v>27.428571428571427</v>
      </c>
      <c r="AP237" s="288">
        <f>Tabla14[[#This Row],[Valor Embarque Pesona]]</f>
        <v>43885.714285714283</v>
      </c>
      <c r="AQ237" s="295">
        <f>Tabla14[[#This Row],[Personas Precorte2]]</f>
        <v>14</v>
      </c>
      <c r="AR237" s="296">
        <f>Tabla14[[#This Row],[Valor Embarque Pesona3]]*Tabla14[[#This Row],[Perzona Primera]]</f>
        <v>614400</v>
      </c>
      <c r="AS237" s="287">
        <f>Tabla14[[#This Row],[Columna2]]</f>
        <v>0</v>
      </c>
      <c r="AT237" s="288">
        <f>Tabla14[[#This Row],[Columna1]]</f>
        <v>0</v>
      </c>
      <c r="AU237" s="302">
        <f>Tabla14[[#This Row],[Personas Intervienen]]</f>
        <v>0</v>
      </c>
      <c r="AV237" s="297">
        <f>Tabla14[[#This Row],[Valor Embarque Pesona5]]*Tabla14[[#This Row],[Presonas Segunda]]</f>
        <v>0</v>
      </c>
      <c r="AW237" s="287">
        <f>Tabla14[[#This Row],[Bolsas Por Personas]]</f>
        <v>4.1307142857142853</v>
      </c>
      <c r="AX237" s="288">
        <f>Tabla14[[#This Row],[Valor bolsas Pesona]]</f>
        <v>2065.3571428571427</v>
      </c>
      <c r="AY237" s="309">
        <f>Tabla14[[#This Row],[Personas13]]</f>
        <v>14</v>
      </c>
      <c r="AZ237" s="310">
        <f>Tabla14[[#This Row],[Valor bolsas Pesona2]]*Tabla14[[#This Row],[Personas Rechazo]]</f>
        <v>28914.999999999996</v>
      </c>
      <c r="BA237" s="311">
        <f>+Tabla14[[#This Row],[Total Valor Segunda]]+Tabla14[[#This Row],[Total Valor Primera]]+Tabla14[[#This Row],[Total Valor Precorte]]</f>
        <v>614400</v>
      </c>
      <c r="BB237" s="292">
        <f>Tabla14[[#This Row],[Valor bolsas Pesona2]]+Tabla14[[#This Row],[Valor Embarque Pesona3]]</f>
        <v>45951.071428571428</v>
      </c>
      <c r="BC237" s="332">
        <v>46000</v>
      </c>
      <c r="BD237" s="292">
        <f>Tabla14[[#This Row],[VALOR GANADO]]-Tabla14[[#This Row],[REAJUSTADO]]</f>
        <v>-48.928571428572468</v>
      </c>
      <c r="BE237" s="250">
        <f>Tabla14[[#This Row],[CUANTO SE REAJUSTA]]*Tabla14[[#This Row],[Personas Rechazo]]</f>
        <v>-685.00000000001455</v>
      </c>
      <c r="BF237" s="250">
        <f>Tabla14[[#This Row],[REAJUSTADO]]/25000</f>
        <v>1.84</v>
      </c>
      <c r="BG237" s="302">
        <f>Tabla14[[#This Row],[REAJUSTADO]]*Tabla14[[#This Row],[Personas Rechazo]]</f>
        <v>644000</v>
      </c>
      <c r="BH237" s="292" t="str">
        <f>Tabla14[[#This Row],[Finca]]</f>
        <v>San Pedro</v>
      </c>
      <c r="BJ237" s="332">
        <f>Tabla14[[#This Row],[Numero de Ocacionales]]*Tabla14[[#This Row],[REAJUSTADO]]</f>
        <v>0</v>
      </c>
      <c r="BK237" s="332"/>
      <c r="BL237" s="332"/>
      <c r="BM237" s="332">
        <f>+Tabla14[[#This Row],[CUANTO SE REAJUSTA]]*3</f>
        <v>-146.7857142857174</v>
      </c>
    </row>
    <row r="238" spans="3:65" hidden="1" x14ac:dyDescent="0.25">
      <c r="C238" s="274">
        <v>44894</v>
      </c>
      <c r="D238" s="507">
        <f>YEAR(Tabla14[[#This Row],[Fecha]])</f>
        <v>2022</v>
      </c>
      <c r="E238" s="313">
        <f>IF(Tabla14[[#This Row],[Fecha]]&gt;0,_xlfn.ISOWEEKNUM(Tabla14[[#This Row],[Fecha]]),0)</f>
        <v>48</v>
      </c>
      <c r="F238" s="283">
        <v>46</v>
      </c>
      <c r="G238" s="275" t="s">
        <v>153</v>
      </c>
      <c r="H238" s="325" t="str">
        <f>_xlfn.XLOOKUP(Tabla14[[#This Row],[Codigo Finca]],Tabla4[Codigo Finca],Tabla4[Nombre Finca],"")</f>
        <v>Uveros</v>
      </c>
      <c r="I238" s="277">
        <f>_xlfn.XLOOKUP(Tabla14[[#This Row],[Codigo Finca]],Tabla4[Codigo Finca],Tabla4[Precio Caja],0)</f>
        <v>1500</v>
      </c>
      <c r="J238" s="277">
        <f>_xlfn.XLOOKUP(Tabla14[[#This Row],[Codigo Finca]],Tabla4[Codigo Finca],Tabla4[Precio Caja Segunda],0)</f>
        <v>1000</v>
      </c>
      <c r="K238" s="277">
        <f>_xlfn.XLOOKUP(Tabla14[[#This Row],[Codigo Finca]],Tabla4[Codigo Finca],Tabla4[Precio Rechazo],0)</f>
        <v>500</v>
      </c>
      <c r="L238" s="277">
        <f t="shared" si="348"/>
        <v>295</v>
      </c>
      <c r="M238" s="278">
        <f t="shared" si="349"/>
        <v>6.4130434782608692</v>
      </c>
      <c r="N238" s="283"/>
      <c r="O238" s="279"/>
      <c r="P238" s="280">
        <f t="shared" si="350"/>
        <v>0</v>
      </c>
      <c r="Q238" s="281">
        <f t="shared" si="351"/>
        <v>0</v>
      </c>
      <c r="R238" s="282">
        <f t="shared" si="352"/>
        <v>0</v>
      </c>
      <c r="S238" s="283">
        <v>295</v>
      </c>
      <c r="T238" s="275">
        <v>3</v>
      </c>
      <c r="U238" s="280">
        <f t="shared" si="353"/>
        <v>46</v>
      </c>
      <c r="V238" s="281">
        <f t="shared" si="354"/>
        <v>15.333333333333334</v>
      </c>
      <c r="W238" s="282">
        <f t="shared" si="355"/>
        <v>23000</v>
      </c>
      <c r="X238" s="283"/>
      <c r="Y238" s="275"/>
      <c r="Z238" s="280">
        <f>Tabla14[[#This Row],[Cajas Segunda]]</f>
        <v>0</v>
      </c>
      <c r="AA238" s="281">
        <f t="shared" si="356"/>
        <v>0</v>
      </c>
      <c r="AB238" s="284">
        <f t="shared" si="357"/>
        <v>0</v>
      </c>
      <c r="AC238" s="285">
        <v>30.82</v>
      </c>
      <c r="AD238" s="450"/>
      <c r="AE238" s="286"/>
      <c r="AF238" s="286"/>
      <c r="AG238" s="286">
        <v>3</v>
      </c>
      <c r="AH238" s="280">
        <f t="shared" si="358"/>
        <v>30.82</v>
      </c>
      <c r="AI238" s="281">
        <f t="shared" si="359"/>
        <v>10.273333333333333</v>
      </c>
      <c r="AJ238" s="282">
        <f t="shared" si="360"/>
        <v>5136.666666666667</v>
      </c>
      <c r="AK238" s="287">
        <f>Tabla14[[#This Row],[Cajas por Personas]]</f>
        <v>0</v>
      </c>
      <c r="AL238" s="288">
        <f>Tabla14[[#This Row],[Valor Precorte Pesona]]</f>
        <v>0</v>
      </c>
      <c r="AM238" s="294">
        <f>Tabla14[[#This Row],[Personas Precorte]]</f>
        <v>0</v>
      </c>
      <c r="AN238" s="308">
        <f>Tabla14[[#This Row],[Valor Precorte Pesona Precorte]]*Tabla14[[#This Row],[Perzonas Precorte]]</f>
        <v>0</v>
      </c>
      <c r="AO238" s="287">
        <f>Tabla14[[#This Row],[Cajas por Personas2]]</f>
        <v>15.333333333333334</v>
      </c>
      <c r="AP238" s="288">
        <f>Tabla14[[#This Row],[Valor Embarque Pesona]]</f>
        <v>23000</v>
      </c>
      <c r="AQ238" s="295">
        <f>Tabla14[[#This Row],[Personas Precorte2]]</f>
        <v>3</v>
      </c>
      <c r="AR238" s="296">
        <f>Tabla14[[#This Row],[Valor Embarque Pesona3]]*Tabla14[[#This Row],[Perzona Primera]]</f>
        <v>69000</v>
      </c>
      <c r="AS238" s="287">
        <f>Tabla14[[#This Row],[Columna2]]</f>
        <v>0</v>
      </c>
      <c r="AT238" s="288">
        <f>Tabla14[[#This Row],[Columna1]]</f>
        <v>0</v>
      </c>
      <c r="AU238" s="302">
        <f>Tabla14[[#This Row],[Personas Intervienen]]</f>
        <v>0</v>
      </c>
      <c r="AV238" s="297">
        <f>Tabla14[[#This Row],[Valor Embarque Pesona5]]*Tabla14[[#This Row],[Presonas Segunda]]</f>
        <v>0</v>
      </c>
      <c r="AW238" s="287">
        <f>Tabla14[[#This Row],[Bolsas Por Personas]]</f>
        <v>10.273333333333333</v>
      </c>
      <c r="AX238" s="288">
        <f>Tabla14[[#This Row],[Valor bolsas Pesona]]</f>
        <v>5136.666666666667</v>
      </c>
      <c r="AY238" s="309">
        <f>Tabla14[[#This Row],[Personas13]]</f>
        <v>3</v>
      </c>
      <c r="AZ238" s="310">
        <f>Tabla14[[#This Row],[Valor bolsas Pesona2]]*Tabla14[[#This Row],[Personas Rechazo]]</f>
        <v>15410</v>
      </c>
      <c r="BA238" s="311">
        <f>+Tabla14[[#This Row],[Total Valor Segunda]]+Tabla14[[#This Row],[Total Valor Primera]]+Tabla14[[#This Row],[Total Valor Precorte]]</f>
        <v>69000</v>
      </c>
      <c r="BB238" s="292">
        <f>Tabla14[[#This Row],[Valor bolsas Pesona2]]+Tabla14[[#This Row],[Valor Embarque Pesona3]]</f>
        <v>28136.666666666668</v>
      </c>
      <c r="BC238" s="332">
        <v>30000</v>
      </c>
      <c r="BD238" s="292">
        <f>Tabla14[[#This Row],[VALOR GANADO]]-Tabla14[[#This Row],[REAJUSTADO]]</f>
        <v>-1863.3333333333321</v>
      </c>
      <c r="BE238" s="250">
        <f>Tabla14[[#This Row],[CUANTO SE REAJUSTA]]*Tabla14[[#This Row],[Personas Rechazo]]</f>
        <v>-5589.9999999999964</v>
      </c>
      <c r="BF238" s="250">
        <f>Tabla14[[#This Row],[REAJUSTADO]]/25000</f>
        <v>1.2</v>
      </c>
      <c r="BG238" s="302">
        <f>Tabla14[[#This Row],[REAJUSTADO]]*Tabla14[[#This Row],[Personas Rechazo]]</f>
        <v>90000</v>
      </c>
      <c r="BH238" s="292" t="str">
        <f>Tabla14[[#This Row],[Finca]]</f>
        <v>Uveros</v>
      </c>
      <c r="BJ238" s="332">
        <f>Tabla14[[#This Row],[Numero de Ocacionales]]*Tabla14[[#This Row],[REAJUSTADO]]</f>
        <v>0</v>
      </c>
      <c r="BK238" s="332"/>
      <c r="BL238" s="332"/>
      <c r="BM238" s="332">
        <f>+Tabla14[[#This Row],[CUANTO SE REAJUSTA]]*3</f>
        <v>-5589.9999999999964</v>
      </c>
    </row>
    <row r="239" spans="3:65" hidden="1" x14ac:dyDescent="0.25">
      <c r="C239" s="274">
        <v>44895</v>
      </c>
      <c r="D239" s="507">
        <f>YEAR(Tabla14[[#This Row],[Fecha]])</f>
        <v>2022</v>
      </c>
      <c r="E239" s="313">
        <f>IF(Tabla14[[#This Row],[Fecha]]&gt;0,_xlfn.ISOWEEKNUM(Tabla14[[#This Row],[Fecha]]),0)</f>
        <v>48</v>
      </c>
      <c r="F239" s="283">
        <f>222+41</f>
        <v>263</v>
      </c>
      <c r="G239" s="275" t="s">
        <v>211</v>
      </c>
      <c r="H239" s="325" t="str">
        <f>_xlfn.XLOOKUP(Tabla14[[#This Row],[Codigo Finca]],Tabla4[Codigo Finca],Tabla4[Nombre Finca],"")</f>
        <v>San Pedro</v>
      </c>
      <c r="I239" s="277">
        <f>_xlfn.XLOOKUP(Tabla14[[#This Row],[Codigo Finca]],Tabla4[Codigo Finca],Tabla4[Precio Caja],0)</f>
        <v>1600</v>
      </c>
      <c r="J239" s="277">
        <f>_xlfn.XLOOKUP(Tabla14[[#This Row],[Codigo Finca]],Tabla4[Codigo Finca],Tabla4[Precio Caja Segunda],0)</f>
        <v>1000</v>
      </c>
      <c r="K239" s="277">
        <f>_xlfn.XLOOKUP(Tabla14[[#This Row],[Codigo Finca]],Tabla4[Codigo Finca],Tabla4[Precio Rechazo],0)</f>
        <v>500</v>
      </c>
      <c r="L239" s="277">
        <f t="shared" si="348"/>
        <v>767</v>
      </c>
      <c r="M239" s="278">
        <f t="shared" si="349"/>
        <v>2.9163498098859315</v>
      </c>
      <c r="N239" s="283"/>
      <c r="O239" s="279"/>
      <c r="P239" s="280">
        <f t="shared" si="350"/>
        <v>0</v>
      </c>
      <c r="Q239" s="281">
        <f t="shared" si="351"/>
        <v>0</v>
      </c>
      <c r="R239" s="282">
        <f t="shared" si="352"/>
        <v>0</v>
      </c>
      <c r="S239" s="283">
        <f>905-138</f>
        <v>767</v>
      </c>
      <c r="T239" s="275">
        <v>10</v>
      </c>
      <c r="U239" s="280">
        <f t="shared" si="353"/>
        <v>263</v>
      </c>
      <c r="V239" s="281">
        <f t="shared" si="354"/>
        <v>26.3</v>
      </c>
      <c r="W239" s="282">
        <f t="shared" si="355"/>
        <v>42080</v>
      </c>
      <c r="X239" s="283"/>
      <c r="Y239" s="275"/>
      <c r="Z239" s="280">
        <f>Tabla14[[#This Row],[Cajas Segunda]]</f>
        <v>0</v>
      </c>
      <c r="AA239" s="281">
        <f t="shared" si="356"/>
        <v>0</v>
      </c>
      <c r="AB239" s="284">
        <f t="shared" si="357"/>
        <v>0</v>
      </c>
      <c r="AC239" s="285">
        <v>39.6</v>
      </c>
      <c r="AD239" s="286"/>
      <c r="AE239" s="286"/>
      <c r="AF239" s="286"/>
      <c r="AG239" s="286">
        <v>10</v>
      </c>
      <c r="AH239" s="280">
        <f t="shared" si="358"/>
        <v>39.6</v>
      </c>
      <c r="AI239" s="281">
        <f t="shared" si="359"/>
        <v>3.96</v>
      </c>
      <c r="AJ239" s="282">
        <f t="shared" si="360"/>
        <v>1980</v>
      </c>
      <c r="AK239" s="287">
        <f>Tabla14[[#This Row],[Cajas por Personas]]</f>
        <v>0</v>
      </c>
      <c r="AL239" s="288">
        <f>Tabla14[[#This Row],[Valor Precorte Pesona]]</f>
        <v>0</v>
      </c>
      <c r="AM239" s="294">
        <f>Tabla14[[#This Row],[Personas Precorte]]</f>
        <v>0</v>
      </c>
      <c r="AN239" s="308">
        <f>Tabla14[[#This Row],[Valor Precorte Pesona Precorte]]*Tabla14[[#This Row],[Perzonas Precorte]]</f>
        <v>0</v>
      </c>
      <c r="AO239" s="287">
        <f>Tabla14[[#This Row],[Cajas por Personas2]]</f>
        <v>26.3</v>
      </c>
      <c r="AP239" s="288">
        <f>Tabla14[[#This Row],[Valor Embarque Pesona]]</f>
        <v>42080</v>
      </c>
      <c r="AQ239" s="295">
        <f>Tabla14[[#This Row],[Personas Precorte2]]</f>
        <v>10</v>
      </c>
      <c r="AR239" s="296">
        <f>Tabla14[[#This Row],[Valor Embarque Pesona3]]*Tabla14[[#This Row],[Perzona Primera]]</f>
        <v>420800</v>
      </c>
      <c r="AS239" s="287">
        <f>Tabla14[[#This Row],[Columna2]]</f>
        <v>0</v>
      </c>
      <c r="AT239" s="288">
        <f>Tabla14[[#This Row],[Columna1]]</f>
        <v>0</v>
      </c>
      <c r="AU239" s="302">
        <f>Tabla14[[#This Row],[Personas Intervienen]]</f>
        <v>0</v>
      </c>
      <c r="AV239" s="297">
        <f>Tabla14[[#This Row],[Valor Embarque Pesona5]]*Tabla14[[#This Row],[Presonas Segunda]]</f>
        <v>0</v>
      </c>
      <c r="AW239" s="287">
        <f>Tabla14[[#This Row],[Bolsas Por Personas]]</f>
        <v>3.96</v>
      </c>
      <c r="AX239" s="288">
        <f>Tabla14[[#This Row],[Valor bolsas Pesona]]</f>
        <v>1980</v>
      </c>
      <c r="AY239" s="309">
        <f>Tabla14[[#This Row],[Personas13]]</f>
        <v>10</v>
      </c>
      <c r="AZ239" s="310">
        <f>Tabla14[[#This Row],[Valor bolsas Pesona2]]*Tabla14[[#This Row],[Personas Rechazo]]</f>
        <v>19800</v>
      </c>
      <c r="BA239" s="311">
        <f>+Tabla14[[#This Row],[Total Valor Segunda]]+Tabla14[[#This Row],[Total Valor Primera]]+Tabla14[[#This Row],[Total Valor Precorte]]</f>
        <v>420800</v>
      </c>
      <c r="BB239" s="451">
        <f>Tabla14[[#This Row],[Valor bolsas Pesona2]]+Tabla14[[#This Row],[Valor Embarque Pesona3]]</f>
        <v>44060</v>
      </c>
      <c r="BC239" s="452">
        <v>53000</v>
      </c>
      <c r="BD239" s="451">
        <f>Tabla14[[#This Row],[VALOR GANADO]]-Tabla14[[#This Row],[REAJUSTADO]]</f>
        <v>-8940</v>
      </c>
      <c r="BE239" s="250">
        <f>Tabla14[[#This Row],[CUANTO SE REAJUSTA]]*Tabla14[[#This Row],[Personas Rechazo]]</f>
        <v>-89400</v>
      </c>
      <c r="BF239" s="250">
        <f>Tabla14[[#This Row],[REAJUSTADO]]/25000</f>
        <v>2.12</v>
      </c>
      <c r="BG239" s="302">
        <f>Tabla14[[#This Row],[REAJUSTADO]]*Tabla14[[#This Row],[Personas Rechazo]]</f>
        <v>530000</v>
      </c>
      <c r="BH239" s="292" t="str">
        <f>Tabla14[[#This Row],[Finca]]</f>
        <v>San Pedro</v>
      </c>
      <c r="BJ239" s="332">
        <f>Tabla14[[#This Row],[Numero de Ocacionales]]*Tabla14[[#This Row],[REAJUSTADO]]</f>
        <v>0</v>
      </c>
      <c r="BK239" s="332"/>
      <c r="BL239" s="332"/>
      <c r="BM239" s="332">
        <f>+Tabla14[[#This Row],[CUANTO SE REAJUSTA]]*3</f>
        <v>-26820</v>
      </c>
    </row>
    <row r="240" spans="3:65" hidden="1" x14ac:dyDescent="0.25">
      <c r="C240" s="274">
        <v>44895</v>
      </c>
      <c r="D240" s="507">
        <f>YEAR(Tabla14[[#This Row],[Fecha]])</f>
        <v>2022</v>
      </c>
      <c r="E240" s="313">
        <f>IF(Tabla14[[#This Row],[Fecha]]&gt;0,_xlfn.ISOWEEKNUM(Tabla14[[#This Row],[Fecha]]),0)</f>
        <v>48</v>
      </c>
      <c r="F240" s="283">
        <v>47</v>
      </c>
      <c r="G240" s="275" t="s">
        <v>209</v>
      </c>
      <c r="H240" s="325" t="str">
        <f>_xlfn.XLOOKUP(Tabla14[[#This Row],[Codigo Finca]],Tabla4[Codigo Finca],Tabla4[Nombre Finca],"")</f>
        <v>San Pedro</v>
      </c>
      <c r="I240" s="277">
        <f>_xlfn.XLOOKUP(Tabla14[[#This Row],[Codigo Finca]],Tabla4[Codigo Finca],Tabla4[Precio Caja],0)</f>
        <v>1800</v>
      </c>
      <c r="J240" s="277">
        <f>_xlfn.XLOOKUP(Tabla14[[#This Row],[Codigo Finca]],Tabla4[Codigo Finca],Tabla4[Precio Caja Segunda],0)</f>
        <v>1000</v>
      </c>
      <c r="K240" s="277">
        <f>_xlfn.XLOOKUP(Tabla14[[#This Row],[Codigo Finca]],Tabla4[Codigo Finca],Tabla4[Precio Rechazo],0)</f>
        <v>600</v>
      </c>
      <c r="L240" s="277">
        <f t="shared" si="348"/>
        <v>138</v>
      </c>
      <c r="M240" s="278">
        <f t="shared" si="349"/>
        <v>2.9361702127659575</v>
      </c>
      <c r="N240" s="283"/>
      <c r="O240" s="279"/>
      <c r="P240" s="280">
        <f t="shared" si="350"/>
        <v>0</v>
      </c>
      <c r="Q240" s="281">
        <f t="shared" si="351"/>
        <v>0</v>
      </c>
      <c r="R240" s="282">
        <f t="shared" si="352"/>
        <v>0</v>
      </c>
      <c r="S240" s="283">
        <v>138</v>
      </c>
      <c r="T240" s="275">
        <v>10</v>
      </c>
      <c r="U240" s="280">
        <f t="shared" si="353"/>
        <v>47</v>
      </c>
      <c r="V240" s="281">
        <f t="shared" si="354"/>
        <v>4.7</v>
      </c>
      <c r="W240" s="282">
        <f t="shared" si="355"/>
        <v>8460</v>
      </c>
      <c r="X240" s="283"/>
      <c r="Y240" s="275"/>
      <c r="Z240" s="280">
        <f>Tabla14[[#This Row],[Cajas Segunda]]</f>
        <v>0</v>
      </c>
      <c r="AA240" s="281">
        <f t="shared" si="356"/>
        <v>0</v>
      </c>
      <c r="AB240" s="284">
        <f t="shared" si="357"/>
        <v>0</v>
      </c>
      <c r="AC240" s="285">
        <v>11.9</v>
      </c>
      <c r="AD240" s="286"/>
      <c r="AE240" s="286"/>
      <c r="AF240" s="286"/>
      <c r="AG240" s="286">
        <v>10</v>
      </c>
      <c r="AH240" s="280">
        <f t="shared" si="358"/>
        <v>11.9</v>
      </c>
      <c r="AI240" s="281">
        <f t="shared" si="359"/>
        <v>1.19</v>
      </c>
      <c r="AJ240" s="282">
        <f t="shared" si="360"/>
        <v>714</v>
      </c>
      <c r="AK240" s="287">
        <f>Tabla14[[#This Row],[Cajas por Personas]]</f>
        <v>0</v>
      </c>
      <c r="AL240" s="288">
        <f>Tabla14[[#This Row],[Valor Precorte Pesona]]</f>
        <v>0</v>
      </c>
      <c r="AM240" s="294">
        <f>Tabla14[[#This Row],[Personas Precorte]]</f>
        <v>0</v>
      </c>
      <c r="AN240" s="308">
        <f>Tabla14[[#This Row],[Valor Precorte Pesona Precorte]]*Tabla14[[#This Row],[Perzonas Precorte]]</f>
        <v>0</v>
      </c>
      <c r="AO240" s="287">
        <f>Tabla14[[#This Row],[Cajas por Personas2]]</f>
        <v>4.7</v>
      </c>
      <c r="AP240" s="288">
        <f>Tabla14[[#This Row],[Valor Embarque Pesona]]</f>
        <v>8460</v>
      </c>
      <c r="AQ240" s="295">
        <f>Tabla14[[#This Row],[Personas Precorte2]]</f>
        <v>10</v>
      </c>
      <c r="AR240" s="296">
        <f>Tabla14[[#This Row],[Valor Embarque Pesona3]]*Tabla14[[#This Row],[Perzona Primera]]</f>
        <v>84600</v>
      </c>
      <c r="AS240" s="287">
        <f>Tabla14[[#This Row],[Columna2]]</f>
        <v>0</v>
      </c>
      <c r="AT240" s="288">
        <f>Tabla14[[#This Row],[Columna1]]</f>
        <v>0</v>
      </c>
      <c r="AU240" s="302">
        <f>Tabla14[[#This Row],[Personas Intervienen]]</f>
        <v>0</v>
      </c>
      <c r="AV240" s="297">
        <f>Tabla14[[#This Row],[Valor Embarque Pesona5]]*Tabla14[[#This Row],[Presonas Segunda]]</f>
        <v>0</v>
      </c>
      <c r="AW240" s="287">
        <f>Tabla14[[#This Row],[Bolsas Por Personas]]</f>
        <v>1.19</v>
      </c>
      <c r="AX240" s="288">
        <f>Tabla14[[#This Row],[Valor bolsas Pesona]]</f>
        <v>714</v>
      </c>
      <c r="AY240" s="309">
        <f>Tabla14[[#This Row],[Personas13]]</f>
        <v>10</v>
      </c>
      <c r="AZ240" s="310">
        <f>Tabla14[[#This Row],[Valor bolsas Pesona2]]*Tabla14[[#This Row],[Personas Rechazo]]</f>
        <v>7140</v>
      </c>
      <c r="BA240" s="311">
        <f>+Tabla14[[#This Row],[Total Valor Segunda]]+Tabla14[[#This Row],[Total Valor Primera]]+Tabla14[[#This Row],[Total Valor Precorte]]</f>
        <v>84600</v>
      </c>
      <c r="BB240" s="451">
        <f>Tabla14[[#This Row],[Valor bolsas Pesona2]]+Tabla14[[#This Row],[Valor Embarque Pesona3]]</f>
        <v>9174</v>
      </c>
      <c r="BC240" s="452"/>
      <c r="BD240" s="451">
        <f>Tabla14[[#This Row],[VALOR GANADO]]-Tabla14[[#This Row],[REAJUSTADO]]</f>
        <v>9174</v>
      </c>
      <c r="BE240" s="250">
        <f>Tabla14[[#This Row],[CUANTO SE REAJUSTA]]*Tabla14[[#This Row],[Personas Rechazo]]</f>
        <v>91740</v>
      </c>
      <c r="BF240" s="250">
        <f>Tabla14[[#This Row],[REAJUSTADO]]/25000</f>
        <v>0</v>
      </c>
      <c r="BG240" s="302">
        <f>Tabla14[[#This Row],[REAJUSTADO]]*Tabla14[[#This Row],[Personas Rechazo]]</f>
        <v>0</v>
      </c>
      <c r="BH240" s="292" t="str">
        <f>Tabla14[[#This Row],[Finca]]</f>
        <v>San Pedro</v>
      </c>
      <c r="BJ240" s="332">
        <f>Tabla14[[#This Row],[Numero de Ocacionales]]*Tabla14[[#This Row],[REAJUSTADO]]</f>
        <v>0</v>
      </c>
      <c r="BK240" s="332"/>
      <c r="BL240" s="332"/>
      <c r="BM240" s="332">
        <f>+Tabla14[[#This Row],[CUANTO SE REAJUSTA]]*3</f>
        <v>27522</v>
      </c>
    </row>
    <row r="241" spans="3:65" hidden="1" x14ac:dyDescent="0.25">
      <c r="C241" s="274">
        <v>44895</v>
      </c>
      <c r="D241" s="507">
        <f>YEAR(Tabla14[[#This Row],[Fecha]])</f>
        <v>2022</v>
      </c>
      <c r="E241" s="313">
        <f>IF(Tabla14[[#This Row],[Fecha]]&gt;0,_xlfn.ISOWEEKNUM(Tabla14[[#This Row],[Fecha]]),0)</f>
        <v>48</v>
      </c>
      <c r="F241" s="283">
        <v>46</v>
      </c>
      <c r="G241" s="275" t="s">
        <v>155</v>
      </c>
      <c r="H241" s="325" t="str">
        <f>_xlfn.XLOOKUP(Tabla14[[#This Row],[Codigo Finca]],Tabla4[Codigo Finca],Tabla4[Nombre Finca],"")</f>
        <v>Damaquiel</v>
      </c>
      <c r="I241" s="277">
        <f>_xlfn.XLOOKUP(Tabla14[[#This Row],[Codigo Finca]],Tabla4[Codigo Finca],Tabla4[Precio Caja],0)</f>
        <v>1500</v>
      </c>
      <c r="J241" s="277">
        <f>_xlfn.XLOOKUP(Tabla14[[#This Row],[Codigo Finca]],Tabla4[Codigo Finca],Tabla4[Precio Caja Segunda],0)</f>
        <v>1000</v>
      </c>
      <c r="K241" s="277">
        <f>_xlfn.XLOOKUP(Tabla14[[#This Row],[Codigo Finca]],Tabla4[Codigo Finca],Tabla4[Precio Rechazo],0)</f>
        <v>500</v>
      </c>
      <c r="L241" s="277">
        <f t="shared" si="348"/>
        <v>578</v>
      </c>
      <c r="M241" s="278">
        <f t="shared" si="349"/>
        <v>12.565217391304348</v>
      </c>
      <c r="N241" s="283"/>
      <c r="O241" s="279"/>
      <c r="P241" s="280">
        <f t="shared" si="350"/>
        <v>0</v>
      </c>
      <c r="Q241" s="281">
        <f t="shared" si="351"/>
        <v>0</v>
      </c>
      <c r="R241" s="282">
        <f t="shared" si="352"/>
        <v>0</v>
      </c>
      <c r="S241" s="283">
        <v>578</v>
      </c>
      <c r="T241" s="275">
        <v>5</v>
      </c>
      <c r="U241" s="280">
        <f t="shared" si="353"/>
        <v>46</v>
      </c>
      <c r="V241" s="281">
        <f t="shared" si="354"/>
        <v>9.1999999999999993</v>
      </c>
      <c r="W241" s="282">
        <f t="shared" si="355"/>
        <v>13800</v>
      </c>
      <c r="X241" s="283"/>
      <c r="Y241" s="275"/>
      <c r="Z241" s="280">
        <f>Tabla14[[#This Row],[Cajas Segunda]]</f>
        <v>0</v>
      </c>
      <c r="AA241" s="281">
        <f t="shared" si="356"/>
        <v>0</v>
      </c>
      <c r="AB241" s="284">
        <f t="shared" si="357"/>
        <v>0</v>
      </c>
      <c r="AC241" s="285">
        <v>30.82</v>
      </c>
      <c r="AD241" s="286"/>
      <c r="AE241" s="286"/>
      <c r="AF241" s="286"/>
      <c r="AG241" s="286">
        <v>5</v>
      </c>
      <c r="AH241" s="280">
        <f t="shared" si="358"/>
        <v>30.82</v>
      </c>
      <c r="AI241" s="281">
        <f t="shared" si="359"/>
        <v>6.1639999999999997</v>
      </c>
      <c r="AJ241" s="282">
        <f t="shared" si="360"/>
        <v>3082</v>
      </c>
      <c r="AK241" s="287">
        <f>Tabla14[[#This Row],[Cajas por Personas]]</f>
        <v>0</v>
      </c>
      <c r="AL241" s="288">
        <f>Tabla14[[#This Row],[Valor Precorte Pesona]]</f>
        <v>0</v>
      </c>
      <c r="AM241" s="294">
        <f>Tabla14[[#This Row],[Personas Precorte]]</f>
        <v>0</v>
      </c>
      <c r="AN241" s="308">
        <f>Tabla14[[#This Row],[Valor Precorte Pesona Precorte]]*Tabla14[[#This Row],[Perzonas Precorte]]</f>
        <v>0</v>
      </c>
      <c r="AO241" s="287">
        <f>Tabla14[[#This Row],[Cajas por Personas2]]</f>
        <v>9.1999999999999993</v>
      </c>
      <c r="AP241" s="288">
        <f>Tabla14[[#This Row],[Valor Embarque Pesona]]</f>
        <v>13800</v>
      </c>
      <c r="AQ241" s="295">
        <f>Tabla14[[#This Row],[Personas Precorte2]]</f>
        <v>5</v>
      </c>
      <c r="AR241" s="296">
        <f>Tabla14[[#This Row],[Valor Embarque Pesona3]]*Tabla14[[#This Row],[Perzona Primera]]</f>
        <v>69000</v>
      </c>
      <c r="AS241" s="287">
        <f>Tabla14[[#This Row],[Columna2]]</f>
        <v>0</v>
      </c>
      <c r="AT241" s="288">
        <f>Tabla14[[#This Row],[Columna1]]</f>
        <v>0</v>
      </c>
      <c r="AU241" s="302">
        <f>Tabla14[[#This Row],[Personas Intervienen]]</f>
        <v>0</v>
      </c>
      <c r="AV241" s="297">
        <f>Tabla14[[#This Row],[Valor Embarque Pesona5]]*Tabla14[[#This Row],[Presonas Segunda]]</f>
        <v>0</v>
      </c>
      <c r="AW241" s="287">
        <f>Tabla14[[#This Row],[Bolsas Por Personas]]</f>
        <v>6.1639999999999997</v>
      </c>
      <c r="AX241" s="288">
        <f>Tabla14[[#This Row],[Valor bolsas Pesona]]</f>
        <v>3082</v>
      </c>
      <c r="AY241" s="309">
        <f>Tabla14[[#This Row],[Personas13]]</f>
        <v>5</v>
      </c>
      <c r="AZ241" s="310">
        <f>Tabla14[[#This Row],[Valor bolsas Pesona2]]*Tabla14[[#This Row],[Personas Rechazo]]</f>
        <v>15410</v>
      </c>
      <c r="BA241" s="311">
        <f>+Tabla14[[#This Row],[Total Valor Segunda]]+Tabla14[[#This Row],[Total Valor Primera]]+Tabla14[[#This Row],[Total Valor Precorte]]</f>
        <v>69000</v>
      </c>
      <c r="BB241" s="292">
        <f>Tabla14[[#This Row],[Valor bolsas Pesona2]]+Tabla14[[#This Row],[Valor Embarque Pesona3]]</f>
        <v>16882</v>
      </c>
      <c r="BC241" s="332">
        <v>30000</v>
      </c>
      <c r="BD241" s="292">
        <f>Tabla14[[#This Row],[VALOR GANADO]]-Tabla14[[#This Row],[REAJUSTADO]]</f>
        <v>-13118</v>
      </c>
      <c r="BE241" s="250">
        <f>Tabla14[[#This Row],[CUANTO SE REAJUSTA]]*Tabla14[[#This Row],[Personas Rechazo]]</f>
        <v>-65590</v>
      </c>
      <c r="BF241" s="250">
        <f>Tabla14[[#This Row],[REAJUSTADO]]/25000</f>
        <v>1.2</v>
      </c>
      <c r="BG241" s="302">
        <f>Tabla14[[#This Row],[REAJUSTADO]]*Tabla14[[#This Row],[Personas Rechazo]]</f>
        <v>150000</v>
      </c>
      <c r="BH241" s="292" t="str">
        <f>Tabla14[[#This Row],[Finca]]</f>
        <v>Damaquiel</v>
      </c>
      <c r="BJ241" s="332">
        <f>Tabla14[[#This Row],[Numero de Ocacionales]]*Tabla14[[#This Row],[REAJUSTADO]]</f>
        <v>0</v>
      </c>
      <c r="BK241" s="332"/>
      <c r="BL241" s="332"/>
      <c r="BM241" s="332">
        <f>+Tabla14[[#This Row],[CUANTO SE REAJUSTA]]*3</f>
        <v>-39354</v>
      </c>
    </row>
    <row r="242" spans="3:65" hidden="1" x14ac:dyDescent="0.25">
      <c r="C242" s="274">
        <v>44895</v>
      </c>
      <c r="D242" s="507">
        <f>YEAR(Tabla14[[#This Row],[Fecha]])</f>
        <v>2022</v>
      </c>
      <c r="E242" s="313">
        <f>IF(Tabla14[[#This Row],[Fecha]]&gt;0,_xlfn.ISOWEEKNUM(Tabla14[[#This Row],[Fecha]]),0)</f>
        <v>48</v>
      </c>
      <c r="F242" s="283">
        <v>81</v>
      </c>
      <c r="G242" s="275" t="s">
        <v>157</v>
      </c>
      <c r="H242" s="325" t="str">
        <f>_xlfn.XLOOKUP(Tabla14[[#This Row],[Codigo Finca]],Tabla4[Codigo Finca],Tabla4[Nombre Finca],"")</f>
        <v>Pedrito</v>
      </c>
      <c r="I242" s="277">
        <f>_xlfn.XLOOKUP(Tabla14[[#This Row],[Codigo Finca]],Tabla4[Codigo Finca],Tabla4[Precio Caja],0)</f>
        <v>2100</v>
      </c>
      <c r="J242" s="277">
        <f>_xlfn.XLOOKUP(Tabla14[[#This Row],[Codigo Finca]],Tabla4[Codigo Finca],Tabla4[Precio Caja Segunda],0)</f>
        <v>1000</v>
      </c>
      <c r="K242" s="277">
        <f>_xlfn.XLOOKUP(Tabla14[[#This Row],[Codigo Finca]],Tabla4[Codigo Finca],Tabla4[Precio Rechazo],0)</f>
        <v>500</v>
      </c>
      <c r="L242" s="277">
        <f t="shared" si="348"/>
        <v>531</v>
      </c>
      <c r="M242" s="278">
        <f t="shared" si="349"/>
        <v>6.5555555555555554</v>
      </c>
      <c r="N242" s="283"/>
      <c r="O242" s="279"/>
      <c r="P242" s="280">
        <f t="shared" si="350"/>
        <v>0</v>
      </c>
      <c r="Q242" s="281">
        <f t="shared" si="351"/>
        <v>0</v>
      </c>
      <c r="R242" s="282">
        <f t="shared" si="352"/>
        <v>0</v>
      </c>
      <c r="S242" s="283">
        <v>531</v>
      </c>
      <c r="T242" s="275">
        <v>9</v>
      </c>
      <c r="U242" s="280">
        <f t="shared" si="353"/>
        <v>81</v>
      </c>
      <c r="V242" s="281">
        <f t="shared" si="354"/>
        <v>9</v>
      </c>
      <c r="W242" s="282">
        <f t="shared" si="355"/>
        <v>18900</v>
      </c>
      <c r="X242" s="283"/>
      <c r="Y242" s="275"/>
      <c r="Z242" s="280">
        <f>Tabla14[[#This Row],[Cajas Segunda]]</f>
        <v>0</v>
      </c>
      <c r="AA242" s="281">
        <f t="shared" si="356"/>
        <v>0</v>
      </c>
      <c r="AB242" s="284">
        <f t="shared" si="357"/>
        <v>0</v>
      </c>
      <c r="AC242" s="285">
        <v>58</v>
      </c>
      <c r="AD242" s="286"/>
      <c r="AE242" s="286"/>
      <c r="AF242" s="286"/>
      <c r="AG242" s="286">
        <v>9</v>
      </c>
      <c r="AH242" s="280">
        <f t="shared" si="358"/>
        <v>58</v>
      </c>
      <c r="AI242" s="281">
        <f t="shared" si="359"/>
        <v>6.4444444444444446</v>
      </c>
      <c r="AJ242" s="282">
        <f t="shared" si="360"/>
        <v>3222.2222222222222</v>
      </c>
      <c r="AK242" s="287">
        <f>Tabla14[[#This Row],[Cajas por Personas]]</f>
        <v>0</v>
      </c>
      <c r="AL242" s="288">
        <f>Tabla14[[#This Row],[Valor Precorte Pesona]]</f>
        <v>0</v>
      </c>
      <c r="AM242" s="294">
        <f>Tabla14[[#This Row],[Personas Precorte]]</f>
        <v>0</v>
      </c>
      <c r="AN242" s="308">
        <f>Tabla14[[#This Row],[Valor Precorte Pesona Precorte]]*Tabla14[[#This Row],[Perzonas Precorte]]</f>
        <v>0</v>
      </c>
      <c r="AO242" s="287">
        <f>Tabla14[[#This Row],[Cajas por Personas2]]</f>
        <v>9</v>
      </c>
      <c r="AP242" s="288">
        <f>Tabla14[[#This Row],[Valor Embarque Pesona]]</f>
        <v>18900</v>
      </c>
      <c r="AQ242" s="295">
        <f>Tabla14[[#This Row],[Personas Precorte2]]</f>
        <v>9</v>
      </c>
      <c r="AR242" s="296">
        <f>Tabla14[[#This Row],[Valor Embarque Pesona3]]*Tabla14[[#This Row],[Perzona Primera]]</f>
        <v>170100</v>
      </c>
      <c r="AS242" s="287">
        <f>Tabla14[[#This Row],[Columna2]]</f>
        <v>0</v>
      </c>
      <c r="AT242" s="288">
        <f>Tabla14[[#This Row],[Columna1]]</f>
        <v>0</v>
      </c>
      <c r="AU242" s="302">
        <f>Tabla14[[#This Row],[Personas Intervienen]]</f>
        <v>0</v>
      </c>
      <c r="AV242" s="297">
        <f>Tabla14[[#This Row],[Valor Embarque Pesona5]]*Tabla14[[#This Row],[Presonas Segunda]]</f>
        <v>0</v>
      </c>
      <c r="AW242" s="287">
        <f>Tabla14[[#This Row],[Bolsas Por Personas]]</f>
        <v>6.4444444444444446</v>
      </c>
      <c r="AX242" s="288">
        <f>Tabla14[[#This Row],[Valor bolsas Pesona]]</f>
        <v>3222.2222222222222</v>
      </c>
      <c r="AY242" s="309">
        <f>Tabla14[[#This Row],[Personas13]]</f>
        <v>9</v>
      </c>
      <c r="AZ242" s="310">
        <f>Tabla14[[#This Row],[Valor bolsas Pesona2]]*Tabla14[[#This Row],[Personas Rechazo]]</f>
        <v>29000</v>
      </c>
      <c r="BA242" s="311">
        <f>+Tabla14[[#This Row],[Total Valor Segunda]]+Tabla14[[#This Row],[Total Valor Primera]]+Tabla14[[#This Row],[Total Valor Precorte]]</f>
        <v>170100</v>
      </c>
      <c r="BB242" s="292">
        <f>Tabla14[[#This Row],[Valor bolsas Pesona2]]+Tabla14[[#This Row],[Valor Embarque Pesona3]]</f>
        <v>22122.222222222223</v>
      </c>
      <c r="BC242" s="332">
        <v>30000</v>
      </c>
      <c r="BD242" s="292">
        <f>Tabla14[[#This Row],[VALOR GANADO]]-Tabla14[[#This Row],[REAJUSTADO]]</f>
        <v>-7877.7777777777774</v>
      </c>
      <c r="BE242" s="250">
        <f>Tabla14[[#This Row],[CUANTO SE REAJUSTA]]*Tabla14[[#This Row],[Personas Rechazo]]</f>
        <v>-70900</v>
      </c>
      <c r="BF242" s="250">
        <f>Tabla14[[#This Row],[REAJUSTADO]]/25000</f>
        <v>1.2</v>
      </c>
      <c r="BG242" s="302">
        <f>Tabla14[[#This Row],[REAJUSTADO]]*Tabla14[[#This Row],[Personas Rechazo]]</f>
        <v>270000</v>
      </c>
      <c r="BH242" s="292" t="str">
        <f>Tabla14[[#This Row],[Finca]]</f>
        <v>Pedrito</v>
      </c>
      <c r="BJ242" s="332">
        <f>Tabla14[[#This Row],[Numero de Ocacionales]]*Tabla14[[#This Row],[REAJUSTADO]]</f>
        <v>0</v>
      </c>
      <c r="BK242" s="332"/>
      <c r="BL242" s="332"/>
      <c r="BM242" s="332">
        <f>+Tabla14[[#This Row],[CUANTO SE REAJUSTA]]*3</f>
        <v>-23633.333333333332</v>
      </c>
    </row>
    <row r="243" spans="3:65" hidden="1" x14ac:dyDescent="0.25">
      <c r="C243" s="274">
        <v>44901</v>
      </c>
      <c r="D243" s="507">
        <f>YEAR(Tabla14[[#This Row],[Fecha]])</f>
        <v>2022</v>
      </c>
      <c r="E243" s="313">
        <f>IF(Tabla14[[#This Row],[Fecha]]&gt;0,_xlfn.ISOWEEKNUM(Tabla14[[#This Row],[Fecha]]),0)</f>
        <v>49</v>
      </c>
      <c r="F243" s="283">
        <v>36</v>
      </c>
      <c r="G243" s="275" t="s">
        <v>153</v>
      </c>
      <c r="H243" s="325" t="str">
        <f>_xlfn.XLOOKUP(Tabla14[[#This Row],[Codigo Finca]],Tabla4[Codigo Finca],Tabla4[Nombre Finca],"")</f>
        <v>Uveros</v>
      </c>
      <c r="I243" s="277">
        <f>_xlfn.XLOOKUP(Tabla14[[#This Row],[Codigo Finca]],Tabla4[Codigo Finca],Tabla4[Precio Caja],0)</f>
        <v>1500</v>
      </c>
      <c r="J243" s="277">
        <f>_xlfn.XLOOKUP(Tabla14[[#This Row],[Codigo Finca]],Tabla4[Codigo Finca],Tabla4[Precio Caja Segunda],0)</f>
        <v>1000</v>
      </c>
      <c r="K243" s="277">
        <f>_xlfn.XLOOKUP(Tabla14[[#This Row],[Codigo Finca]],Tabla4[Codigo Finca],Tabla4[Precio Rechazo],0)</f>
        <v>500</v>
      </c>
      <c r="L243" s="277">
        <f t="shared" ref="L243:L248" si="361">S243+N243</f>
        <v>244</v>
      </c>
      <c r="M243" s="278">
        <f t="shared" ref="M243:M248" si="362">IF(F243&gt;0,L243/F243,0)</f>
        <v>6.7777777777777777</v>
      </c>
      <c r="N243" s="283"/>
      <c r="O243" s="279"/>
      <c r="P243" s="280">
        <f t="shared" ref="P243:P248" si="363">IF(N243&gt;0,(N243/M243)/2,0)</f>
        <v>0</v>
      </c>
      <c r="Q243" s="281">
        <f t="shared" ref="Q243:Q248" si="364">IF(O243&gt;0,P243/O243,0)</f>
        <v>0</v>
      </c>
      <c r="R243" s="282">
        <f t="shared" ref="R243:R248" si="365">IF(I243&gt;0,Q243*I243,)</f>
        <v>0</v>
      </c>
      <c r="S243" s="283">
        <v>244</v>
      </c>
      <c r="T243" s="275">
        <v>3</v>
      </c>
      <c r="U243" s="280">
        <f t="shared" ref="U243:U248" si="366">F243-P243</f>
        <v>36</v>
      </c>
      <c r="V243" s="281">
        <f t="shared" ref="V243:V248" si="367">IF(T243&gt;0,U243/T243,0)</f>
        <v>12</v>
      </c>
      <c r="W243" s="282">
        <f t="shared" ref="W243:W248" si="368">IF(T243&gt;0,(U243*I243)/T243,0)</f>
        <v>18000</v>
      </c>
      <c r="X243" s="283"/>
      <c r="Y243" s="275"/>
      <c r="Z243" s="280">
        <f>Tabla14[[#This Row],[Cajas Segunda]]</f>
        <v>0</v>
      </c>
      <c r="AA243" s="281">
        <f t="shared" ref="AA243:AA248" si="369">IF(Y243&gt;0,Z243/Y243,0)</f>
        <v>0</v>
      </c>
      <c r="AB243" s="284">
        <f t="shared" ref="AB243:AB248" si="370">IF(Y243&gt;0,(Z243*J243)/Y243,0)</f>
        <v>0</v>
      </c>
      <c r="AC243" s="285"/>
      <c r="AD243" s="286">
        <v>327</v>
      </c>
      <c r="AE243" s="286"/>
      <c r="AF243" s="286"/>
      <c r="AG243" s="286">
        <v>3</v>
      </c>
      <c r="AH243" s="280">
        <f t="shared" ref="AH243:AH248" si="371">IF(AND(AC243&gt;0,AE243=0,AF243=0,AD243=0),AC243,IF(AND(AC243=0,AE243&gt;0,AF243&gt;0,AD243=0),AE243*AF243/25,IF(AND(AC243=0,AE243=0,AF243=0,AD243&gt;0),AD243/25,0)))</f>
        <v>13.08</v>
      </c>
      <c r="AI243" s="281">
        <f t="shared" ref="AI243:AI248" si="372">IF(AG243&gt;0,AH243/AG243,0)</f>
        <v>4.3600000000000003</v>
      </c>
      <c r="AJ243" s="282">
        <f t="shared" ref="AJ243:AJ248" si="373">AI243*K243</f>
        <v>2180</v>
      </c>
      <c r="AK243" s="287">
        <f>Tabla14[[#This Row],[Cajas por Personas]]</f>
        <v>0</v>
      </c>
      <c r="AL243" s="288">
        <f>Tabla14[[#This Row],[Valor Precorte Pesona]]</f>
        <v>0</v>
      </c>
      <c r="AM243" s="294">
        <f>Tabla14[[#This Row],[Personas Precorte]]</f>
        <v>0</v>
      </c>
      <c r="AN243" s="308">
        <f>Tabla14[[#This Row],[Valor Precorte Pesona Precorte]]*Tabla14[[#This Row],[Perzonas Precorte]]</f>
        <v>0</v>
      </c>
      <c r="AO243" s="287">
        <f>Tabla14[[#This Row],[Cajas por Personas2]]</f>
        <v>12</v>
      </c>
      <c r="AP243" s="288">
        <f>Tabla14[[#This Row],[Valor Embarque Pesona]]</f>
        <v>18000</v>
      </c>
      <c r="AQ243" s="295">
        <f>Tabla14[[#This Row],[Personas Precorte2]]</f>
        <v>3</v>
      </c>
      <c r="AR243" s="296">
        <f>Tabla14[[#This Row],[Valor Embarque Pesona3]]*Tabla14[[#This Row],[Perzona Primera]]</f>
        <v>54000</v>
      </c>
      <c r="AS243" s="287">
        <f>Tabla14[[#This Row],[Columna2]]</f>
        <v>0</v>
      </c>
      <c r="AT243" s="288">
        <f>Tabla14[[#This Row],[Columna1]]</f>
        <v>0</v>
      </c>
      <c r="AU243" s="302">
        <f>Tabla14[[#This Row],[Personas Intervienen]]</f>
        <v>0</v>
      </c>
      <c r="AV243" s="297">
        <f>Tabla14[[#This Row],[Valor Embarque Pesona5]]*Tabla14[[#This Row],[Presonas Segunda]]</f>
        <v>0</v>
      </c>
      <c r="AW243" s="287">
        <f>Tabla14[[#This Row],[Bolsas Por Personas]]</f>
        <v>4.3600000000000003</v>
      </c>
      <c r="AX243" s="288">
        <f>Tabla14[[#This Row],[Valor bolsas Pesona]]</f>
        <v>2180</v>
      </c>
      <c r="AY243" s="309">
        <f>Tabla14[[#This Row],[Personas13]]</f>
        <v>3</v>
      </c>
      <c r="AZ243" s="310">
        <f>Tabla14[[#This Row],[Valor bolsas Pesona2]]*Tabla14[[#This Row],[Personas Rechazo]]</f>
        <v>6540</v>
      </c>
      <c r="BA243" s="311">
        <f>+Tabla14[[#This Row],[Total Valor Segunda]]+Tabla14[[#This Row],[Total Valor Primera]]+Tabla14[[#This Row],[Total Valor Precorte]]</f>
        <v>54000</v>
      </c>
      <c r="BB243" s="292">
        <f>Tabla14[[#This Row],[Valor bolsas Pesona2]]+Tabla14[[#This Row],[Valor Embarque Pesona3]]</f>
        <v>20180</v>
      </c>
      <c r="BC243" s="332">
        <v>30000</v>
      </c>
      <c r="BD243" s="292">
        <f>Tabla14[[#This Row],[VALOR GANADO]]-Tabla14[[#This Row],[REAJUSTADO]]</f>
        <v>-9820</v>
      </c>
      <c r="BE243" s="250">
        <f>Tabla14[[#This Row],[CUANTO SE REAJUSTA]]*Tabla14[[#This Row],[Personas Rechazo]]</f>
        <v>-29460</v>
      </c>
      <c r="BF243" s="250">
        <f>Tabla14[[#This Row],[REAJUSTADO]]/25000</f>
        <v>1.2</v>
      </c>
      <c r="BG243" s="302">
        <f>Tabla14[[#This Row],[REAJUSTADO]]*Tabla14[[#This Row],[Personas Rechazo]]</f>
        <v>90000</v>
      </c>
      <c r="BH243" s="292" t="str">
        <f>Tabla14[[#This Row],[Finca]]</f>
        <v>Uveros</v>
      </c>
      <c r="BJ243" s="332">
        <f>Tabla14[[#This Row],[Numero de Ocacionales]]*Tabla14[[#This Row],[REAJUSTADO]]</f>
        <v>0</v>
      </c>
      <c r="BK243" s="332"/>
      <c r="BL243" s="332"/>
      <c r="BM243" s="332">
        <f>+Tabla14[[#This Row],[CUANTO SE REAJUSTA]]*3</f>
        <v>-29460</v>
      </c>
    </row>
    <row r="244" spans="3:65" hidden="1" x14ac:dyDescent="0.25">
      <c r="C244" s="274">
        <v>44901</v>
      </c>
      <c r="D244" s="507">
        <f>YEAR(Tabla14[[#This Row],[Fecha]])</f>
        <v>2022</v>
      </c>
      <c r="E244" s="313">
        <f>IF(Tabla14[[#This Row],[Fecha]]&gt;0,_xlfn.ISOWEEKNUM(Tabla14[[#This Row],[Fecha]]),0)</f>
        <v>49</v>
      </c>
      <c r="F244" s="283">
        <v>390</v>
      </c>
      <c r="G244" s="275" t="s">
        <v>211</v>
      </c>
      <c r="H244" s="325" t="str">
        <f>_xlfn.XLOOKUP(Tabla14[[#This Row],[Codigo Finca]],Tabla4[Codigo Finca],Tabla4[Nombre Finca],"")</f>
        <v>San Pedro</v>
      </c>
      <c r="I244" s="277">
        <f>_xlfn.XLOOKUP(Tabla14[[#This Row],[Codigo Finca]],Tabla4[Codigo Finca],Tabla4[Precio Caja],0)</f>
        <v>1600</v>
      </c>
      <c r="J244" s="277">
        <f>_xlfn.XLOOKUP(Tabla14[[#This Row],[Codigo Finca]],Tabla4[Codigo Finca],Tabla4[Precio Caja Segunda],0)</f>
        <v>1000</v>
      </c>
      <c r="K244" s="277">
        <f>_xlfn.XLOOKUP(Tabla14[[#This Row],[Codigo Finca]],Tabla4[Codigo Finca],Tabla4[Precio Rechazo],0)</f>
        <v>500</v>
      </c>
      <c r="L244" s="277">
        <f t="shared" si="361"/>
        <v>1361</v>
      </c>
      <c r="M244" s="278">
        <f t="shared" si="362"/>
        <v>3.4897435897435898</v>
      </c>
      <c r="N244" s="283"/>
      <c r="O244" s="279"/>
      <c r="P244" s="280">
        <f t="shared" si="363"/>
        <v>0</v>
      </c>
      <c r="Q244" s="281">
        <f t="shared" si="364"/>
        <v>0</v>
      </c>
      <c r="R244" s="282">
        <f t="shared" si="365"/>
        <v>0</v>
      </c>
      <c r="S244" s="283">
        <v>1361</v>
      </c>
      <c r="T244" s="275">
        <v>14</v>
      </c>
      <c r="U244" s="280">
        <f t="shared" si="366"/>
        <v>390</v>
      </c>
      <c r="V244" s="281">
        <f t="shared" si="367"/>
        <v>27.857142857142858</v>
      </c>
      <c r="W244" s="282">
        <f t="shared" si="368"/>
        <v>44571.428571428572</v>
      </c>
      <c r="X244" s="283"/>
      <c r="Y244" s="275"/>
      <c r="Z244" s="280">
        <f>Tabla14[[#This Row],[Cajas Segunda]]</f>
        <v>0</v>
      </c>
      <c r="AA244" s="281">
        <f t="shared" si="369"/>
        <v>0</v>
      </c>
      <c r="AB244" s="284">
        <f t="shared" si="370"/>
        <v>0</v>
      </c>
      <c r="AC244" s="285"/>
      <c r="AD244" s="286">
        <v>2017</v>
      </c>
      <c r="AE244" s="286"/>
      <c r="AF244" s="286"/>
      <c r="AG244" s="286">
        <v>14</v>
      </c>
      <c r="AH244" s="280">
        <f t="shared" si="371"/>
        <v>80.680000000000007</v>
      </c>
      <c r="AI244" s="281">
        <f t="shared" si="372"/>
        <v>5.7628571428571433</v>
      </c>
      <c r="AJ244" s="282">
        <f t="shared" si="373"/>
        <v>2881.4285714285716</v>
      </c>
      <c r="AK244" s="287">
        <f>Tabla14[[#This Row],[Cajas por Personas]]</f>
        <v>0</v>
      </c>
      <c r="AL244" s="288">
        <f>Tabla14[[#This Row],[Valor Precorte Pesona]]</f>
        <v>0</v>
      </c>
      <c r="AM244" s="294">
        <f>Tabla14[[#This Row],[Personas Precorte]]</f>
        <v>0</v>
      </c>
      <c r="AN244" s="308">
        <f>Tabla14[[#This Row],[Valor Precorte Pesona Precorte]]*Tabla14[[#This Row],[Perzonas Precorte]]</f>
        <v>0</v>
      </c>
      <c r="AO244" s="287">
        <f>Tabla14[[#This Row],[Cajas por Personas2]]</f>
        <v>27.857142857142858</v>
      </c>
      <c r="AP244" s="288">
        <f>Tabla14[[#This Row],[Valor Embarque Pesona]]</f>
        <v>44571.428571428572</v>
      </c>
      <c r="AQ244" s="295">
        <f>Tabla14[[#This Row],[Personas Precorte2]]</f>
        <v>14</v>
      </c>
      <c r="AR244" s="296">
        <f>Tabla14[[#This Row],[Valor Embarque Pesona3]]*Tabla14[[#This Row],[Perzona Primera]]</f>
        <v>624000</v>
      </c>
      <c r="AS244" s="287">
        <f>Tabla14[[#This Row],[Columna2]]</f>
        <v>0</v>
      </c>
      <c r="AT244" s="288">
        <f>Tabla14[[#This Row],[Columna1]]</f>
        <v>0</v>
      </c>
      <c r="AU244" s="302">
        <f>Tabla14[[#This Row],[Personas Intervienen]]</f>
        <v>0</v>
      </c>
      <c r="AV244" s="297">
        <f>Tabla14[[#This Row],[Valor Embarque Pesona5]]*Tabla14[[#This Row],[Presonas Segunda]]</f>
        <v>0</v>
      </c>
      <c r="AW244" s="287">
        <f>Tabla14[[#This Row],[Bolsas Por Personas]]</f>
        <v>5.7628571428571433</v>
      </c>
      <c r="AX244" s="288">
        <f>Tabla14[[#This Row],[Valor bolsas Pesona]]</f>
        <v>2881.4285714285716</v>
      </c>
      <c r="AY244" s="309">
        <f>Tabla14[[#This Row],[Personas13]]</f>
        <v>14</v>
      </c>
      <c r="AZ244" s="310">
        <f>Tabla14[[#This Row],[Valor bolsas Pesona2]]*Tabla14[[#This Row],[Personas Rechazo]]</f>
        <v>40340</v>
      </c>
      <c r="BA244" s="311">
        <f>+Tabla14[[#This Row],[Total Valor Segunda]]+Tabla14[[#This Row],[Total Valor Primera]]+Tabla14[[#This Row],[Total Valor Precorte]]</f>
        <v>624000</v>
      </c>
      <c r="BB244" s="292">
        <f>Tabla14[[#This Row],[Valor bolsas Pesona2]]+Tabla14[[#This Row],[Valor Embarque Pesona3]]</f>
        <v>47452.857142857145</v>
      </c>
      <c r="BC244" s="332">
        <v>47500</v>
      </c>
      <c r="BD244" s="292">
        <f>Tabla14[[#This Row],[VALOR GANADO]]-Tabla14[[#This Row],[REAJUSTADO]]</f>
        <v>-47.142857142855064</v>
      </c>
      <c r="BE244" s="250">
        <f>Tabla14[[#This Row],[CUANTO SE REAJUSTA]]*Tabla14[[#This Row],[Personas Rechazo]]</f>
        <v>-659.9999999999709</v>
      </c>
      <c r="BF244" s="250">
        <f>Tabla14[[#This Row],[REAJUSTADO]]/25000</f>
        <v>1.9</v>
      </c>
      <c r="BG244" s="302">
        <f>Tabla14[[#This Row],[REAJUSTADO]]*Tabla14[[#This Row],[Personas Rechazo]]</f>
        <v>665000</v>
      </c>
      <c r="BH244" s="292" t="str">
        <f>Tabla14[[#This Row],[Finca]]</f>
        <v>San Pedro</v>
      </c>
      <c r="BJ244" s="332">
        <f>Tabla14[[#This Row],[Numero de Ocacionales]]*Tabla14[[#This Row],[REAJUSTADO]]</f>
        <v>0</v>
      </c>
      <c r="BK244" s="332"/>
      <c r="BL244" s="332"/>
      <c r="BM244" s="332">
        <f>+Tabla14[[#This Row],[CUANTO SE REAJUSTA]]*3</f>
        <v>-141.42857142856519</v>
      </c>
    </row>
    <row r="245" spans="3:65" hidden="1" x14ac:dyDescent="0.25">
      <c r="C245" s="274">
        <v>44902</v>
      </c>
      <c r="D245" s="507">
        <f>YEAR(Tabla14[[#This Row],[Fecha]])</f>
        <v>2022</v>
      </c>
      <c r="E245" s="313">
        <f>IF(Tabla14[[#This Row],[Fecha]]&gt;0,_xlfn.ISOWEEKNUM(Tabla14[[#This Row],[Fecha]]),0)</f>
        <v>49</v>
      </c>
      <c r="F245" s="283">
        <v>97</v>
      </c>
      <c r="G245" s="275" t="s">
        <v>157</v>
      </c>
      <c r="H245" s="325" t="str">
        <f>_xlfn.XLOOKUP(Tabla14[[#This Row],[Codigo Finca]],Tabla4[Codigo Finca],Tabla4[Nombre Finca],"")</f>
        <v>Pedrito</v>
      </c>
      <c r="I245" s="277">
        <f>_xlfn.XLOOKUP(Tabla14[[#This Row],[Codigo Finca]],Tabla4[Codigo Finca],Tabla4[Precio Caja],0)</f>
        <v>2100</v>
      </c>
      <c r="J245" s="277">
        <f>_xlfn.XLOOKUP(Tabla14[[#This Row],[Codigo Finca]],Tabla4[Codigo Finca],Tabla4[Precio Caja Segunda],0)</f>
        <v>1000</v>
      </c>
      <c r="K245" s="277">
        <f>_xlfn.XLOOKUP(Tabla14[[#This Row],[Codigo Finca]],Tabla4[Codigo Finca],Tabla4[Precio Rechazo],0)</f>
        <v>500</v>
      </c>
      <c r="L245" s="277">
        <f t="shared" si="361"/>
        <v>695</v>
      </c>
      <c r="M245" s="278">
        <f t="shared" si="362"/>
        <v>7.1649484536082477</v>
      </c>
      <c r="N245" s="283"/>
      <c r="O245" s="279"/>
      <c r="P245" s="280">
        <f t="shared" si="363"/>
        <v>0</v>
      </c>
      <c r="Q245" s="281">
        <f t="shared" si="364"/>
        <v>0</v>
      </c>
      <c r="R245" s="282">
        <f t="shared" si="365"/>
        <v>0</v>
      </c>
      <c r="S245" s="283">
        <v>695</v>
      </c>
      <c r="T245" s="275">
        <v>9</v>
      </c>
      <c r="U245" s="280">
        <f t="shared" si="366"/>
        <v>97</v>
      </c>
      <c r="V245" s="281">
        <f t="shared" si="367"/>
        <v>10.777777777777779</v>
      </c>
      <c r="W245" s="282">
        <f t="shared" si="368"/>
        <v>22633.333333333332</v>
      </c>
      <c r="X245" s="283"/>
      <c r="Y245" s="275"/>
      <c r="Z245" s="280">
        <f>Tabla14[[#This Row],[Cajas Segunda]]</f>
        <v>0</v>
      </c>
      <c r="AA245" s="281">
        <f t="shared" si="369"/>
        <v>0</v>
      </c>
      <c r="AB245" s="284">
        <f t="shared" si="370"/>
        <v>0</v>
      </c>
      <c r="AC245" s="285"/>
      <c r="AD245" s="286">
        <v>2155</v>
      </c>
      <c r="AE245" s="286"/>
      <c r="AF245" s="286"/>
      <c r="AG245" s="286">
        <v>9</v>
      </c>
      <c r="AH245" s="280">
        <f t="shared" si="371"/>
        <v>86.2</v>
      </c>
      <c r="AI245" s="281">
        <f t="shared" si="372"/>
        <v>9.5777777777777775</v>
      </c>
      <c r="AJ245" s="282">
        <f t="shared" si="373"/>
        <v>4788.8888888888887</v>
      </c>
      <c r="AK245" s="287">
        <f>Tabla14[[#This Row],[Cajas por Personas]]</f>
        <v>0</v>
      </c>
      <c r="AL245" s="288">
        <f>Tabla14[[#This Row],[Valor Precorte Pesona]]</f>
        <v>0</v>
      </c>
      <c r="AM245" s="294">
        <f>Tabla14[[#This Row],[Personas Precorte]]</f>
        <v>0</v>
      </c>
      <c r="AN245" s="308">
        <f>Tabla14[[#This Row],[Valor Precorte Pesona Precorte]]*Tabla14[[#This Row],[Perzonas Precorte]]</f>
        <v>0</v>
      </c>
      <c r="AO245" s="287">
        <f>Tabla14[[#This Row],[Cajas por Personas2]]</f>
        <v>10.777777777777779</v>
      </c>
      <c r="AP245" s="288">
        <f>Tabla14[[#This Row],[Valor Embarque Pesona]]</f>
        <v>22633.333333333332</v>
      </c>
      <c r="AQ245" s="295">
        <f>Tabla14[[#This Row],[Personas Precorte2]]</f>
        <v>9</v>
      </c>
      <c r="AR245" s="296">
        <f>Tabla14[[#This Row],[Valor Embarque Pesona3]]*Tabla14[[#This Row],[Perzona Primera]]</f>
        <v>203700</v>
      </c>
      <c r="AS245" s="287">
        <f>Tabla14[[#This Row],[Columna2]]</f>
        <v>0</v>
      </c>
      <c r="AT245" s="288">
        <f>Tabla14[[#This Row],[Columna1]]</f>
        <v>0</v>
      </c>
      <c r="AU245" s="302">
        <f>Tabla14[[#This Row],[Personas Intervienen]]</f>
        <v>0</v>
      </c>
      <c r="AV245" s="297">
        <f>Tabla14[[#This Row],[Valor Embarque Pesona5]]*Tabla14[[#This Row],[Presonas Segunda]]</f>
        <v>0</v>
      </c>
      <c r="AW245" s="287">
        <f>Tabla14[[#This Row],[Bolsas Por Personas]]</f>
        <v>9.5777777777777775</v>
      </c>
      <c r="AX245" s="288">
        <f>Tabla14[[#This Row],[Valor bolsas Pesona]]</f>
        <v>4788.8888888888887</v>
      </c>
      <c r="AY245" s="309">
        <f>Tabla14[[#This Row],[Personas13]]</f>
        <v>9</v>
      </c>
      <c r="AZ245" s="310">
        <f>Tabla14[[#This Row],[Valor bolsas Pesona2]]*Tabla14[[#This Row],[Personas Rechazo]]</f>
        <v>43100</v>
      </c>
      <c r="BA245" s="311">
        <f>+Tabla14[[#This Row],[Total Valor Segunda]]+Tabla14[[#This Row],[Total Valor Primera]]+Tabla14[[#This Row],[Total Valor Precorte]]</f>
        <v>203700</v>
      </c>
      <c r="BB245" s="292">
        <f>Tabla14[[#This Row],[Valor bolsas Pesona2]]+Tabla14[[#This Row],[Valor Embarque Pesona3]]</f>
        <v>27422.222222222219</v>
      </c>
      <c r="BC245" s="332">
        <v>30000</v>
      </c>
      <c r="BD245" s="292">
        <f>Tabla14[[#This Row],[VALOR GANADO]]-Tabla14[[#This Row],[REAJUSTADO]]</f>
        <v>-2577.777777777781</v>
      </c>
      <c r="BE245" s="250">
        <f>Tabla14[[#This Row],[CUANTO SE REAJUSTA]]*Tabla14[[#This Row],[Personas Rechazo]]</f>
        <v>-23200.000000000029</v>
      </c>
      <c r="BF245" s="250">
        <f>Tabla14[[#This Row],[REAJUSTADO]]/25000</f>
        <v>1.2</v>
      </c>
      <c r="BG245" s="302">
        <f>Tabla14[[#This Row],[REAJUSTADO]]*Tabla14[[#This Row],[Personas Rechazo]]</f>
        <v>270000</v>
      </c>
      <c r="BH245" s="292" t="str">
        <f>Tabla14[[#This Row],[Finca]]</f>
        <v>Pedrito</v>
      </c>
      <c r="BJ245" s="332">
        <f>Tabla14[[#This Row],[Numero de Ocacionales]]*Tabla14[[#This Row],[REAJUSTADO]]</f>
        <v>0</v>
      </c>
      <c r="BK245" s="332"/>
      <c r="BL245" s="332"/>
      <c r="BM245" s="332">
        <f>+Tabla14[[#This Row],[CUANTO SE REAJUSTA]]*3</f>
        <v>-7733.333333333343</v>
      </c>
    </row>
    <row r="246" spans="3:65" hidden="1" x14ac:dyDescent="0.25">
      <c r="C246" s="274">
        <v>44902</v>
      </c>
      <c r="D246" s="507">
        <f>YEAR(Tabla14[[#This Row],[Fecha]])</f>
        <v>2022</v>
      </c>
      <c r="E246" s="313">
        <f>IF(Tabla14[[#This Row],[Fecha]]&gt;0,_xlfn.ISOWEEKNUM(Tabla14[[#This Row],[Fecha]]),0)</f>
        <v>49</v>
      </c>
      <c r="F246" s="283">
        <v>7</v>
      </c>
      <c r="G246" s="275" t="s">
        <v>211</v>
      </c>
      <c r="H246" s="325" t="str">
        <f>_xlfn.XLOOKUP(Tabla14[[#This Row],[Codigo Finca]],Tabla4[Codigo Finca],Tabla4[Nombre Finca],"")</f>
        <v>San Pedro</v>
      </c>
      <c r="I246" s="277">
        <f>_xlfn.XLOOKUP(Tabla14[[#This Row],[Codigo Finca]],Tabla4[Codigo Finca],Tabla4[Precio Caja],0)</f>
        <v>1600</v>
      </c>
      <c r="J246" s="277">
        <f>_xlfn.XLOOKUP(Tabla14[[#This Row],[Codigo Finca]],Tabla4[Codigo Finca],Tabla4[Precio Caja Segunda],0)</f>
        <v>1000</v>
      </c>
      <c r="K246" s="277">
        <f>_xlfn.XLOOKUP(Tabla14[[#This Row],[Codigo Finca]],Tabla4[Codigo Finca],Tabla4[Precio Rechazo],0)</f>
        <v>500</v>
      </c>
      <c r="L246" s="277">
        <f t="shared" si="361"/>
        <v>23</v>
      </c>
      <c r="M246" s="278">
        <f t="shared" si="362"/>
        <v>3.2857142857142856</v>
      </c>
      <c r="N246" s="283"/>
      <c r="O246" s="279"/>
      <c r="P246" s="280">
        <f t="shared" si="363"/>
        <v>0</v>
      </c>
      <c r="Q246" s="281">
        <f t="shared" si="364"/>
        <v>0</v>
      </c>
      <c r="R246" s="282">
        <f t="shared" si="365"/>
        <v>0</v>
      </c>
      <c r="S246" s="283">
        <v>23</v>
      </c>
      <c r="T246" s="275">
        <v>2</v>
      </c>
      <c r="U246" s="280">
        <f t="shared" si="366"/>
        <v>7</v>
      </c>
      <c r="V246" s="281">
        <f t="shared" si="367"/>
        <v>3.5</v>
      </c>
      <c r="W246" s="282">
        <f t="shared" si="368"/>
        <v>5600</v>
      </c>
      <c r="X246" s="283"/>
      <c r="Y246" s="275"/>
      <c r="Z246" s="280">
        <f>Tabla14[[#This Row],[Cajas Segunda]]</f>
        <v>0</v>
      </c>
      <c r="AA246" s="281">
        <f t="shared" si="369"/>
        <v>0</v>
      </c>
      <c r="AB246" s="284">
        <f t="shared" si="370"/>
        <v>0</v>
      </c>
      <c r="AC246" s="285"/>
      <c r="AD246" s="286">
        <v>50</v>
      </c>
      <c r="AE246" s="286"/>
      <c r="AF246" s="286"/>
      <c r="AG246" s="286">
        <v>2</v>
      </c>
      <c r="AH246" s="280">
        <f t="shared" si="371"/>
        <v>2</v>
      </c>
      <c r="AI246" s="281">
        <f t="shared" si="372"/>
        <v>1</v>
      </c>
      <c r="AJ246" s="282">
        <f t="shared" si="373"/>
        <v>500</v>
      </c>
      <c r="AK246" s="287">
        <f>Tabla14[[#This Row],[Cajas por Personas]]</f>
        <v>0</v>
      </c>
      <c r="AL246" s="288">
        <f>Tabla14[[#This Row],[Valor Precorte Pesona]]</f>
        <v>0</v>
      </c>
      <c r="AM246" s="294">
        <f>Tabla14[[#This Row],[Personas Precorte]]</f>
        <v>0</v>
      </c>
      <c r="AN246" s="308">
        <f>Tabla14[[#This Row],[Valor Precorte Pesona Precorte]]*Tabla14[[#This Row],[Perzonas Precorte]]</f>
        <v>0</v>
      </c>
      <c r="AO246" s="287">
        <f>Tabla14[[#This Row],[Cajas por Personas2]]</f>
        <v>3.5</v>
      </c>
      <c r="AP246" s="288">
        <f>Tabla14[[#This Row],[Valor Embarque Pesona]]</f>
        <v>5600</v>
      </c>
      <c r="AQ246" s="295">
        <f>Tabla14[[#This Row],[Personas Precorte2]]</f>
        <v>2</v>
      </c>
      <c r="AR246" s="296">
        <f>Tabla14[[#This Row],[Valor Embarque Pesona3]]*Tabla14[[#This Row],[Perzona Primera]]</f>
        <v>11200</v>
      </c>
      <c r="AS246" s="287">
        <f>Tabla14[[#This Row],[Columna2]]</f>
        <v>0</v>
      </c>
      <c r="AT246" s="288">
        <f>Tabla14[[#This Row],[Columna1]]</f>
        <v>0</v>
      </c>
      <c r="AU246" s="302">
        <f>Tabla14[[#This Row],[Personas Intervienen]]</f>
        <v>0</v>
      </c>
      <c r="AV246" s="297">
        <f>Tabla14[[#This Row],[Valor Embarque Pesona5]]*Tabla14[[#This Row],[Presonas Segunda]]</f>
        <v>0</v>
      </c>
      <c r="AW246" s="287">
        <f>Tabla14[[#This Row],[Bolsas Por Personas]]</f>
        <v>1</v>
      </c>
      <c r="AX246" s="288">
        <f>Tabla14[[#This Row],[Valor bolsas Pesona]]</f>
        <v>500</v>
      </c>
      <c r="AY246" s="309">
        <f>Tabla14[[#This Row],[Personas13]]</f>
        <v>2</v>
      </c>
      <c r="AZ246" s="310">
        <f>Tabla14[[#This Row],[Valor bolsas Pesona2]]*Tabla14[[#This Row],[Personas Rechazo]]</f>
        <v>1000</v>
      </c>
      <c r="BA246" s="311">
        <f>+Tabla14[[#This Row],[Total Valor Segunda]]+Tabla14[[#This Row],[Total Valor Primera]]+Tabla14[[#This Row],[Total Valor Precorte]]</f>
        <v>11200</v>
      </c>
      <c r="BB246" s="451">
        <f>Tabla14[[#This Row],[Valor bolsas Pesona2]]+Tabla14[[#This Row],[Valor Embarque Pesona3]]</f>
        <v>6100</v>
      </c>
      <c r="BC246" s="452">
        <v>40500</v>
      </c>
      <c r="BD246" s="451">
        <f>Tabla14[[#This Row],[VALOR GANADO]]-Tabla14[[#This Row],[REAJUSTADO]]</f>
        <v>-34400</v>
      </c>
      <c r="BE246" s="250">
        <f>Tabla14[[#This Row],[CUANTO SE REAJUSTA]]*Tabla14[[#This Row],[Personas Rechazo]]</f>
        <v>-68800</v>
      </c>
      <c r="BF246" s="250">
        <f>Tabla14[[#This Row],[REAJUSTADO]]/25000</f>
        <v>1.62</v>
      </c>
      <c r="BG246" s="302">
        <f>Tabla14[[#This Row],[REAJUSTADO]]*Tabla14[[#This Row],[Personas Rechazo]]</f>
        <v>81000</v>
      </c>
      <c r="BH246" s="292" t="str">
        <f>Tabla14[[#This Row],[Finca]]</f>
        <v>San Pedro</v>
      </c>
      <c r="BJ246" s="332">
        <f>Tabla14[[#This Row],[Numero de Ocacionales]]*Tabla14[[#This Row],[REAJUSTADO]]</f>
        <v>0</v>
      </c>
      <c r="BK246" s="332"/>
      <c r="BL246" s="332"/>
      <c r="BM246" s="332">
        <f>+Tabla14[[#This Row],[CUANTO SE REAJUSTA]]*3</f>
        <v>-103200</v>
      </c>
    </row>
    <row r="247" spans="3:65" hidden="1" x14ac:dyDescent="0.25">
      <c r="C247" s="274">
        <v>44902</v>
      </c>
      <c r="D247" s="507">
        <f>YEAR(Tabla14[[#This Row],[Fecha]])</f>
        <v>2022</v>
      </c>
      <c r="E247" s="313">
        <f>IF(Tabla14[[#This Row],[Fecha]]&gt;0,_xlfn.ISOWEEKNUM(Tabla14[[#This Row],[Fecha]]),0)</f>
        <v>49</v>
      </c>
      <c r="F247" s="283">
        <v>37</v>
      </c>
      <c r="G247" s="275" t="s">
        <v>209</v>
      </c>
      <c r="H247" s="325" t="str">
        <f>_xlfn.XLOOKUP(Tabla14[[#This Row],[Codigo Finca]],Tabla4[Codigo Finca],Tabla4[Nombre Finca],"")</f>
        <v>San Pedro</v>
      </c>
      <c r="I247" s="277">
        <f>_xlfn.XLOOKUP(Tabla14[[#This Row],[Codigo Finca]],Tabla4[Codigo Finca],Tabla4[Precio Caja],0)</f>
        <v>1800</v>
      </c>
      <c r="J247" s="277">
        <f>_xlfn.XLOOKUP(Tabla14[[#This Row],[Codigo Finca]],Tabla4[Codigo Finca],Tabla4[Precio Caja Segunda],0)</f>
        <v>1000</v>
      </c>
      <c r="K247" s="277">
        <f>_xlfn.XLOOKUP(Tabla14[[#This Row],[Codigo Finca]],Tabla4[Codigo Finca],Tabla4[Precio Rechazo],0)</f>
        <v>600</v>
      </c>
      <c r="L247" s="277">
        <f t="shared" si="361"/>
        <v>110</v>
      </c>
      <c r="M247" s="278">
        <f t="shared" si="362"/>
        <v>2.9729729729729728</v>
      </c>
      <c r="N247" s="283"/>
      <c r="O247" s="279"/>
      <c r="P247" s="280">
        <f t="shared" si="363"/>
        <v>0</v>
      </c>
      <c r="Q247" s="281">
        <f t="shared" si="364"/>
        <v>0</v>
      </c>
      <c r="R247" s="282">
        <f t="shared" si="365"/>
        <v>0</v>
      </c>
      <c r="S247" s="283">
        <v>110</v>
      </c>
      <c r="T247" s="275">
        <v>2</v>
      </c>
      <c r="U247" s="280">
        <f t="shared" si="366"/>
        <v>37</v>
      </c>
      <c r="V247" s="281">
        <f t="shared" si="367"/>
        <v>18.5</v>
      </c>
      <c r="W247" s="282">
        <f t="shared" si="368"/>
        <v>33300</v>
      </c>
      <c r="X247" s="283"/>
      <c r="Y247" s="275"/>
      <c r="Z247" s="280">
        <f>Tabla14[[#This Row],[Cajas Segunda]]</f>
        <v>0</v>
      </c>
      <c r="AA247" s="281">
        <f t="shared" si="369"/>
        <v>0</v>
      </c>
      <c r="AB247" s="284">
        <f t="shared" si="370"/>
        <v>0</v>
      </c>
      <c r="AC247" s="285"/>
      <c r="AD247" s="286">
        <v>91</v>
      </c>
      <c r="AE247" s="286"/>
      <c r="AF247" s="286"/>
      <c r="AG247" s="286">
        <v>2</v>
      </c>
      <c r="AH247" s="280">
        <f t="shared" si="371"/>
        <v>3.64</v>
      </c>
      <c r="AI247" s="281">
        <f t="shared" si="372"/>
        <v>1.82</v>
      </c>
      <c r="AJ247" s="282">
        <f t="shared" si="373"/>
        <v>1092</v>
      </c>
      <c r="AK247" s="287">
        <f>Tabla14[[#This Row],[Cajas por Personas]]</f>
        <v>0</v>
      </c>
      <c r="AL247" s="288">
        <f>Tabla14[[#This Row],[Valor Precorte Pesona]]</f>
        <v>0</v>
      </c>
      <c r="AM247" s="294">
        <f>Tabla14[[#This Row],[Personas Precorte]]</f>
        <v>0</v>
      </c>
      <c r="AN247" s="308">
        <f>Tabla14[[#This Row],[Valor Precorte Pesona Precorte]]*Tabla14[[#This Row],[Perzonas Precorte]]</f>
        <v>0</v>
      </c>
      <c r="AO247" s="287">
        <f>Tabla14[[#This Row],[Cajas por Personas2]]</f>
        <v>18.5</v>
      </c>
      <c r="AP247" s="288">
        <f>Tabla14[[#This Row],[Valor Embarque Pesona]]</f>
        <v>33300</v>
      </c>
      <c r="AQ247" s="295">
        <f>Tabla14[[#This Row],[Personas Precorte2]]</f>
        <v>2</v>
      </c>
      <c r="AR247" s="296">
        <f>Tabla14[[#This Row],[Valor Embarque Pesona3]]*Tabla14[[#This Row],[Perzona Primera]]</f>
        <v>66600</v>
      </c>
      <c r="AS247" s="287">
        <f>Tabla14[[#This Row],[Columna2]]</f>
        <v>0</v>
      </c>
      <c r="AT247" s="288">
        <f>Tabla14[[#This Row],[Columna1]]</f>
        <v>0</v>
      </c>
      <c r="AU247" s="302">
        <f>Tabla14[[#This Row],[Personas Intervienen]]</f>
        <v>0</v>
      </c>
      <c r="AV247" s="297">
        <f>Tabla14[[#This Row],[Valor Embarque Pesona5]]*Tabla14[[#This Row],[Presonas Segunda]]</f>
        <v>0</v>
      </c>
      <c r="AW247" s="287">
        <f>Tabla14[[#This Row],[Bolsas Por Personas]]</f>
        <v>1.82</v>
      </c>
      <c r="AX247" s="288">
        <f>Tabla14[[#This Row],[Valor bolsas Pesona]]</f>
        <v>1092</v>
      </c>
      <c r="AY247" s="309">
        <f>Tabla14[[#This Row],[Personas13]]</f>
        <v>2</v>
      </c>
      <c r="AZ247" s="310">
        <f>Tabla14[[#This Row],[Valor bolsas Pesona2]]*Tabla14[[#This Row],[Personas Rechazo]]</f>
        <v>2184</v>
      </c>
      <c r="BA247" s="311">
        <f>+Tabla14[[#This Row],[Total Valor Segunda]]+Tabla14[[#This Row],[Total Valor Primera]]+Tabla14[[#This Row],[Total Valor Precorte]]</f>
        <v>66600</v>
      </c>
      <c r="BB247" s="451">
        <f>Tabla14[[#This Row],[Valor bolsas Pesona2]]+Tabla14[[#This Row],[Valor Embarque Pesona3]]</f>
        <v>34392</v>
      </c>
      <c r="BC247" s="452"/>
      <c r="BD247" s="451">
        <f>Tabla14[[#This Row],[VALOR GANADO]]-Tabla14[[#This Row],[REAJUSTADO]]</f>
        <v>34392</v>
      </c>
      <c r="BE247" s="250">
        <f>Tabla14[[#This Row],[CUANTO SE REAJUSTA]]*Tabla14[[#This Row],[Personas Rechazo]]</f>
        <v>68784</v>
      </c>
      <c r="BF247" s="250">
        <f>Tabla14[[#This Row],[REAJUSTADO]]/25000</f>
        <v>0</v>
      </c>
      <c r="BG247" s="302">
        <f>Tabla14[[#This Row],[REAJUSTADO]]*Tabla14[[#This Row],[Personas Rechazo]]</f>
        <v>0</v>
      </c>
      <c r="BH247" s="292" t="str">
        <f>Tabla14[[#This Row],[Finca]]</f>
        <v>San Pedro</v>
      </c>
      <c r="BJ247" s="332">
        <f>Tabla14[[#This Row],[Numero de Ocacionales]]*Tabla14[[#This Row],[REAJUSTADO]]</f>
        <v>0</v>
      </c>
      <c r="BK247" s="332"/>
      <c r="BL247" s="332"/>
      <c r="BM247" s="332">
        <f>+Tabla14[[#This Row],[CUANTO SE REAJUSTA]]*3</f>
        <v>103176</v>
      </c>
    </row>
    <row r="248" spans="3:65" hidden="1" x14ac:dyDescent="0.25">
      <c r="C248" s="274">
        <v>44902</v>
      </c>
      <c r="D248" s="507">
        <f>YEAR(Tabla14[[#This Row],[Fecha]])</f>
        <v>2022</v>
      </c>
      <c r="E248" s="313">
        <f>IF(Tabla14[[#This Row],[Fecha]]&gt;0,_xlfn.ISOWEEKNUM(Tabla14[[#This Row],[Fecha]]),0)</f>
        <v>49</v>
      </c>
      <c r="F248" s="283">
        <v>33</v>
      </c>
      <c r="G248" s="275" t="s">
        <v>155</v>
      </c>
      <c r="H248" s="325" t="str">
        <f>_xlfn.XLOOKUP(Tabla14[[#This Row],[Codigo Finca]],Tabla4[Codigo Finca],Tabla4[Nombre Finca],"")</f>
        <v>Damaquiel</v>
      </c>
      <c r="I248" s="277">
        <f>_xlfn.XLOOKUP(Tabla14[[#This Row],[Codigo Finca]],Tabla4[Codigo Finca],Tabla4[Precio Caja],0)</f>
        <v>1500</v>
      </c>
      <c r="J248" s="277">
        <f>_xlfn.XLOOKUP(Tabla14[[#This Row],[Codigo Finca]],Tabla4[Codigo Finca],Tabla4[Precio Caja Segunda],0)</f>
        <v>1000</v>
      </c>
      <c r="K248" s="277">
        <f>_xlfn.XLOOKUP(Tabla14[[#This Row],[Codigo Finca]],Tabla4[Codigo Finca],Tabla4[Precio Rechazo],0)</f>
        <v>500</v>
      </c>
      <c r="L248" s="277">
        <f t="shared" si="361"/>
        <v>309</v>
      </c>
      <c r="M248" s="278">
        <f t="shared" si="362"/>
        <v>9.3636363636363633</v>
      </c>
      <c r="N248" s="283"/>
      <c r="O248" s="279"/>
      <c r="P248" s="280">
        <f t="shared" si="363"/>
        <v>0</v>
      </c>
      <c r="Q248" s="281">
        <f t="shared" si="364"/>
        <v>0</v>
      </c>
      <c r="R248" s="282">
        <f t="shared" si="365"/>
        <v>0</v>
      </c>
      <c r="S248" s="283">
        <v>309</v>
      </c>
      <c r="T248" s="275">
        <v>5</v>
      </c>
      <c r="U248" s="280">
        <f t="shared" si="366"/>
        <v>33</v>
      </c>
      <c r="V248" s="281">
        <f t="shared" si="367"/>
        <v>6.6</v>
      </c>
      <c r="W248" s="282">
        <f t="shared" si="368"/>
        <v>9900</v>
      </c>
      <c r="X248" s="283"/>
      <c r="Y248" s="275"/>
      <c r="Z248" s="280">
        <f>Tabla14[[#This Row],[Cajas Segunda]]</f>
        <v>0</v>
      </c>
      <c r="AA248" s="281">
        <f t="shared" si="369"/>
        <v>0</v>
      </c>
      <c r="AB248" s="284">
        <f t="shared" si="370"/>
        <v>0</v>
      </c>
      <c r="AC248" s="285"/>
      <c r="AD248" s="286"/>
      <c r="AE248" s="286"/>
      <c r="AF248" s="286"/>
      <c r="AG248" s="286">
        <v>5</v>
      </c>
      <c r="AH248" s="280">
        <f t="shared" si="371"/>
        <v>0</v>
      </c>
      <c r="AI248" s="281">
        <f t="shared" si="372"/>
        <v>0</v>
      </c>
      <c r="AJ248" s="282">
        <f t="shared" si="373"/>
        <v>0</v>
      </c>
      <c r="AK248" s="287">
        <f>Tabla14[[#This Row],[Cajas por Personas]]</f>
        <v>0</v>
      </c>
      <c r="AL248" s="288">
        <f>Tabla14[[#This Row],[Valor Precorte Pesona]]</f>
        <v>0</v>
      </c>
      <c r="AM248" s="294">
        <f>Tabla14[[#This Row],[Personas Precorte]]</f>
        <v>0</v>
      </c>
      <c r="AN248" s="308">
        <f>Tabla14[[#This Row],[Valor Precorte Pesona Precorte]]*Tabla14[[#This Row],[Perzonas Precorte]]</f>
        <v>0</v>
      </c>
      <c r="AO248" s="287">
        <f>Tabla14[[#This Row],[Cajas por Personas2]]</f>
        <v>6.6</v>
      </c>
      <c r="AP248" s="288">
        <f>Tabla14[[#This Row],[Valor Embarque Pesona]]</f>
        <v>9900</v>
      </c>
      <c r="AQ248" s="295">
        <f>Tabla14[[#This Row],[Personas Precorte2]]</f>
        <v>5</v>
      </c>
      <c r="AR248" s="296">
        <f>Tabla14[[#This Row],[Valor Embarque Pesona3]]*Tabla14[[#This Row],[Perzona Primera]]</f>
        <v>49500</v>
      </c>
      <c r="AS248" s="287">
        <f>Tabla14[[#This Row],[Columna2]]</f>
        <v>0</v>
      </c>
      <c r="AT248" s="288">
        <f>Tabla14[[#This Row],[Columna1]]</f>
        <v>0</v>
      </c>
      <c r="AU248" s="302">
        <f>Tabla14[[#This Row],[Personas Intervienen]]</f>
        <v>0</v>
      </c>
      <c r="AV248" s="297">
        <f>Tabla14[[#This Row],[Valor Embarque Pesona5]]*Tabla14[[#This Row],[Presonas Segunda]]</f>
        <v>0</v>
      </c>
      <c r="AW248" s="287">
        <f>Tabla14[[#This Row],[Bolsas Por Personas]]</f>
        <v>0</v>
      </c>
      <c r="AX248" s="288">
        <f>Tabla14[[#This Row],[Valor bolsas Pesona]]</f>
        <v>0</v>
      </c>
      <c r="AY248" s="309">
        <f>Tabla14[[#This Row],[Personas13]]</f>
        <v>5</v>
      </c>
      <c r="AZ248" s="310">
        <f>Tabla14[[#This Row],[Valor bolsas Pesona2]]*Tabla14[[#This Row],[Personas Rechazo]]</f>
        <v>0</v>
      </c>
      <c r="BA248" s="311">
        <f>+Tabla14[[#This Row],[Total Valor Segunda]]+Tabla14[[#This Row],[Total Valor Primera]]+Tabla14[[#This Row],[Total Valor Precorte]]</f>
        <v>49500</v>
      </c>
      <c r="BB248" s="292">
        <f>Tabla14[[#This Row],[Valor bolsas Pesona2]]+Tabla14[[#This Row],[Valor Embarque Pesona3]]</f>
        <v>9900</v>
      </c>
      <c r="BC248" s="332">
        <v>30000</v>
      </c>
      <c r="BD248" s="292">
        <f>Tabla14[[#This Row],[VALOR GANADO]]-Tabla14[[#This Row],[REAJUSTADO]]</f>
        <v>-20100</v>
      </c>
      <c r="BE248" s="250">
        <f>Tabla14[[#This Row],[CUANTO SE REAJUSTA]]*Tabla14[[#This Row],[Personas Rechazo]]</f>
        <v>-100500</v>
      </c>
      <c r="BF248" s="250">
        <f>Tabla14[[#This Row],[REAJUSTADO]]/25000</f>
        <v>1.2</v>
      </c>
      <c r="BG248" s="302">
        <f>Tabla14[[#This Row],[REAJUSTADO]]*Tabla14[[#This Row],[Personas Rechazo]]</f>
        <v>150000</v>
      </c>
      <c r="BH248" s="292" t="str">
        <f>Tabla14[[#This Row],[Finca]]</f>
        <v>Damaquiel</v>
      </c>
      <c r="BJ248" s="332">
        <f>Tabla14[[#This Row],[Numero de Ocacionales]]*Tabla14[[#This Row],[REAJUSTADO]]</f>
        <v>0</v>
      </c>
      <c r="BK248" s="332"/>
      <c r="BL248" s="332"/>
      <c r="BM248" s="332">
        <f>+Tabla14[[#This Row],[CUANTO SE REAJUSTA]]*3</f>
        <v>-60300</v>
      </c>
    </row>
    <row r="249" spans="3:65" hidden="1" x14ac:dyDescent="0.25">
      <c r="C249" s="274">
        <v>44908</v>
      </c>
      <c r="D249" s="507">
        <f>YEAR(Tabla14[[#This Row],[Fecha]])</f>
        <v>2022</v>
      </c>
      <c r="E249" s="313">
        <f>IF(Tabla14[[#This Row],[Fecha]]&gt;0,_xlfn.ISOWEEKNUM(Tabla14[[#This Row],[Fecha]]),0)</f>
        <v>50</v>
      </c>
      <c r="F249" s="283">
        <v>55</v>
      </c>
      <c r="G249" s="275" t="s">
        <v>153</v>
      </c>
      <c r="H249" s="325" t="str">
        <f>_xlfn.XLOOKUP(Tabla14[[#This Row],[Codigo Finca]],Tabla4[Codigo Finca],Tabla4[Nombre Finca],"")</f>
        <v>Uveros</v>
      </c>
      <c r="I249" s="277">
        <f>_xlfn.XLOOKUP(Tabla14[[#This Row],[Codigo Finca]],Tabla4[Codigo Finca],Tabla4[Precio Caja],0)</f>
        <v>1500</v>
      </c>
      <c r="J249" s="277">
        <f>_xlfn.XLOOKUP(Tabla14[[#This Row],[Codigo Finca]],Tabla4[Codigo Finca],Tabla4[Precio Caja Segunda],0)</f>
        <v>1000</v>
      </c>
      <c r="K249" s="277">
        <f>_xlfn.XLOOKUP(Tabla14[[#This Row],[Codigo Finca]],Tabla4[Codigo Finca],Tabla4[Precio Rechazo],0)</f>
        <v>500</v>
      </c>
      <c r="L249" s="277">
        <f t="shared" ref="L249:L258" si="374">S249+N249</f>
        <v>254</v>
      </c>
      <c r="M249" s="278">
        <f t="shared" ref="M249:M258" si="375">IF(F249&gt;0,L249/F249,0)</f>
        <v>4.6181818181818182</v>
      </c>
      <c r="N249" s="283"/>
      <c r="O249" s="279"/>
      <c r="P249" s="280">
        <f t="shared" ref="P249:P258" si="376">IF(N249&gt;0,(N249/M249)/2,0)</f>
        <v>0</v>
      </c>
      <c r="Q249" s="281">
        <f t="shared" ref="Q249:Q258" si="377">IF(O249&gt;0,P249/O249,0)</f>
        <v>0</v>
      </c>
      <c r="R249" s="282">
        <f t="shared" ref="R249:R258" si="378">IF(I249&gt;0,Q249*I249,)</f>
        <v>0</v>
      </c>
      <c r="S249" s="283">
        <v>254</v>
      </c>
      <c r="T249" s="275">
        <v>4</v>
      </c>
      <c r="U249" s="280">
        <f t="shared" ref="U249:U258" si="379">F249-P249</f>
        <v>55</v>
      </c>
      <c r="V249" s="281">
        <f t="shared" ref="V249:V258" si="380">IF(T249&gt;0,U249/T249,0)</f>
        <v>13.75</v>
      </c>
      <c r="W249" s="282">
        <f t="shared" ref="W249:W258" si="381">IF(T249&gt;0,(U249*I249)/T249,0)</f>
        <v>20625</v>
      </c>
      <c r="X249" s="283"/>
      <c r="Y249" s="275"/>
      <c r="Z249" s="280">
        <f>Tabla14[[#This Row],[Cajas Segunda]]</f>
        <v>0</v>
      </c>
      <c r="AA249" s="281">
        <f t="shared" ref="AA249:AA258" si="382">IF(Y249&gt;0,Z249/Y249,0)</f>
        <v>0</v>
      </c>
      <c r="AB249" s="284">
        <f t="shared" ref="AB249:AB258" si="383">IF(Y249&gt;0,(Z249*J249)/Y249,0)</f>
        <v>0</v>
      </c>
      <c r="AC249" s="285">
        <v>16</v>
      </c>
      <c r="AD249" s="286"/>
      <c r="AE249" s="286"/>
      <c r="AF249" s="286"/>
      <c r="AG249" s="286">
        <v>4</v>
      </c>
      <c r="AH249" s="280">
        <f t="shared" ref="AH249:AH258" si="384">IF(AND(AC249&gt;0,AE249=0,AF249=0,AD249=0),AC249,IF(AND(AC249=0,AE249&gt;0,AF249&gt;0,AD249=0),AE249*AF249/25,IF(AND(AC249=0,AE249=0,AF249=0,AD249&gt;0),AD249/25,0)))</f>
        <v>16</v>
      </c>
      <c r="AI249" s="281">
        <f t="shared" ref="AI249:AI258" si="385">IF(AG249&gt;0,AH249/AG249,0)</f>
        <v>4</v>
      </c>
      <c r="AJ249" s="282">
        <f t="shared" ref="AJ249:AJ258" si="386">AI249*K249</f>
        <v>2000</v>
      </c>
      <c r="AK249" s="287">
        <f>Tabla14[[#This Row],[Cajas por Personas]]</f>
        <v>0</v>
      </c>
      <c r="AL249" s="288">
        <f>Tabla14[[#This Row],[Valor Precorte Pesona]]</f>
        <v>0</v>
      </c>
      <c r="AM249" s="294">
        <f>Tabla14[[#This Row],[Personas Precorte]]</f>
        <v>0</v>
      </c>
      <c r="AN249" s="308">
        <f>Tabla14[[#This Row],[Valor Precorte Pesona Precorte]]*Tabla14[[#This Row],[Perzonas Precorte]]</f>
        <v>0</v>
      </c>
      <c r="AO249" s="287">
        <f>Tabla14[[#This Row],[Cajas por Personas2]]</f>
        <v>13.75</v>
      </c>
      <c r="AP249" s="288">
        <f>Tabla14[[#This Row],[Valor Embarque Pesona]]</f>
        <v>20625</v>
      </c>
      <c r="AQ249" s="295">
        <f>Tabla14[[#This Row],[Personas Precorte2]]</f>
        <v>4</v>
      </c>
      <c r="AR249" s="296">
        <f>Tabla14[[#This Row],[Valor Embarque Pesona3]]*Tabla14[[#This Row],[Perzona Primera]]</f>
        <v>82500</v>
      </c>
      <c r="AS249" s="287">
        <f>Tabla14[[#This Row],[Columna2]]</f>
        <v>0</v>
      </c>
      <c r="AT249" s="288">
        <f>Tabla14[[#This Row],[Columna1]]</f>
        <v>0</v>
      </c>
      <c r="AU249" s="302">
        <f>Tabla14[[#This Row],[Personas Intervienen]]</f>
        <v>0</v>
      </c>
      <c r="AV249" s="297">
        <f>Tabla14[[#This Row],[Valor Embarque Pesona5]]*Tabla14[[#This Row],[Presonas Segunda]]</f>
        <v>0</v>
      </c>
      <c r="AW249" s="287">
        <f>Tabla14[[#This Row],[Bolsas Por Personas]]</f>
        <v>4</v>
      </c>
      <c r="AX249" s="288">
        <f>Tabla14[[#This Row],[Valor bolsas Pesona]]</f>
        <v>2000</v>
      </c>
      <c r="AY249" s="309">
        <f>Tabla14[[#This Row],[Personas13]]</f>
        <v>4</v>
      </c>
      <c r="AZ249" s="310">
        <f>Tabla14[[#This Row],[Valor bolsas Pesona2]]*Tabla14[[#This Row],[Personas Rechazo]]</f>
        <v>8000</v>
      </c>
      <c r="BA249" s="311">
        <f>+Tabla14[[#This Row],[Total Valor Segunda]]+Tabla14[[#This Row],[Total Valor Primera]]+Tabla14[[#This Row],[Total Valor Precorte]]</f>
        <v>82500</v>
      </c>
      <c r="BB249" s="292">
        <f>Tabla14[[#This Row],[Valor bolsas Pesona2]]+Tabla14[[#This Row],[Valor Embarque Pesona3]]</f>
        <v>22625</v>
      </c>
      <c r="BC249" s="332">
        <v>30000</v>
      </c>
      <c r="BD249" s="292">
        <f>Tabla14[[#This Row],[VALOR GANADO]]-Tabla14[[#This Row],[REAJUSTADO]]</f>
        <v>-7375</v>
      </c>
      <c r="BE249" s="250">
        <f>Tabla14[[#This Row],[CUANTO SE REAJUSTA]]*Tabla14[[#This Row],[Personas Rechazo]]</f>
        <v>-29500</v>
      </c>
      <c r="BF249" s="250">
        <f>Tabla14[[#This Row],[REAJUSTADO]]/25000</f>
        <v>1.2</v>
      </c>
      <c r="BG249" s="302">
        <f>Tabla14[[#This Row],[REAJUSTADO]]*Tabla14[[#This Row],[Personas Rechazo]]</f>
        <v>120000</v>
      </c>
      <c r="BH249" s="292" t="str">
        <f>Tabla14[[#This Row],[Finca]]</f>
        <v>Uveros</v>
      </c>
      <c r="BJ249" s="332">
        <f>Tabla14[[#This Row],[Numero de Ocacionales]]*Tabla14[[#This Row],[REAJUSTADO]]</f>
        <v>0</v>
      </c>
      <c r="BK249" s="332"/>
      <c r="BL249" s="332"/>
      <c r="BM249" s="332">
        <f>+Tabla14[[#This Row],[CUANTO SE REAJUSTA]]*3</f>
        <v>-22125</v>
      </c>
    </row>
    <row r="250" spans="3:65" hidden="1" x14ac:dyDescent="0.25">
      <c r="C250" s="274">
        <v>44908</v>
      </c>
      <c r="D250" s="507">
        <f>YEAR(Tabla14[[#This Row],[Fecha]])</f>
        <v>2022</v>
      </c>
      <c r="E250" s="313">
        <f>IF(Tabla14[[#This Row],[Fecha]]&gt;0,_xlfn.ISOWEEKNUM(Tabla14[[#This Row],[Fecha]]),0)</f>
        <v>50</v>
      </c>
      <c r="F250" s="283">
        <v>331</v>
      </c>
      <c r="G250" s="275" t="s">
        <v>211</v>
      </c>
      <c r="H250" s="325" t="str">
        <f>_xlfn.XLOOKUP(Tabla14[[#This Row],[Codigo Finca]],Tabla4[Codigo Finca],Tabla4[Nombre Finca],"")</f>
        <v>San Pedro</v>
      </c>
      <c r="I250" s="277">
        <f>_xlfn.XLOOKUP(Tabla14[[#This Row],[Codigo Finca]],Tabla4[Codigo Finca],Tabla4[Precio Caja],0)</f>
        <v>1600</v>
      </c>
      <c r="J250" s="277">
        <f>_xlfn.XLOOKUP(Tabla14[[#This Row],[Codigo Finca]],Tabla4[Codigo Finca],Tabla4[Precio Caja Segunda],0)</f>
        <v>1000</v>
      </c>
      <c r="K250" s="277">
        <f>_xlfn.XLOOKUP(Tabla14[[#This Row],[Codigo Finca]],Tabla4[Codigo Finca],Tabla4[Precio Rechazo],0)</f>
        <v>500</v>
      </c>
      <c r="L250" s="277">
        <f t="shared" si="374"/>
        <v>1013</v>
      </c>
      <c r="M250" s="278">
        <f t="shared" si="375"/>
        <v>3.0604229607250755</v>
      </c>
      <c r="N250" s="283"/>
      <c r="O250" s="279"/>
      <c r="P250" s="280">
        <f t="shared" si="376"/>
        <v>0</v>
      </c>
      <c r="Q250" s="281">
        <f t="shared" si="377"/>
        <v>0</v>
      </c>
      <c r="R250" s="282">
        <f t="shared" si="378"/>
        <v>0</v>
      </c>
      <c r="S250" s="283">
        <f>1087-74</f>
        <v>1013</v>
      </c>
      <c r="T250" s="275">
        <v>14</v>
      </c>
      <c r="U250" s="280">
        <f t="shared" si="379"/>
        <v>331</v>
      </c>
      <c r="V250" s="281">
        <f t="shared" si="380"/>
        <v>23.642857142857142</v>
      </c>
      <c r="W250" s="282">
        <f t="shared" si="381"/>
        <v>37828.571428571428</v>
      </c>
      <c r="X250" s="283"/>
      <c r="Y250" s="275"/>
      <c r="Z250" s="280">
        <f>Tabla14[[#This Row],[Cajas Segunda]]</f>
        <v>0</v>
      </c>
      <c r="AA250" s="281">
        <f t="shared" si="382"/>
        <v>0</v>
      </c>
      <c r="AB250" s="284">
        <f t="shared" si="383"/>
        <v>0</v>
      </c>
      <c r="AC250" s="285">
        <v>57</v>
      </c>
      <c r="AD250" s="286"/>
      <c r="AE250" s="286"/>
      <c r="AF250" s="286"/>
      <c r="AG250" s="286">
        <v>14</v>
      </c>
      <c r="AH250" s="280">
        <f t="shared" si="384"/>
        <v>57</v>
      </c>
      <c r="AI250" s="281">
        <f t="shared" si="385"/>
        <v>4.0714285714285712</v>
      </c>
      <c r="AJ250" s="282">
        <f t="shared" si="386"/>
        <v>2035.7142857142856</v>
      </c>
      <c r="AK250" s="287">
        <f>Tabla14[[#This Row],[Cajas por Personas]]</f>
        <v>0</v>
      </c>
      <c r="AL250" s="288">
        <f>Tabla14[[#This Row],[Valor Precorte Pesona]]</f>
        <v>0</v>
      </c>
      <c r="AM250" s="294">
        <f>Tabla14[[#This Row],[Personas Precorte]]</f>
        <v>0</v>
      </c>
      <c r="AN250" s="308">
        <f>Tabla14[[#This Row],[Valor Precorte Pesona Precorte]]*Tabla14[[#This Row],[Perzonas Precorte]]</f>
        <v>0</v>
      </c>
      <c r="AO250" s="287">
        <f>Tabla14[[#This Row],[Cajas por Personas2]]</f>
        <v>23.642857142857142</v>
      </c>
      <c r="AP250" s="288">
        <f>Tabla14[[#This Row],[Valor Embarque Pesona]]</f>
        <v>37828.571428571428</v>
      </c>
      <c r="AQ250" s="295">
        <f>Tabla14[[#This Row],[Personas Precorte2]]</f>
        <v>14</v>
      </c>
      <c r="AR250" s="296">
        <f>Tabla14[[#This Row],[Valor Embarque Pesona3]]*Tabla14[[#This Row],[Perzona Primera]]</f>
        <v>529600</v>
      </c>
      <c r="AS250" s="287">
        <f>Tabla14[[#This Row],[Columna2]]</f>
        <v>0</v>
      </c>
      <c r="AT250" s="288">
        <f>Tabla14[[#This Row],[Columna1]]</f>
        <v>0</v>
      </c>
      <c r="AU250" s="302">
        <f>Tabla14[[#This Row],[Personas Intervienen]]</f>
        <v>0</v>
      </c>
      <c r="AV250" s="297">
        <f>Tabla14[[#This Row],[Valor Embarque Pesona5]]*Tabla14[[#This Row],[Presonas Segunda]]</f>
        <v>0</v>
      </c>
      <c r="AW250" s="287">
        <f>Tabla14[[#This Row],[Bolsas Por Personas]]</f>
        <v>4.0714285714285712</v>
      </c>
      <c r="AX250" s="288">
        <f>Tabla14[[#This Row],[Valor bolsas Pesona]]</f>
        <v>2035.7142857142856</v>
      </c>
      <c r="AY250" s="309">
        <f>Tabla14[[#This Row],[Personas13]]</f>
        <v>14</v>
      </c>
      <c r="AZ250" s="310">
        <f>Tabla14[[#This Row],[Valor bolsas Pesona2]]*Tabla14[[#This Row],[Personas Rechazo]]</f>
        <v>28499.999999999996</v>
      </c>
      <c r="BA250" s="311">
        <f>+Tabla14[[#This Row],[Total Valor Segunda]]+Tabla14[[#This Row],[Total Valor Primera]]+Tabla14[[#This Row],[Total Valor Precorte]]</f>
        <v>529600</v>
      </c>
      <c r="BB250" s="470">
        <f>Tabla14[[#This Row],[Valor bolsas Pesona2]]+Tabla14[[#This Row],[Valor Embarque Pesona3]]</f>
        <v>39864.28571428571</v>
      </c>
      <c r="BC250" s="471">
        <v>43500</v>
      </c>
      <c r="BD250" s="470">
        <f>Tabla14[[#This Row],[VALOR GANADO]]-Tabla14[[#This Row],[REAJUSTADO]]</f>
        <v>-3635.7142857142899</v>
      </c>
      <c r="BE250" s="250">
        <f>Tabla14[[#This Row],[CUANTO SE REAJUSTA]]*Tabla14[[#This Row],[Personas Rechazo]]</f>
        <v>-50900.000000000058</v>
      </c>
      <c r="BF250" s="250">
        <f>Tabla14[[#This Row],[REAJUSTADO]]/25000</f>
        <v>1.74</v>
      </c>
      <c r="BG250" s="302">
        <f>Tabla14[[#This Row],[REAJUSTADO]]*Tabla14[[#This Row],[Personas Rechazo]]</f>
        <v>609000</v>
      </c>
      <c r="BH250" s="292" t="str">
        <f>Tabla14[[#This Row],[Finca]]</f>
        <v>San Pedro</v>
      </c>
      <c r="BJ250" s="332">
        <f>Tabla14[[#This Row],[Numero de Ocacionales]]*Tabla14[[#This Row],[REAJUSTADO]]</f>
        <v>0</v>
      </c>
      <c r="BK250" s="332"/>
      <c r="BL250" s="332"/>
      <c r="BM250" s="332">
        <f>+Tabla14[[#This Row],[CUANTO SE REAJUSTA]]*3</f>
        <v>-10907.14285714287</v>
      </c>
    </row>
    <row r="251" spans="3:65" hidden="1" x14ac:dyDescent="0.25">
      <c r="C251" s="274">
        <v>44908</v>
      </c>
      <c r="D251" s="507">
        <f>YEAR(Tabla14[[#This Row],[Fecha]])</f>
        <v>2022</v>
      </c>
      <c r="E251" s="313">
        <f>IF(Tabla14[[#This Row],[Fecha]]&gt;0,_xlfn.ISOWEEKNUM(Tabla14[[#This Row],[Fecha]]),0)</f>
        <v>50</v>
      </c>
      <c r="F251" s="283">
        <v>23</v>
      </c>
      <c r="G251" s="275" t="s">
        <v>209</v>
      </c>
      <c r="H251" s="325" t="str">
        <f>_xlfn.XLOOKUP(Tabla14[[#This Row],[Codigo Finca]],Tabla4[Codigo Finca],Tabla4[Nombre Finca],"")</f>
        <v>San Pedro</v>
      </c>
      <c r="I251" s="277">
        <f>_xlfn.XLOOKUP(Tabla14[[#This Row],[Codigo Finca]],Tabla4[Codigo Finca],Tabla4[Precio Caja],0)</f>
        <v>1800</v>
      </c>
      <c r="J251" s="277">
        <f>_xlfn.XLOOKUP(Tabla14[[#This Row],[Codigo Finca]],Tabla4[Codigo Finca],Tabla4[Precio Caja Segunda],0)</f>
        <v>1000</v>
      </c>
      <c r="K251" s="277">
        <f>_xlfn.XLOOKUP(Tabla14[[#This Row],[Codigo Finca]],Tabla4[Codigo Finca],Tabla4[Precio Rechazo],0)</f>
        <v>600</v>
      </c>
      <c r="L251" s="277">
        <f t="shared" si="374"/>
        <v>74</v>
      </c>
      <c r="M251" s="278">
        <f t="shared" si="375"/>
        <v>3.2173913043478262</v>
      </c>
      <c r="N251" s="283"/>
      <c r="O251" s="279"/>
      <c r="P251" s="280">
        <f t="shared" si="376"/>
        <v>0</v>
      </c>
      <c r="Q251" s="281">
        <f t="shared" si="377"/>
        <v>0</v>
      </c>
      <c r="R251" s="282">
        <f t="shared" si="378"/>
        <v>0</v>
      </c>
      <c r="S251" s="283">
        <v>74</v>
      </c>
      <c r="T251" s="275">
        <v>13</v>
      </c>
      <c r="U251" s="280">
        <f t="shared" si="379"/>
        <v>23</v>
      </c>
      <c r="V251" s="281">
        <f t="shared" si="380"/>
        <v>1.7692307692307692</v>
      </c>
      <c r="W251" s="282">
        <f t="shared" si="381"/>
        <v>3184.6153846153848</v>
      </c>
      <c r="X251" s="283"/>
      <c r="Y251" s="275"/>
      <c r="Z251" s="280">
        <f>Tabla14[[#This Row],[Cajas Segunda]]</f>
        <v>0</v>
      </c>
      <c r="AA251" s="281">
        <f t="shared" si="382"/>
        <v>0</v>
      </c>
      <c r="AB251" s="284">
        <f t="shared" si="383"/>
        <v>0</v>
      </c>
      <c r="AC251" s="285">
        <v>8</v>
      </c>
      <c r="AD251" s="286"/>
      <c r="AE251" s="286"/>
      <c r="AF251" s="286"/>
      <c r="AG251" s="286">
        <v>13</v>
      </c>
      <c r="AH251" s="280">
        <f t="shared" si="384"/>
        <v>8</v>
      </c>
      <c r="AI251" s="281">
        <f t="shared" si="385"/>
        <v>0.61538461538461542</v>
      </c>
      <c r="AJ251" s="282">
        <f t="shared" si="386"/>
        <v>369.23076923076923</v>
      </c>
      <c r="AK251" s="287">
        <f>Tabla14[[#This Row],[Cajas por Personas]]</f>
        <v>0</v>
      </c>
      <c r="AL251" s="288">
        <f>Tabla14[[#This Row],[Valor Precorte Pesona]]</f>
        <v>0</v>
      </c>
      <c r="AM251" s="294">
        <f>Tabla14[[#This Row],[Personas Precorte]]</f>
        <v>0</v>
      </c>
      <c r="AN251" s="308">
        <f>Tabla14[[#This Row],[Valor Precorte Pesona Precorte]]*Tabla14[[#This Row],[Perzonas Precorte]]</f>
        <v>0</v>
      </c>
      <c r="AO251" s="287">
        <f>Tabla14[[#This Row],[Cajas por Personas2]]</f>
        <v>1.7692307692307692</v>
      </c>
      <c r="AP251" s="288">
        <f>Tabla14[[#This Row],[Valor Embarque Pesona]]</f>
        <v>3184.6153846153848</v>
      </c>
      <c r="AQ251" s="295">
        <f>Tabla14[[#This Row],[Personas Precorte2]]</f>
        <v>13</v>
      </c>
      <c r="AR251" s="296">
        <f>Tabla14[[#This Row],[Valor Embarque Pesona3]]*Tabla14[[#This Row],[Perzona Primera]]</f>
        <v>41400</v>
      </c>
      <c r="AS251" s="287">
        <f>Tabla14[[#This Row],[Columna2]]</f>
        <v>0</v>
      </c>
      <c r="AT251" s="288">
        <f>Tabla14[[#This Row],[Columna1]]</f>
        <v>0</v>
      </c>
      <c r="AU251" s="302">
        <f>Tabla14[[#This Row],[Personas Intervienen]]</f>
        <v>0</v>
      </c>
      <c r="AV251" s="297">
        <f>Tabla14[[#This Row],[Valor Embarque Pesona5]]*Tabla14[[#This Row],[Presonas Segunda]]</f>
        <v>0</v>
      </c>
      <c r="AW251" s="287">
        <f>Tabla14[[#This Row],[Bolsas Por Personas]]</f>
        <v>0.61538461538461542</v>
      </c>
      <c r="AX251" s="288">
        <f>Tabla14[[#This Row],[Valor bolsas Pesona]]</f>
        <v>369.23076923076923</v>
      </c>
      <c r="AY251" s="309">
        <f>Tabla14[[#This Row],[Personas13]]</f>
        <v>13</v>
      </c>
      <c r="AZ251" s="310">
        <f>Tabla14[[#This Row],[Valor bolsas Pesona2]]*Tabla14[[#This Row],[Personas Rechazo]]</f>
        <v>4800</v>
      </c>
      <c r="BA251" s="311">
        <f>+Tabla14[[#This Row],[Total Valor Segunda]]+Tabla14[[#This Row],[Total Valor Primera]]+Tabla14[[#This Row],[Total Valor Precorte]]</f>
        <v>41400</v>
      </c>
      <c r="BB251" s="470">
        <f>Tabla14[[#This Row],[Valor bolsas Pesona2]]+Tabla14[[#This Row],[Valor Embarque Pesona3]]</f>
        <v>3553.8461538461538</v>
      </c>
      <c r="BC251" s="471"/>
      <c r="BD251" s="470">
        <f>Tabla14[[#This Row],[VALOR GANADO]]-Tabla14[[#This Row],[REAJUSTADO]]</f>
        <v>3553.8461538461538</v>
      </c>
      <c r="BE251" s="250">
        <f>Tabla14[[#This Row],[CUANTO SE REAJUSTA]]*Tabla14[[#This Row],[Personas Rechazo]]</f>
        <v>46200</v>
      </c>
      <c r="BF251" s="250">
        <f>Tabla14[[#This Row],[REAJUSTADO]]/25000</f>
        <v>0</v>
      </c>
      <c r="BG251" s="302">
        <f>Tabla14[[#This Row],[REAJUSTADO]]*Tabla14[[#This Row],[Personas Rechazo]]</f>
        <v>0</v>
      </c>
      <c r="BH251" s="292" t="str">
        <f>Tabla14[[#This Row],[Finca]]</f>
        <v>San Pedro</v>
      </c>
      <c r="BJ251" s="332">
        <f>Tabla14[[#This Row],[Numero de Ocacionales]]*Tabla14[[#This Row],[REAJUSTADO]]</f>
        <v>0</v>
      </c>
      <c r="BK251" s="332"/>
      <c r="BL251" s="332"/>
      <c r="BM251" s="332">
        <f>+Tabla14[[#This Row],[CUANTO SE REAJUSTA]]*3</f>
        <v>10661.538461538461</v>
      </c>
    </row>
    <row r="252" spans="3:65" hidden="1" x14ac:dyDescent="0.25">
      <c r="C252" s="274">
        <v>44909</v>
      </c>
      <c r="D252" s="507">
        <f>YEAR(Tabla14[[#This Row],[Fecha]])</f>
        <v>2022</v>
      </c>
      <c r="E252" s="313">
        <f>IF(Tabla14[[#This Row],[Fecha]]&gt;0,_xlfn.ISOWEEKNUM(Tabla14[[#This Row],[Fecha]]),0)</f>
        <v>50</v>
      </c>
      <c r="F252" s="283">
        <v>48</v>
      </c>
      <c r="G252" s="275" t="s">
        <v>155</v>
      </c>
      <c r="H252" s="325" t="str">
        <f>_xlfn.XLOOKUP(Tabla14[[#This Row],[Codigo Finca]],Tabla4[Codigo Finca],Tabla4[Nombre Finca],"")</f>
        <v>Damaquiel</v>
      </c>
      <c r="I252" s="277">
        <f>_xlfn.XLOOKUP(Tabla14[[#This Row],[Codigo Finca]],Tabla4[Codigo Finca],Tabla4[Precio Caja],0)</f>
        <v>1500</v>
      </c>
      <c r="J252" s="277">
        <f>_xlfn.XLOOKUP(Tabla14[[#This Row],[Codigo Finca]],Tabla4[Codigo Finca],Tabla4[Precio Caja Segunda],0)</f>
        <v>1000</v>
      </c>
      <c r="K252" s="277">
        <f>_xlfn.XLOOKUP(Tabla14[[#This Row],[Codigo Finca]],Tabla4[Codigo Finca],Tabla4[Precio Rechazo],0)</f>
        <v>500</v>
      </c>
      <c r="L252" s="277">
        <f t="shared" si="374"/>
        <v>375</v>
      </c>
      <c r="M252" s="278">
        <f t="shared" si="375"/>
        <v>7.8125</v>
      </c>
      <c r="N252" s="283"/>
      <c r="O252" s="279"/>
      <c r="P252" s="280">
        <f t="shared" si="376"/>
        <v>0</v>
      </c>
      <c r="Q252" s="281">
        <f t="shared" si="377"/>
        <v>0</v>
      </c>
      <c r="R252" s="282">
        <f t="shared" si="378"/>
        <v>0</v>
      </c>
      <c r="S252" s="283">
        <v>375</v>
      </c>
      <c r="T252" s="275">
        <v>5</v>
      </c>
      <c r="U252" s="280">
        <f t="shared" si="379"/>
        <v>48</v>
      </c>
      <c r="V252" s="281">
        <f t="shared" si="380"/>
        <v>9.6</v>
      </c>
      <c r="W252" s="282">
        <f t="shared" si="381"/>
        <v>14400</v>
      </c>
      <c r="X252" s="283"/>
      <c r="Y252" s="275"/>
      <c r="Z252" s="280">
        <f>Tabla14[[#This Row],[Cajas Segunda]]</f>
        <v>0</v>
      </c>
      <c r="AA252" s="281">
        <f t="shared" si="382"/>
        <v>0</v>
      </c>
      <c r="AB252" s="284">
        <f t="shared" si="383"/>
        <v>0</v>
      </c>
      <c r="AC252" s="285">
        <v>20</v>
      </c>
      <c r="AD252" s="286"/>
      <c r="AE252" s="286"/>
      <c r="AF252" s="286"/>
      <c r="AG252" s="286">
        <v>5</v>
      </c>
      <c r="AH252" s="280">
        <f t="shared" si="384"/>
        <v>20</v>
      </c>
      <c r="AI252" s="281">
        <f t="shared" si="385"/>
        <v>4</v>
      </c>
      <c r="AJ252" s="282">
        <f t="shared" si="386"/>
        <v>2000</v>
      </c>
      <c r="AK252" s="287">
        <f>Tabla14[[#This Row],[Cajas por Personas]]</f>
        <v>0</v>
      </c>
      <c r="AL252" s="288">
        <f>Tabla14[[#This Row],[Valor Precorte Pesona]]</f>
        <v>0</v>
      </c>
      <c r="AM252" s="294">
        <f>Tabla14[[#This Row],[Personas Precorte]]</f>
        <v>0</v>
      </c>
      <c r="AN252" s="308">
        <f>Tabla14[[#This Row],[Valor Precorte Pesona Precorte]]*Tabla14[[#This Row],[Perzonas Precorte]]</f>
        <v>0</v>
      </c>
      <c r="AO252" s="287">
        <f>Tabla14[[#This Row],[Cajas por Personas2]]</f>
        <v>9.6</v>
      </c>
      <c r="AP252" s="288">
        <f>Tabla14[[#This Row],[Valor Embarque Pesona]]</f>
        <v>14400</v>
      </c>
      <c r="AQ252" s="295">
        <f>Tabla14[[#This Row],[Personas Precorte2]]</f>
        <v>5</v>
      </c>
      <c r="AR252" s="296">
        <f>Tabla14[[#This Row],[Valor Embarque Pesona3]]*Tabla14[[#This Row],[Perzona Primera]]</f>
        <v>72000</v>
      </c>
      <c r="AS252" s="287">
        <f>Tabla14[[#This Row],[Columna2]]</f>
        <v>0</v>
      </c>
      <c r="AT252" s="288">
        <f>Tabla14[[#This Row],[Columna1]]</f>
        <v>0</v>
      </c>
      <c r="AU252" s="302">
        <f>Tabla14[[#This Row],[Personas Intervienen]]</f>
        <v>0</v>
      </c>
      <c r="AV252" s="297">
        <f>Tabla14[[#This Row],[Valor Embarque Pesona5]]*Tabla14[[#This Row],[Presonas Segunda]]</f>
        <v>0</v>
      </c>
      <c r="AW252" s="287">
        <f>Tabla14[[#This Row],[Bolsas Por Personas]]</f>
        <v>4</v>
      </c>
      <c r="AX252" s="288">
        <f>Tabla14[[#This Row],[Valor bolsas Pesona]]</f>
        <v>2000</v>
      </c>
      <c r="AY252" s="309">
        <f>Tabla14[[#This Row],[Personas13]]</f>
        <v>5</v>
      </c>
      <c r="AZ252" s="310">
        <f>Tabla14[[#This Row],[Valor bolsas Pesona2]]*Tabla14[[#This Row],[Personas Rechazo]]</f>
        <v>10000</v>
      </c>
      <c r="BA252" s="311">
        <f>+Tabla14[[#This Row],[Total Valor Segunda]]+Tabla14[[#This Row],[Total Valor Primera]]+Tabla14[[#This Row],[Total Valor Precorte]]</f>
        <v>72000</v>
      </c>
      <c r="BB252" s="292">
        <f>Tabla14[[#This Row],[Valor bolsas Pesona2]]+Tabla14[[#This Row],[Valor Embarque Pesona3]]</f>
        <v>16400</v>
      </c>
      <c r="BC252" s="332">
        <v>30000</v>
      </c>
      <c r="BD252" s="292">
        <f>Tabla14[[#This Row],[VALOR GANADO]]-Tabla14[[#This Row],[REAJUSTADO]]</f>
        <v>-13600</v>
      </c>
      <c r="BE252" s="250">
        <f>Tabla14[[#This Row],[CUANTO SE REAJUSTA]]*Tabla14[[#This Row],[Personas Rechazo]]</f>
        <v>-68000</v>
      </c>
      <c r="BF252" s="250">
        <f>Tabla14[[#This Row],[REAJUSTADO]]/25000</f>
        <v>1.2</v>
      </c>
      <c r="BG252" s="302">
        <f>Tabla14[[#This Row],[REAJUSTADO]]*Tabla14[[#This Row],[Personas Rechazo]]</f>
        <v>150000</v>
      </c>
      <c r="BH252" s="292" t="str">
        <f>Tabla14[[#This Row],[Finca]]</f>
        <v>Damaquiel</v>
      </c>
      <c r="BJ252" s="332">
        <f>Tabla14[[#This Row],[Numero de Ocacionales]]*Tabla14[[#This Row],[REAJUSTADO]]</f>
        <v>0</v>
      </c>
      <c r="BK252" s="332"/>
      <c r="BL252" s="332"/>
      <c r="BM252" s="332">
        <f>+Tabla14[[#This Row],[CUANTO SE REAJUSTA]]*3</f>
        <v>-40800</v>
      </c>
    </row>
    <row r="253" spans="3:65" hidden="1" x14ac:dyDescent="0.25">
      <c r="C253" s="274">
        <v>44909</v>
      </c>
      <c r="D253" s="507">
        <f>YEAR(Tabla14[[#This Row],[Fecha]])</f>
        <v>2022</v>
      </c>
      <c r="E253" s="313">
        <f>IF(Tabla14[[#This Row],[Fecha]]&gt;0,_xlfn.ISOWEEKNUM(Tabla14[[#This Row],[Fecha]]),0)</f>
        <v>50</v>
      </c>
      <c r="F253" s="283">
        <v>139</v>
      </c>
      <c r="G253" s="275" t="s">
        <v>157</v>
      </c>
      <c r="H253" s="325" t="str">
        <f>_xlfn.XLOOKUP(Tabla14[[#This Row],[Codigo Finca]],Tabla4[Codigo Finca],Tabla4[Nombre Finca],"")</f>
        <v>Pedrito</v>
      </c>
      <c r="I253" s="277">
        <f>_xlfn.XLOOKUP(Tabla14[[#This Row],[Codigo Finca]],Tabla4[Codigo Finca],Tabla4[Precio Caja],0)</f>
        <v>2100</v>
      </c>
      <c r="J253" s="277">
        <f>_xlfn.XLOOKUP(Tabla14[[#This Row],[Codigo Finca]],Tabla4[Codigo Finca],Tabla4[Precio Caja Segunda],0)</f>
        <v>1000</v>
      </c>
      <c r="K253" s="277">
        <f>_xlfn.XLOOKUP(Tabla14[[#This Row],[Codigo Finca]],Tabla4[Codigo Finca],Tabla4[Precio Rechazo],0)</f>
        <v>500</v>
      </c>
      <c r="L253" s="277">
        <f t="shared" si="374"/>
        <v>797</v>
      </c>
      <c r="M253" s="278">
        <f t="shared" si="375"/>
        <v>5.7338129496402876</v>
      </c>
      <c r="N253" s="283"/>
      <c r="O253" s="279"/>
      <c r="P253" s="280">
        <f t="shared" si="376"/>
        <v>0</v>
      </c>
      <c r="Q253" s="281">
        <f t="shared" si="377"/>
        <v>0</v>
      </c>
      <c r="R253" s="282">
        <f t="shared" si="378"/>
        <v>0</v>
      </c>
      <c r="S253" s="283">
        <v>797</v>
      </c>
      <c r="T253" s="275">
        <v>8</v>
      </c>
      <c r="U253" s="280">
        <f t="shared" si="379"/>
        <v>139</v>
      </c>
      <c r="V253" s="281">
        <f t="shared" si="380"/>
        <v>17.375</v>
      </c>
      <c r="W253" s="282">
        <f t="shared" si="381"/>
        <v>36487.5</v>
      </c>
      <c r="X253" s="283"/>
      <c r="Y253" s="275"/>
      <c r="Z253" s="280">
        <f>Tabla14[[#This Row],[Cajas Segunda]]</f>
        <v>0</v>
      </c>
      <c r="AA253" s="281">
        <f t="shared" si="382"/>
        <v>0</v>
      </c>
      <c r="AB253" s="284">
        <f t="shared" si="383"/>
        <v>0</v>
      </c>
      <c r="AC253" s="285">
        <v>74</v>
      </c>
      <c r="AD253" s="286"/>
      <c r="AE253" s="286"/>
      <c r="AF253" s="286"/>
      <c r="AG253" s="286">
        <v>8</v>
      </c>
      <c r="AH253" s="280">
        <f t="shared" si="384"/>
        <v>74</v>
      </c>
      <c r="AI253" s="281">
        <f t="shared" si="385"/>
        <v>9.25</v>
      </c>
      <c r="AJ253" s="282">
        <f t="shared" si="386"/>
        <v>4625</v>
      </c>
      <c r="AK253" s="287">
        <f>Tabla14[[#This Row],[Cajas por Personas]]</f>
        <v>0</v>
      </c>
      <c r="AL253" s="288">
        <f>Tabla14[[#This Row],[Valor Precorte Pesona]]</f>
        <v>0</v>
      </c>
      <c r="AM253" s="294">
        <f>Tabla14[[#This Row],[Personas Precorte]]</f>
        <v>0</v>
      </c>
      <c r="AN253" s="308">
        <f>Tabla14[[#This Row],[Valor Precorte Pesona Precorte]]*Tabla14[[#This Row],[Perzonas Precorte]]</f>
        <v>0</v>
      </c>
      <c r="AO253" s="287">
        <f>Tabla14[[#This Row],[Cajas por Personas2]]</f>
        <v>17.375</v>
      </c>
      <c r="AP253" s="288">
        <f>Tabla14[[#This Row],[Valor Embarque Pesona]]</f>
        <v>36487.5</v>
      </c>
      <c r="AQ253" s="295">
        <f>Tabla14[[#This Row],[Personas Precorte2]]</f>
        <v>8</v>
      </c>
      <c r="AR253" s="296">
        <f>Tabla14[[#This Row],[Valor Embarque Pesona3]]*Tabla14[[#This Row],[Perzona Primera]]</f>
        <v>291900</v>
      </c>
      <c r="AS253" s="287">
        <f>Tabla14[[#This Row],[Columna2]]</f>
        <v>0</v>
      </c>
      <c r="AT253" s="288">
        <f>Tabla14[[#This Row],[Columna1]]</f>
        <v>0</v>
      </c>
      <c r="AU253" s="302">
        <f>Tabla14[[#This Row],[Personas Intervienen]]</f>
        <v>0</v>
      </c>
      <c r="AV253" s="297">
        <f>Tabla14[[#This Row],[Valor Embarque Pesona5]]*Tabla14[[#This Row],[Presonas Segunda]]</f>
        <v>0</v>
      </c>
      <c r="AW253" s="287">
        <f>Tabla14[[#This Row],[Bolsas Por Personas]]</f>
        <v>9.25</v>
      </c>
      <c r="AX253" s="288">
        <f>Tabla14[[#This Row],[Valor bolsas Pesona]]</f>
        <v>4625</v>
      </c>
      <c r="AY253" s="309">
        <f>Tabla14[[#This Row],[Personas13]]</f>
        <v>8</v>
      </c>
      <c r="AZ253" s="310">
        <f>Tabla14[[#This Row],[Valor bolsas Pesona2]]*Tabla14[[#This Row],[Personas Rechazo]]</f>
        <v>37000</v>
      </c>
      <c r="BA253" s="311">
        <f>+Tabla14[[#This Row],[Total Valor Segunda]]+Tabla14[[#This Row],[Total Valor Primera]]+Tabla14[[#This Row],[Total Valor Precorte]]</f>
        <v>291900</v>
      </c>
      <c r="BB253" s="292">
        <f>Tabla14[[#This Row],[Valor bolsas Pesona2]]+Tabla14[[#This Row],[Valor Embarque Pesona3]]</f>
        <v>41112.5</v>
      </c>
      <c r="BC253" s="332">
        <v>41000</v>
      </c>
      <c r="BD253" s="292">
        <f>Tabla14[[#This Row],[VALOR GANADO]]-Tabla14[[#This Row],[REAJUSTADO]]</f>
        <v>112.5</v>
      </c>
      <c r="BE253" s="250">
        <f>Tabla14[[#This Row],[CUANTO SE REAJUSTA]]*Tabla14[[#This Row],[Personas Rechazo]]</f>
        <v>900</v>
      </c>
      <c r="BF253" s="250">
        <f>Tabla14[[#This Row],[REAJUSTADO]]/25000</f>
        <v>1.64</v>
      </c>
      <c r="BG253" s="302">
        <f>Tabla14[[#This Row],[REAJUSTADO]]*Tabla14[[#This Row],[Personas Rechazo]]</f>
        <v>328000</v>
      </c>
      <c r="BH253" s="292" t="str">
        <f>Tabla14[[#This Row],[Finca]]</f>
        <v>Pedrito</v>
      </c>
      <c r="BJ253" s="332">
        <f>Tabla14[[#This Row],[Numero de Ocacionales]]*Tabla14[[#This Row],[REAJUSTADO]]</f>
        <v>0</v>
      </c>
      <c r="BK253" s="332"/>
      <c r="BL253" s="332"/>
      <c r="BM253" s="332">
        <f>+Tabla14[[#This Row],[CUANTO SE REAJUSTA]]*3</f>
        <v>337.5</v>
      </c>
    </row>
    <row r="254" spans="3:65" hidden="1" x14ac:dyDescent="0.25">
      <c r="C254" s="274">
        <v>44915</v>
      </c>
      <c r="D254" s="507">
        <f>YEAR(Tabla14[[#This Row],[Fecha]])</f>
        <v>2022</v>
      </c>
      <c r="E254" s="313">
        <f>IF(Tabla14[[#This Row],[Fecha]]&gt;0,_xlfn.ISOWEEKNUM(Tabla14[[#This Row],[Fecha]]),0)</f>
        <v>51</v>
      </c>
      <c r="F254" s="283">
        <f>313-24</f>
        <v>289</v>
      </c>
      <c r="G254" s="275" t="s">
        <v>211</v>
      </c>
      <c r="H254" s="325" t="str">
        <f>_xlfn.XLOOKUP(Tabla14[[#This Row],[Codigo Finca]],Tabla4[Codigo Finca],Tabla4[Nombre Finca],"")</f>
        <v>San Pedro</v>
      </c>
      <c r="I254" s="277">
        <f>_xlfn.XLOOKUP(Tabla14[[#This Row],[Codigo Finca]],Tabla4[Codigo Finca],Tabla4[Precio Caja],0)</f>
        <v>1600</v>
      </c>
      <c r="J254" s="277">
        <f>_xlfn.XLOOKUP(Tabla14[[#This Row],[Codigo Finca]],Tabla4[Codigo Finca],Tabla4[Precio Caja Segunda],0)</f>
        <v>1000</v>
      </c>
      <c r="K254" s="277">
        <f>_xlfn.XLOOKUP(Tabla14[[#This Row],[Codigo Finca]],Tabla4[Codigo Finca],Tabla4[Precio Rechazo],0)</f>
        <v>500</v>
      </c>
      <c r="L254" s="277">
        <f t="shared" si="374"/>
        <v>932</v>
      </c>
      <c r="M254" s="278">
        <f t="shared" si="375"/>
        <v>3.2249134948096887</v>
      </c>
      <c r="N254" s="283"/>
      <c r="O254" s="279"/>
      <c r="P254" s="280">
        <f t="shared" si="376"/>
        <v>0</v>
      </c>
      <c r="Q254" s="281">
        <f t="shared" si="377"/>
        <v>0</v>
      </c>
      <c r="R254" s="282">
        <f t="shared" si="378"/>
        <v>0</v>
      </c>
      <c r="S254" s="283">
        <v>932</v>
      </c>
      <c r="T254" s="275">
        <v>13</v>
      </c>
      <c r="U254" s="280">
        <f t="shared" si="379"/>
        <v>289</v>
      </c>
      <c r="V254" s="281">
        <f t="shared" si="380"/>
        <v>22.23076923076923</v>
      </c>
      <c r="W254" s="282">
        <f t="shared" si="381"/>
        <v>35569.230769230766</v>
      </c>
      <c r="X254" s="283"/>
      <c r="Y254" s="275"/>
      <c r="Z254" s="280">
        <f>Tabla14[[#This Row],[Cajas Segunda]]</f>
        <v>0</v>
      </c>
      <c r="AA254" s="281">
        <f t="shared" si="382"/>
        <v>0</v>
      </c>
      <c r="AB254" s="284">
        <f t="shared" si="383"/>
        <v>0</v>
      </c>
      <c r="AC254" s="285"/>
      <c r="AD254" s="286">
        <v>1392</v>
      </c>
      <c r="AE254" s="286"/>
      <c r="AF254" s="286"/>
      <c r="AG254" s="286">
        <v>13</v>
      </c>
      <c r="AH254" s="280">
        <f t="shared" si="384"/>
        <v>55.68</v>
      </c>
      <c r="AI254" s="281">
        <f t="shared" si="385"/>
        <v>4.2830769230769228</v>
      </c>
      <c r="AJ254" s="282">
        <f t="shared" si="386"/>
        <v>2141.5384615384614</v>
      </c>
      <c r="AK254" s="287">
        <f>Tabla14[[#This Row],[Cajas por Personas]]</f>
        <v>0</v>
      </c>
      <c r="AL254" s="288">
        <f>Tabla14[[#This Row],[Valor Precorte Pesona]]</f>
        <v>0</v>
      </c>
      <c r="AM254" s="294">
        <f>Tabla14[[#This Row],[Personas Precorte]]</f>
        <v>0</v>
      </c>
      <c r="AN254" s="308">
        <f>Tabla14[[#This Row],[Valor Precorte Pesona Precorte]]*Tabla14[[#This Row],[Perzonas Precorte]]</f>
        <v>0</v>
      </c>
      <c r="AO254" s="287">
        <f>Tabla14[[#This Row],[Cajas por Personas2]]</f>
        <v>22.23076923076923</v>
      </c>
      <c r="AP254" s="288">
        <f>Tabla14[[#This Row],[Valor Embarque Pesona]]</f>
        <v>35569.230769230766</v>
      </c>
      <c r="AQ254" s="295">
        <f>Tabla14[[#This Row],[Personas Precorte2]]</f>
        <v>13</v>
      </c>
      <c r="AR254" s="296">
        <f>Tabla14[[#This Row],[Valor Embarque Pesona3]]*Tabla14[[#This Row],[Perzona Primera]]</f>
        <v>462399.99999999994</v>
      </c>
      <c r="AS254" s="287">
        <f>Tabla14[[#This Row],[Columna2]]</f>
        <v>0</v>
      </c>
      <c r="AT254" s="288">
        <f>Tabla14[[#This Row],[Columna1]]</f>
        <v>0</v>
      </c>
      <c r="AU254" s="302">
        <f>Tabla14[[#This Row],[Personas Intervienen]]</f>
        <v>0</v>
      </c>
      <c r="AV254" s="297">
        <f>Tabla14[[#This Row],[Valor Embarque Pesona5]]*Tabla14[[#This Row],[Presonas Segunda]]</f>
        <v>0</v>
      </c>
      <c r="AW254" s="287">
        <f>Tabla14[[#This Row],[Bolsas Por Personas]]</f>
        <v>4.2830769230769228</v>
      </c>
      <c r="AX254" s="288">
        <f>Tabla14[[#This Row],[Valor bolsas Pesona]]</f>
        <v>2141.5384615384614</v>
      </c>
      <c r="AY254" s="309">
        <f>Tabla14[[#This Row],[Personas13]]</f>
        <v>13</v>
      </c>
      <c r="AZ254" s="310">
        <f>Tabla14[[#This Row],[Valor bolsas Pesona2]]*Tabla14[[#This Row],[Personas Rechazo]]</f>
        <v>27840</v>
      </c>
      <c r="BA254" s="311">
        <f>+Tabla14[[#This Row],[Total Valor Segunda]]+Tabla14[[#This Row],[Total Valor Primera]]+Tabla14[[#This Row],[Total Valor Precorte]]</f>
        <v>462399.99999999994</v>
      </c>
      <c r="BB254" s="470">
        <f>Tabla14[[#This Row],[Valor bolsas Pesona2]]+Tabla14[[#This Row],[Valor Embarque Pesona3]]</f>
        <v>37710.769230769227</v>
      </c>
      <c r="BC254" s="471">
        <v>41000</v>
      </c>
      <c r="BD254" s="470">
        <f>Tabla14[[#This Row],[VALOR GANADO]]-Tabla14[[#This Row],[REAJUSTADO]]</f>
        <v>-3289.2307692307731</v>
      </c>
      <c r="BE254" s="250">
        <f>Tabla14[[#This Row],[CUANTO SE REAJUSTA]]*Tabla14[[#This Row],[Personas Rechazo]]</f>
        <v>-42760.000000000051</v>
      </c>
      <c r="BF254" s="250">
        <f>Tabla14[[#This Row],[REAJUSTADO]]/25000</f>
        <v>1.64</v>
      </c>
      <c r="BG254" s="302">
        <f>Tabla14[[#This Row],[REAJUSTADO]]*Tabla14[[#This Row],[Personas Rechazo]]</f>
        <v>533000</v>
      </c>
      <c r="BH254" s="292" t="str">
        <f>Tabla14[[#This Row],[Finca]]</f>
        <v>San Pedro</v>
      </c>
      <c r="BJ254" s="332">
        <f>Tabla14[[#This Row],[Numero de Ocacionales]]*Tabla14[[#This Row],[REAJUSTADO]]</f>
        <v>0</v>
      </c>
      <c r="BK254" s="332"/>
      <c r="BL254" s="332">
        <v>35000</v>
      </c>
      <c r="BM254" s="332">
        <f>+Tabla14[[#This Row],[CUANTO SE REAJUSTA]]*3</f>
        <v>-9867.6923076923194</v>
      </c>
    </row>
    <row r="255" spans="3:65" hidden="1" x14ac:dyDescent="0.25">
      <c r="C255" s="274">
        <v>44915</v>
      </c>
      <c r="D255" s="507">
        <f>YEAR(Tabla14[[#This Row],[Fecha]])</f>
        <v>2022</v>
      </c>
      <c r="E255" s="313">
        <f>IF(Tabla14[[#This Row],[Fecha]]&gt;0,_xlfn.ISOWEEKNUM(Tabla14[[#This Row],[Fecha]]),0)</f>
        <v>51</v>
      </c>
      <c r="F255" s="283">
        <v>24</v>
      </c>
      <c r="G255" s="275" t="s">
        <v>209</v>
      </c>
      <c r="H255" s="325" t="str">
        <f>_xlfn.XLOOKUP(Tabla14[[#This Row],[Codigo Finca]],Tabla4[Codigo Finca],Tabla4[Nombre Finca],"")</f>
        <v>San Pedro</v>
      </c>
      <c r="I255" s="277">
        <f>_xlfn.XLOOKUP(Tabla14[[#This Row],[Codigo Finca]],Tabla4[Codigo Finca],Tabla4[Precio Caja],0)</f>
        <v>1800</v>
      </c>
      <c r="J255" s="277">
        <f>_xlfn.XLOOKUP(Tabla14[[#This Row],[Codigo Finca]],Tabla4[Codigo Finca],Tabla4[Precio Caja Segunda],0)</f>
        <v>1000</v>
      </c>
      <c r="K255" s="277">
        <f>_xlfn.XLOOKUP(Tabla14[[#This Row],[Codigo Finca]],Tabla4[Codigo Finca],Tabla4[Precio Rechazo],0)</f>
        <v>600</v>
      </c>
      <c r="L255" s="277">
        <f t="shared" si="374"/>
        <v>96</v>
      </c>
      <c r="M255" s="278">
        <f t="shared" si="375"/>
        <v>4</v>
      </c>
      <c r="N255" s="283"/>
      <c r="O255" s="279"/>
      <c r="P255" s="280">
        <f t="shared" si="376"/>
        <v>0</v>
      </c>
      <c r="Q255" s="281">
        <f t="shared" si="377"/>
        <v>0</v>
      </c>
      <c r="R255" s="282">
        <f t="shared" si="378"/>
        <v>0</v>
      </c>
      <c r="S255" s="283">
        <v>96</v>
      </c>
      <c r="T255" s="275">
        <v>13</v>
      </c>
      <c r="U255" s="280">
        <f t="shared" si="379"/>
        <v>24</v>
      </c>
      <c r="V255" s="281">
        <f t="shared" si="380"/>
        <v>1.8461538461538463</v>
      </c>
      <c r="W255" s="282">
        <f t="shared" si="381"/>
        <v>3323.0769230769229</v>
      </c>
      <c r="X255" s="283"/>
      <c r="Y255" s="275"/>
      <c r="Z255" s="280">
        <f>Tabla14[[#This Row],[Cajas Segunda]]</f>
        <v>0</v>
      </c>
      <c r="AA255" s="281">
        <f t="shared" si="382"/>
        <v>0</v>
      </c>
      <c r="AB255" s="284">
        <f t="shared" si="383"/>
        <v>0</v>
      </c>
      <c r="AC255" s="285"/>
      <c r="AD255" s="286"/>
      <c r="AE255" s="286"/>
      <c r="AF255" s="286"/>
      <c r="AG255" s="286">
        <v>13</v>
      </c>
      <c r="AH255" s="280">
        <f t="shared" si="384"/>
        <v>0</v>
      </c>
      <c r="AI255" s="281">
        <f t="shared" si="385"/>
        <v>0</v>
      </c>
      <c r="AJ255" s="282">
        <f t="shared" si="386"/>
        <v>0</v>
      </c>
      <c r="AK255" s="287">
        <f>Tabla14[[#This Row],[Cajas por Personas]]</f>
        <v>0</v>
      </c>
      <c r="AL255" s="288">
        <f>Tabla14[[#This Row],[Valor Precorte Pesona]]</f>
        <v>0</v>
      </c>
      <c r="AM255" s="294">
        <f>Tabla14[[#This Row],[Personas Precorte]]</f>
        <v>0</v>
      </c>
      <c r="AN255" s="308">
        <f>Tabla14[[#This Row],[Valor Precorte Pesona Precorte]]*Tabla14[[#This Row],[Perzonas Precorte]]</f>
        <v>0</v>
      </c>
      <c r="AO255" s="287">
        <f>Tabla14[[#This Row],[Cajas por Personas2]]</f>
        <v>1.8461538461538463</v>
      </c>
      <c r="AP255" s="288">
        <f>Tabla14[[#This Row],[Valor Embarque Pesona]]</f>
        <v>3323.0769230769229</v>
      </c>
      <c r="AQ255" s="295">
        <f>Tabla14[[#This Row],[Personas Precorte2]]</f>
        <v>13</v>
      </c>
      <c r="AR255" s="296">
        <f>Tabla14[[#This Row],[Valor Embarque Pesona3]]*Tabla14[[#This Row],[Perzona Primera]]</f>
        <v>43200</v>
      </c>
      <c r="AS255" s="287">
        <f>Tabla14[[#This Row],[Columna2]]</f>
        <v>0</v>
      </c>
      <c r="AT255" s="288">
        <f>Tabla14[[#This Row],[Columna1]]</f>
        <v>0</v>
      </c>
      <c r="AU255" s="302">
        <f>Tabla14[[#This Row],[Personas Intervienen]]</f>
        <v>0</v>
      </c>
      <c r="AV255" s="297">
        <f>Tabla14[[#This Row],[Valor Embarque Pesona5]]*Tabla14[[#This Row],[Presonas Segunda]]</f>
        <v>0</v>
      </c>
      <c r="AW255" s="287">
        <f>Tabla14[[#This Row],[Bolsas Por Personas]]</f>
        <v>0</v>
      </c>
      <c r="AX255" s="288">
        <f>Tabla14[[#This Row],[Valor bolsas Pesona]]</f>
        <v>0</v>
      </c>
      <c r="AY255" s="309">
        <f>Tabla14[[#This Row],[Personas13]]</f>
        <v>13</v>
      </c>
      <c r="AZ255" s="310">
        <f>Tabla14[[#This Row],[Valor bolsas Pesona2]]*Tabla14[[#This Row],[Personas Rechazo]]</f>
        <v>0</v>
      </c>
      <c r="BA255" s="311">
        <f>+Tabla14[[#This Row],[Total Valor Segunda]]+Tabla14[[#This Row],[Total Valor Primera]]+Tabla14[[#This Row],[Total Valor Precorte]]</f>
        <v>43200</v>
      </c>
      <c r="BB255" s="470">
        <f>Tabla14[[#This Row],[Valor bolsas Pesona2]]+Tabla14[[#This Row],[Valor Embarque Pesona3]]</f>
        <v>3323.0769230769229</v>
      </c>
      <c r="BC255" s="471"/>
      <c r="BD255" s="470">
        <f>Tabla14[[#This Row],[VALOR GANADO]]-Tabla14[[#This Row],[REAJUSTADO]]</f>
        <v>3323.0769230769229</v>
      </c>
      <c r="BE255" s="250">
        <f>Tabla14[[#This Row],[CUANTO SE REAJUSTA]]*Tabla14[[#This Row],[Personas Rechazo]]</f>
        <v>43200</v>
      </c>
      <c r="BF255" s="250">
        <f>Tabla14[[#This Row],[REAJUSTADO]]/25000</f>
        <v>0</v>
      </c>
      <c r="BG255" s="302">
        <f>Tabla14[[#This Row],[REAJUSTADO]]*Tabla14[[#This Row],[Personas Rechazo]]</f>
        <v>0</v>
      </c>
      <c r="BH255" s="292" t="str">
        <f>Tabla14[[#This Row],[Finca]]</f>
        <v>San Pedro</v>
      </c>
      <c r="BJ255" s="332">
        <f>Tabla14[[#This Row],[Numero de Ocacionales]]*Tabla14[[#This Row],[REAJUSTADO]]</f>
        <v>0</v>
      </c>
      <c r="BK255" s="332"/>
      <c r="BL255" s="332"/>
      <c r="BM255" s="332">
        <f>+Tabla14[[#This Row],[CUANTO SE REAJUSTA]]*3</f>
        <v>9969.2307692307695</v>
      </c>
    </row>
    <row r="256" spans="3:65" hidden="1" x14ac:dyDescent="0.25">
      <c r="C256" s="274">
        <v>44915</v>
      </c>
      <c r="D256" s="507">
        <f>YEAR(Tabla14[[#This Row],[Fecha]])</f>
        <v>2022</v>
      </c>
      <c r="E256" s="313">
        <f>IF(Tabla14[[#This Row],[Fecha]]&gt;0,_xlfn.ISOWEEKNUM(Tabla14[[#This Row],[Fecha]]),0)</f>
        <v>51</v>
      </c>
      <c r="F256" s="283">
        <v>48</v>
      </c>
      <c r="G256" s="275" t="s">
        <v>153</v>
      </c>
      <c r="H256" s="325" t="str">
        <f>_xlfn.XLOOKUP(Tabla14[[#This Row],[Codigo Finca]],Tabla4[Codigo Finca],Tabla4[Nombre Finca],"")</f>
        <v>Uveros</v>
      </c>
      <c r="I256" s="277">
        <f>_xlfn.XLOOKUP(Tabla14[[#This Row],[Codigo Finca]],Tabla4[Codigo Finca],Tabla4[Precio Caja],0)</f>
        <v>1500</v>
      </c>
      <c r="J256" s="277">
        <f>_xlfn.XLOOKUP(Tabla14[[#This Row],[Codigo Finca]],Tabla4[Codigo Finca],Tabla4[Precio Caja Segunda],0)</f>
        <v>1000</v>
      </c>
      <c r="K256" s="277">
        <f>_xlfn.XLOOKUP(Tabla14[[#This Row],[Codigo Finca]],Tabla4[Codigo Finca],Tabla4[Precio Rechazo],0)</f>
        <v>500</v>
      </c>
      <c r="L256" s="277">
        <f t="shared" si="374"/>
        <v>190</v>
      </c>
      <c r="M256" s="278">
        <f t="shared" si="375"/>
        <v>3.9583333333333335</v>
      </c>
      <c r="N256" s="283"/>
      <c r="O256" s="279"/>
      <c r="P256" s="280">
        <f t="shared" si="376"/>
        <v>0</v>
      </c>
      <c r="Q256" s="281">
        <f t="shared" si="377"/>
        <v>0</v>
      </c>
      <c r="R256" s="282">
        <f t="shared" si="378"/>
        <v>0</v>
      </c>
      <c r="S256" s="283">
        <v>190</v>
      </c>
      <c r="T256" s="275">
        <v>4</v>
      </c>
      <c r="U256" s="280">
        <f t="shared" si="379"/>
        <v>48</v>
      </c>
      <c r="V256" s="281">
        <f t="shared" si="380"/>
        <v>12</v>
      </c>
      <c r="W256" s="282">
        <f t="shared" si="381"/>
        <v>18000</v>
      </c>
      <c r="X256" s="283"/>
      <c r="Y256" s="275"/>
      <c r="Z256" s="280">
        <f>Tabla14[[#This Row],[Cajas Segunda]]</f>
        <v>0</v>
      </c>
      <c r="AA256" s="281">
        <f t="shared" si="382"/>
        <v>0</v>
      </c>
      <c r="AB256" s="284">
        <f t="shared" si="383"/>
        <v>0</v>
      </c>
      <c r="AC256" s="285">
        <v>5</v>
      </c>
      <c r="AD256" s="286"/>
      <c r="AE256" s="286"/>
      <c r="AF256" s="286"/>
      <c r="AG256" s="286">
        <v>4</v>
      </c>
      <c r="AH256" s="280">
        <f t="shared" si="384"/>
        <v>5</v>
      </c>
      <c r="AI256" s="281">
        <f t="shared" si="385"/>
        <v>1.25</v>
      </c>
      <c r="AJ256" s="282">
        <f t="shared" si="386"/>
        <v>625</v>
      </c>
      <c r="AK256" s="287">
        <f>Tabla14[[#This Row],[Cajas por Personas]]</f>
        <v>0</v>
      </c>
      <c r="AL256" s="288">
        <f>Tabla14[[#This Row],[Valor Precorte Pesona]]</f>
        <v>0</v>
      </c>
      <c r="AM256" s="294">
        <f>Tabla14[[#This Row],[Personas Precorte]]</f>
        <v>0</v>
      </c>
      <c r="AN256" s="308">
        <f>Tabla14[[#This Row],[Valor Precorte Pesona Precorte]]*Tabla14[[#This Row],[Perzonas Precorte]]</f>
        <v>0</v>
      </c>
      <c r="AO256" s="287">
        <f>Tabla14[[#This Row],[Cajas por Personas2]]</f>
        <v>12</v>
      </c>
      <c r="AP256" s="288">
        <f>Tabla14[[#This Row],[Valor Embarque Pesona]]</f>
        <v>18000</v>
      </c>
      <c r="AQ256" s="295">
        <f>Tabla14[[#This Row],[Personas Precorte2]]</f>
        <v>4</v>
      </c>
      <c r="AR256" s="296">
        <f>Tabla14[[#This Row],[Valor Embarque Pesona3]]*Tabla14[[#This Row],[Perzona Primera]]</f>
        <v>72000</v>
      </c>
      <c r="AS256" s="287">
        <f>Tabla14[[#This Row],[Columna2]]</f>
        <v>0</v>
      </c>
      <c r="AT256" s="288">
        <f>Tabla14[[#This Row],[Columna1]]</f>
        <v>0</v>
      </c>
      <c r="AU256" s="302">
        <f>Tabla14[[#This Row],[Personas Intervienen]]</f>
        <v>0</v>
      </c>
      <c r="AV256" s="297">
        <f>Tabla14[[#This Row],[Valor Embarque Pesona5]]*Tabla14[[#This Row],[Presonas Segunda]]</f>
        <v>0</v>
      </c>
      <c r="AW256" s="287">
        <f>Tabla14[[#This Row],[Bolsas Por Personas]]</f>
        <v>1.25</v>
      </c>
      <c r="AX256" s="288">
        <f>Tabla14[[#This Row],[Valor bolsas Pesona]]</f>
        <v>625</v>
      </c>
      <c r="AY256" s="309">
        <f>Tabla14[[#This Row],[Personas13]]</f>
        <v>4</v>
      </c>
      <c r="AZ256" s="310">
        <f>Tabla14[[#This Row],[Valor bolsas Pesona2]]*Tabla14[[#This Row],[Personas Rechazo]]</f>
        <v>2500</v>
      </c>
      <c r="BA256" s="311">
        <f>+Tabla14[[#This Row],[Total Valor Segunda]]+Tabla14[[#This Row],[Total Valor Primera]]+Tabla14[[#This Row],[Total Valor Precorte]]</f>
        <v>72000</v>
      </c>
      <c r="BB256" s="292">
        <f>Tabla14[[#This Row],[Valor bolsas Pesona2]]+Tabla14[[#This Row],[Valor Embarque Pesona3]]</f>
        <v>18625</v>
      </c>
      <c r="BC256" s="332">
        <v>30000</v>
      </c>
      <c r="BD256" s="292">
        <f>Tabla14[[#This Row],[VALOR GANADO]]-Tabla14[[#This Row],[REAJUSTADO]]</f>
        <v>-11375</v>
      </c>
      <c r="BE256" s="250">
        <f>Tabla14[[#This Row],[CUANTO SE REAJUSTA]]*Tabla14[[#This Row],[Personas Rechazo]]</f>
        <v>-45500</v>
      </c>
      <c r="BF256" s="250">
        <f>Tabla14[[#This Row],[REAJUSTADO]]/25000</f>
        <v>1.2</v>
      </c>
      <c r="BG256" s="302">
        <f>Tabla14[[#This Row],[REAJUSTADO]]*Tabla14[[#This Row],[Personas Rechazo]]</f>
        <v>120000</v>
      </c>
      <c r="BH256" s="292" t="str">
        <f>Tabla14[[#This Row],[Finca]]</f>
        <v>Uveros</v>
      </c>
      <c r="BJ256" s="332">
        <f>Tabla14[[#This Row],[Numero de Ocacionales]]*Tabla14[[#This Row],[REAJUSTADO]]</f>
        <v>0</v>
      </c>
      <c r="BK256" s="332"/>
      <c r="BL256" s="332"/>
      <c r="BM256" s="332">
        <f>+Tabla14[[#This Row],[CUANTO SE REAJUSTA]]*3</f>
        <v>-34125</v>
      </c>
    </row>
    <row r="257" spans="3:65" hidden="1" x14ac:dyDescent="0.25">
      <c r="C257" s="274">
        <v>44916</v>
      </c>
      <c r="D257" s="507">
        <f>YEAR(Tabla14[[#This Row],[Fecha]])</f>
        <v>2022</v>
      </c>
      <c r="E257" s="313">
        <f>IF(Tabla14[[#This Row],[Fecha]]&gt;0,_xlfn.ISOWEEKNUM(Tabla14[[#This Row],[Fecha]]),0)</f>
        <v>51</v>
      </c>
      <c r="F257" s="283">
        <v>52</v>
      </c>
      <c r="G257" s="275" t="s">
        <v>155</v>
      </c>
      <c r="H257" s="325" t="str">
        <f>_xlfn.XLOOKUP(Tabla14[[#This Row],[Codigo Finca]],Tabla4[Codigo Finca],Tabla4[Nombre Finca],"")</f>
        <v>Damaquiel</v>
      </c>
      <c r="I257" s="277">
        <f>_xlfn.XLOOKUP(Tabla14[[#This Row],[Codigo Finca]],Tabla4[Codigo Finca],Tabla4[Precio Caja],0)</f>
        <v>1500</v>
      </c>
      <c r="J257" s="277">
        <f>_xlfn.XLOOKUP(Tabla14[[#This Row],[Codigo Finca]],Tabla4[Codigo Finca],Tabla4[Precio Caja Segunda],0)</f>
        <v>1000</v>
      </c>
      <c r="K257" s="277">
        <f>_xlfn.XLOOKUP(Tabla14[[#This Row],[Codigo Finca]],Tabla4[Codigo Finca],Tabla4[Precio Rechazo],0)</f>
        <v>500</v>
      </c>
      <c r="L257" s="277">
        <f t="shared" si="374"/>
        <v>284</v>
      </c>
      <c r="M257" s="278">
        <f t="shared" si="375"/>
        <v>5.4615384615384617</v>
      </c>
      <c r="N257" s="283"/>
      <c r="O257" s="279"/>
      <c r="P257" s="280">
        <f t="shared" si="376"/>
        <v>0</v>
      </c>
      <c r="Q257" s="281">
        <f t="shared" si="377"/>
        <v>0</v>
      </c>
      <c r="R257" s="282">
        <f t="shared" si="378"/>
        <v>0</v>
      </c>
      <c r="S257" s="283">
        <v>284</v>
      </c>
      <c r="T257" s="275">
        <v>5</v>
      </c>
      <c r="U257" s="280">
        <f t="shared" si="379"/>
        <v>52</v>
      </c>
      <c r="V257" s="281">
        <f t="shared" si="380"/>
        <v>10.4</v>
      </c>
      <c r="W257" s="282">
        <f t="shared" si="381"/>
        <v>15600</v>
      </c>
      <c r="X257" s="283"/>
      <c r="Y257" s="275"/>
      <c r="Z257" s="280">
        <f>Tabla14[[#This Row],[Cajas Segunda]]</f>
        <v>0</v>
      </c>
      <c r="AA257" s="281">
        <f t="shared" si="382"/>
        <v>0</v>
      </c>
      <c r="AB257" s="284">
        <f t="shared" si="383"/>
        <v>0</v>
      </c>
      <c r="AC257" s="285"/>
      <c r="AD257" s="286">
        <f>289+69</f>
        <v>358</v>
      </c>
      <c r="AE257" s="286"/>
      <c r="AF257" s="286"/>
      <c r="AG257" s="286">
        <v>5</v>
      </c>
      <c r="AH257" s="280">
        <f t="shared" si="384"/>
        <v>14.32</v>
      </c>
      <c r="AI257" s="281">
        <f t="shared" si="385"/>
        <v>2.8639999999999999</v>
      </c>
      <c r="AJ257" s="282">
        <f t="shared" si="386"/>
        <v>1432</v>
      </c>
      <c r="AK257" s="287">
        <f>Tabla14[[#This Row],[Cajas por Personas]]</f>
        <v>0</v>
      </c>
      <c r="AL257" s="288">
        <f>Tabla14[[#This Row],[Valor Precorte Pesona]]</f>
        <v>0</v>
      </c>
      <c r="AM257" s="294">
        <f>Tabla14[[#This Row],[Personas Precorte]]</f>
        <v>0</v>
      </c>
      <c r="AN257" s="308">
        <f>Tabla14[[#This Row],[Valor Precorte Pesona Precorte]]*Tabla14[[#This Row],[Perzonas Precorte]]</f>
        <v>0</v>
      </c>
      <c r="AO257" s="287">
        <f>Tabla14[[#This Row],[Cajas por Personas2]]</f>
        <v>10.4</v>
      </c>
      <c r="AP257" s="288">
        <f>Tabla14[[#This Row],[Valor Embarque Pesona]]</f>
        <v>15600</v>
      </c>
      <c r="AQ257" s="295">
        <f>Tabla14[[#This Row],[Personas Precorte2]]</f>
        <v>5</v>
      </c>
      <c r="AR257" s="296">
        <f>Tabla14[[#This Row],[Valor Embarque Pesona3]]*Tabla14[[#This Row],[Perzona Primera]]</f>
        <v>78000</v>
      </c>
      <c r="AS257" s="287">
        <f>Tabla14[[#This Row],[Columna2]]</f>
        <v>0</v>
      </c>
      <c r="AT257" s="288">
        <f>Tabla14[[#This Row],[Columna1]]</f>
        <v>0</v>
      </c>
      <c r="AU257" s="302">
        <f>Tabla14[[#This Row],[Personas Intervienen]]</f>
        <v>0</v>
      </c>
      <c r="AV257" s="297">
        <f>Tabla14[[#This Row],[Valor Embarque Pesona5]]*Tabla14[[#This Row],[Presonas Segunda]]</f>
        <v>0</v>
      </c>
      <c r="AW257" s="287">
        <f>Tabla14[[#This Row],[Bolsas Por Personas]]</f>
        <v>2.8639999999999999</v>
      </c>
      <c r="AX257" s="288">
        <f>Tabla14[[#This Row],[Valor bolsas Pesona]]</f>
        <v>1432</v>
      </c>
      <c r="AY257" s="309">
        <f>Tabla14[[#This Row],[Personas13]]</f>
        <v>5</v>
      </c>
      <c r="AZ257" s="310">
        <f>Tabla14[[#This Row],[Valor bolsas Pesona2]]*Tabla14[[#This Row],[Personas Rechazo]]</f>
        <v>7160</v>
      </c>
      <c r="BA257" s="311">
        <f>+Tabla14[[#This Row],[Total Valor Segunda]]+Tabla14[[#This Row],[Total Valor Primera]]+Tabla14[[#This Row],[Total Valor Precorte]]</f>
        <v>78000</v>
      </c>
      <c r="BB257" s="292">
        <f>Tabla14[[#This Row],[Valor bolsas Pesona2]]+Tabla14[[#This Row],[Valor Embarque Pesona3]]</f>
        <v>17032</v>
      </c>
      <c r="BC257" s="332">
        <v>30000</v>
      </c>
      <c r="BD257" s="292">
        <f>Tabla14[[#This Row],[VALOR GANADO]]-Tabla14[[#This Row],[REAJUSTADO]]</f>
        <v>-12968</v>
      </c>
      <c r="BE257" s="250">
        <f>Tabla14[[#This Row],[CUANTO SE REAJUSTA]]*Tabla14[[#This Row],[Personas Rechazo]]</f>
        <v>-64840</v>
      </c>
      <c r="BF257" s="250">
        <f>Tabla14[[#This Row],[REAJUSTADO]]/25000</f>
        <v>1.2</v>
      </c>
      <c r="BG257" s="302">
        <f>Tabla14[[#This Row],[REAJUSTADO]]*Tabla14[[#This Row],[Personas Rechazo]]</f>
        <v>150000</v>
      </c>
      <c r="BH257" s="292" t="str">
        <f>Tabla14[[#This Row],[Finca]]</f>
        <v>Damaquiel</v>
      </c>
      <c r="BJ257" s="332">
        <f>Tabla14[[#This Row],[Numero de Ocacionales]]*Tabla14[[#This Row],[REAJUSTADO]]</f>
        <v>0</v>
      </c>
      <c r="BK257" s="332"/>
      <c r="BL257" s="332"/>
      <c r="BM257" s="332">
        <f>+Tabla14[[#This Row],[CUANTO SE REAJUSTA]]*3</f>
        <v>-38904</v>
      </c>
    </row>
    <row r="258" spans="3:65" hidden="1" x14ac:dyDescent="0.25">
      <c r="C258" s="274">
        <v>44916</v>
      </c>
      <c r="D258" s="507">
        <f>YEAR(Tabla14[[#This Row],[Fecha]])</f>
        <v>2022</v>
      </c>
      <c r="E258" s="313">
        <f>IF(Tabla14[[#This Row],[Fecha]]&gt;0,_xlfn.ISOWEEKNUM(Tabla14[[#This Row],[Fecha]]),0)</f>
        <v>51</v>
      </c>
      <c r="F258" s="283">
        <v>58</v>
      </c>
      <c r="G258" s="275" t="s">
        <v>157</v>
      </c>
      <c r="H258" s="325" t="str">
        <f>_xlfn.XLOOKUP(Tabla14[[#This Row],[Codigo Finca]],Tabla4[Codigo Finca],Tabla4[Nombre Finca],"")</f>
        <v>Pedrito</v>
      </c>
      <c r="I258" s="277">
        <f>_xlfn.XLOOKUP(Tabla14[[#This Row],[Codigo Finca]],Tabla4[Codigo Finca],Tabla4[Precio Caja],0)</f>
        <v>2100</v>
      </c>
      <c r="J258" s="277">
        <f>_xlfn.XLOOKUP(Tabla14[[#This Row],[Codigo Finca]],Tabla4[Codigo Finca],Tabla4[Precio Caja Segunda],0)</f>
        <v>1000</v>
      </c>
      <c r="K258" s="277">
        <f>_xlfn.XLOOKUP(Tabla14[[#This Row],[Codigo Finca]],Tabla4[Codigo Finca],Tabla4[Precio Rechazo],0)</f>
        <v>500</v>
      </c>
      <c r="L258" s="277">
        <f t="shared" si="374"/>
        <v>346</v>
      </c>
      <c r="M258" s="278">
        <f t="shared" si="375"/>
        <v>5.9655172413793105</v>
      </c>
      <c r="N258" s="283"/>
      <c r="O258" s="279"/>
      <c r="P258" s="280">
        <f t="shared" si="376"/>
        <v>0</v>
      </c>
      <c r="Q258" s="281">
        <f t="shared" si="377"/>
        <v>0</v>
      </c>
      <c r="R258" s="282">
        <f t="shared" si="378"/>
        <v>0</v>
      </c>
      <c r="S258" s="283">
        <v>346</v>
      </c>
      <c r="T258" s="275">
        <v>8</v>
      </c>
      <c r="U258" s="280">
        <f t="shared" si="379"/>
        <v>58</v>
      </c>
      <c r="V258" s="281">
        <f t="shared" si="380"/>
        <v>7.25</v>
      </c>
      <c r="W258" s="282">
        <f t="shared" si="381"/>
        <v>15225</v>
      </c>
      <c r="X258" s="283"/>
      <c r="Y258" s="275"/>
      <c r="Z258" s="280">
        <f>Tabla14[[#This Row],[Cajas Segunda]]</f>
        <v>0</v>
      </c>
      <c r="AA258" s="281">
        <f t="shared" si="382"/>
        <v>0</v>
      </c>
      <c r="AB258" s="284">
        <f t="shared" si="383"/>
        <v>0</v>
      </c>
      <c r="AC258" s="285"/>
      <c r="AD258" s="286">
        <v>1082</v>
      </c>
      <c r="AE258" s="286"/>
      <c r="AF258" s="286"/>
      <c r="AG258" s="286">
        <v>8</v>
      </c>
      <c r="AH258" s="280">
        <f t="shared" si="384"/>
        <v>43.28</v>
      </c>
      <c r="AI258" s="281">
        <f t="shared" si="385"/>
        <v>5.41</v>
      </c>
      <c r="AJ258" s="282">
        <f t="shared" si="386"/>
        <v>2705</v>
      </c>
      <c r="AK258" s="287">
        <f>Tabla14[[#This Row],[Cajas por Personas]]</f>
        <v>0</v>
      </c>
      <c r="AL258" s="288">
        <f>Tabla14[[#This Row],[Valor Precorte Pesona]]</f>
        <v>0</v>
      </c>
      <c r="AM258" s="294">
        <f>Tabla14[[#This Row],[Personas Precorte]]</f>
        <v>0</v>
      </c>
      <c r="AN258" s="308">
        <f>Tabla14[[#This Row],[Valor Precorte Pesona Precorte]]*Tabla14[[#This Row],[Perzonas Precorte]]</f>
        <v>0</v>
      </c>
      <c r="AO258" s="287">
        <f>Tabla14[[#This Row],[Cajas por Personas2]]</f>
        <v>7.25</v>
      </c>
      <c r="AP258" s="288">
        <f>Tabla14[[#This Row],[Valor Embarque Pesona]]</f>
        <v>15225</v>
      </c>
      <c r="AQ258" s="295">
        <f>Tabla14[[#This Row],[Personas Precorte2]]</f>
        <v>8</v>
      </c>
      <c r="AR258" s="296">
        <f>Tabla14[[#This Row],[Valor Embarque Pesona3]]*Tabla14[[#This Row],[Perzona Primera]]</f>
        <v>121800</v>
      </c>
      <c r="AS258" s="287">
        <f>Tabla14[[#This Row],[Columna2]]</f>
        <v>0</v>
      </c>
      <c r="AT258" s="288">
        <f>Tabla14[[#This Row],[Columna1]]</f>
        <v>0</v>
      </c>
      <c r="AU258" s="302">
        <f>Tabla14[[#This Row],[Personas Intervienen]]</f>
        <v>0</v>
      </c>
      <c r="AV258" s="297">
        <f>Tabla14[[#This Row],[Valor Embarque Pesona5]]*Tabla14[[#This Row],[Presonas Segunda]]</f>
        <v>0</v>
      </c>
      <c r="AW258" s="287">
        <f>Tabla14[[#This Row],[Bolsas Por Personas]]</f>
        <v>5.41</v>
      </c>
      <c r="AX258" s="288">
        <f>Tabla14[[#This Row],[Valor bolsas Pesona]]</f>
        <v>2705</v>
      </c>
      <c r="AY258" s="309">
        <f>Tabla14[[#This Row],[Personas13]]</f>
        <v>8</v>
      </c>
      <c r="AZ258" s="310">
        <f>Tabla14[[#This Row],[Valor bolsas Pesona2]]*Tabla14[[#This Row],[Personas Rechazo]]</f>
        <v>21640</v>
      </c>
      <c r="BA258" s="311">
        <f>+Tabla14[[#This Row],[Total Valor Segunda]]+Tabla14[[#This Row],[Total Valor Primera]]+Tabla14[[#This Row],[Total Valor Precorte]]</f>
        <v>121800</v>
      </c>
      <c r="BB258" s="292">
        <f>Tabla14[[#This Row],[Valor bolsas Pesona2]]+Tabla14[[#This Row],[Valor Embarque Pesona3]]</f>
        <v>17930</v>
      </c>
      <c r="BC258" s="332">
        <v>30000</v>
      </c>
      <c r="BD258" s="292">
        <f>Tabla14[[#This Row],[VALOR GANADO]]-Tabla14[[#This Row],[REAJUSTADO]]</f>
        <v>-12070</v>
      </c>
      <c r="BE258" s="250">
        <f>Tabla14[[#This Row],[CUANTO SE REAJUSTA]]*Tabla14[[#This Row],[Personas Rechazo]]</f>
        <v>-96560</v>
      </c>
      <c r="BF258" s="250">
        <f>Tabla14[[#This Row],[REAJUSTADO]]/25000</f>
        <v>1.2</v>
      </c>
      <c r="BG258" s="302">
        <f>Tabla14[[#This Row],[REAJUSTADO]]*Tabla14[[#This Row],[Personas Rechazo]]</f>
        <v>240000</v>
      </c>
      <c r="BH258" s="292" t="str">
        <f>Tabla14[[#This Row],[Finca]]</f>
        <v>Pedrito</v>
      </c>
      <c r="BJ258" s="332">
        <f>Tabla14[[#This Row],[Numero de Ocacionales]]*Tabla14[[#This Row],[REAJUSTADO]]</f>
        <v>0</v>
      </c>
      <c r="BK258" s="332"/>
      <c r="BL258" s="332">
        <v>35000</v>
      </c>
      <c r="BM258" s="332">
        <f>+Tabla14[[#This Row],[CUANTO SE REAJUSTA]]*3</f>
        <v>-36210</v>
      </c>
    </row>
    <row r="259" spans="3:65" hidden="1" x14ac:dyDescent="0.25">
      <c r="C259" s="274">
        <v>44922</v>
      </c>
      <c r="D259" s="507">
        <f>YEAR(Tabla14[[#This Row],[Fecha]])</f>
        <v>2022</v>
      </c>
      <c r="E259" s="313">
        <f>IF(Tabla14[[#This Row],[Fecha]]&gt;0,_xlfn.ISOWEEKNUM(Tabla14[[#This Row],[Fecha]]),0)</f>
        <v>52</v>
      </c>
      <c r="F259" s="283">
        <v>318</v>
      </c>
      <c r="G259" s="275" t="s">
        <v>211</v>
      </c>
      <c r="H259" s="325" t="str">
        <f>_xlfn.XLOOKUP(Tabla14[[#This Row],[Codigo Finca]],Tabla4[Codigo Finca],Tabla4[Nombre Finca],"")</f>
        <v>San Pedro</v>
      </c>
      <c r="I259" s="277">
        <f>_xlfn.XLOOKUP(Tabla14[[#This Row],[Codigo Finca]],Tabla4[Codigo Finca],Tabla4[Precio Caja],0)</f>
        <v>1600</v>
      </c>
      <c r="J259" s="277">
        <f>_xlfn.XLOOKUP(Tabla14[[#This Row],[Codigo Finca]],Tabla4[Codigo Finca],Tabla4[Precio Caja Segunda],0)</f>
        <v>1000</v>
      </c>
      <c r="K259" s="277">
        <f>_xlfn.XLOOKUP(Tabla14[[#This Row],[Codigo Finca]],Tabla4[Codigo Finca],Tabla4[Precio Rechazo],0)</f>
        <v>500</v>
      </c>
      <c r="L259" s="277">
        <f t="shared" ref="L259:L264" si="387">S259+N259</f>
        <v>1117</v>
      </c>
      <c r="M259" s="278">
        <f t="shared" ref="M259:M264" si="388">IF(F259&gt;0,L259/F259,0)</f>
        <v>3.5125786163522013</v>
      </c>
      <c r="N259" s="283"/>
      <c r="O259" s="279"/>
      <c r="P259" s="280">
        <f t="shared" ref="P259:P264" si="389">IF(N259&gt;0,(N259/M259)/2,0)</f>
        <v>0</v>
      </c>
      <c r="Q259" s="281">
        <f t="shared" ref="Q259:Q264" si="390">IF(O259&gt;0,P259/O259,0)</f>
        <v>0</v>
      </c>
      <c r="R259" s="282">
        <f t="shared" ref="R259:R264" si="391">IF(I259&gt;0,Q259*I259,)</f>
        <v>0</v>
      </c>
      <c r="S259" s="283">
        <v>1117</v>
      </c>
      <c r="T259" s="275">
        <v>14</v>
      </c>
      <c r="U259" s="280">
        <f t="shared" ref="U259:U264" si="392">F259-P259</f>
        <v>318</v>
      </c>
      <c r="V259" s="281">
        <f t="shared" ref="V259:V264" si="393">IF(T259&gt;0,U259/T259,0)</f>
        <v>22.714285714285715</v>
      </c>
      <c r="W259" s="282">
        <f t="shared" ref="W259:W264" si="394">IF(T259&gt;0,(U259*I259)/T259,0)</f>
        <v>36342.857142857145</v>
      </c>
      <c r="X259" s="283"/>
      <c r="Y259" s="275"/>
      <c r="Z259" s="280">
        <f>Tabla14[[#This Row],[Cajas Segunda]]</f>
        <v>0</v>
      </c>
      <c r="AA259" s="281">
        <f t="shared" ref="AA259:AA264" si="395">IF(Y259&gt;0,Z259/Y259,0)</f>
        <v>0</v>
      </c>
      <c r="AB259" s="284">
        <f t="shared" ref="AB259:AB264" si="396">IF(Y259&gt;0,(Z259*J259)/Y259,0)</f>
        <v>0</v>
      </c>
      <c r="AC259" s="285"/>
      <c r="AD259" s="286">
        <v>1860</v>
      </c>
      <c r="AE259" s="286"/>
      <c r="AF259" s="286"/>
      <c r="AG259" s="286">
        <v>14</v>
      </c>
      <c r="AH259" s="280">
        <f t="shared" ref="AH259:AH264" si="397">IF(AND(AC259&gt;0,AE259=0,AF259=0,AD259=0),AC259,IF(AND(AC259=0,AE259&gt;0,AF259&gt;0,AD259=0),AE259*AF259/25,IF(AND(AC259=0,AE259=0,AF259=0,AD259&gt;0),AD259/25,0)))</f>
        <v>74.400000000000006</v>
      </c>
      <c r="AI259" s="281">
        <f t="shared" ref="AI259:AI264" si="398">IF(AG259&gt;0,AH259/AG259,0)</f>
        <v>5.3142857142857149</v>
      </c>
      <c r="AJ259" s="282">
        <f t="shared" ref="AJ259:AJ264" si="399">AI259*K259</f>
        <v>2657.1428571428573</v>
      </c>
      <c r="AK259" s="287">
        <f>Tabla14[[#This Row],[Cajas por Personas]]</f>
        <v>0</v>
      </c>
      <c r="AL259" s="288">
        <f>Tabla14[[#This Row],[Valor Precorte Pesona]]</f>
        <v>0</v>
      </c>
      <c r="AM259" s="294">
        <f>Tabla14[[#This Row],[Personas Precorte]]</f>
        <v>0</v>
      </c>
      <c r="AN259" s="308">
        <f>Tabla14[[#This Row],[Valor Precorte Pesona Precorte]]*Tabla14[[#This Row],[Perzonas Precorte]]</f>
        <v>0</v>
      </c>
      <c r="AO259" s="287">
        <f>Tabla14[[#This Row],[Cajas por Personas2]]</f>
        <v>22.714285714285715</v>
      </c>
      <c r="AP259" s="288">
        <f>Tabla14[[#This Row],[Valor Embarque Pesona]]</f>
        <v>36342.857142857145</v>
      </c>
      <c r="AQ259" s="295">
        <f>Tabla14[[#This Row],[Personas Precorte2]]</f>
        <v>14</v>
      </c>
      <c r="AR259" s="296">
        <f>Tabla14[[#This Row],[Valor Embarque Pesona3]]*Tabla14[[#This Row],[Perzona Primera]]</f>
        <v>508800</v>
      </c>
      <c r="AS259" s="287">
        <f>Tabla14[[#This Row],[Columna2]]</f>
        <v>0</v>
      </c>
      <c r="AT259" s="288">
        <f>Tabla14[[#This Row],[Columna1]]</f>
        <v>0</v>
      </c>
      <c r="AU259" s="302">
        <f>Tabla14[[#This Row],[Personas Intervienen]]</f>
        <v>0</v>
      </c>
      <c r="AV259" s="297">
        <f>Tabla14[[#This Row],[Valor Embarque Pesona5]]*Tabla14[[#This Row],[Presonas Segunda]]</f>
        <v>0</v>
      </c>
      <c r="AW259" s="287">
        <f>Tabla14[[#This Row],[Bolsas Por Personas]]</f>
        <v>5.3142857142857149</v>
      </c>
      <c r="AX259" s="288">
        <f>Tabla14[[#This Row],[Valor bolsas Pesona]]</f>
        <v>2657.1428571428573</v>
      </c>
      <c r="AY259" s="309">
        <f>Tabla14[[#This Row],[Personas13]]</f>
        <v>14</v>
      </c>
      <c r="AZ259" s="310">
        <f>Tabla14[[#This Row],[Valor bolsas Pesona2]]*Tabla14[[#This Row],[Personas Rechazo]]</f>
        <v>37200</v>
      </c>
      <c r="BA259" s="311">
        <f>+Tabla14[[#This Row],[Total Valor Segunda]]+Tabla14[[#This Row],[Total Valor Primera]]+Tabla14[[#This Row],[Total Valor Precorte]]</f>
        <v>508800</v>
      </c>
      <c r="BB259" s="292">
        <f>Tabla14[[#This Row],[Valor bolsas Pesona2]]+Tabla14[[#This Row],[Valor Embarque Pesona3]]</f>
        <v>39000</v>
      </c>
      <c r="BD259" s="292">
        <f>Tabla14[[#This Row],[VALOR GANADO]]-Tabla14[[#This Row],[REAJUSTADO]]</f>
        <v>39000</v>
      </c>
      <c r="BE259" s="250">
        <f>Tabla14[[#This Row],[CUANTO SE REAJUSTA]]*Tabla14[[#This Row],[Personas Rechazo]]</f>
        <v>546000</v>
      </c>
      <c r="BF259" s="250">
        <f>Tabla14[[#This Row],[REAJUSTADO]]/25000</f>
        <v>0</v>
      </c>
      <c r="BG259" s="302">
        <f>Tabla14[[#This Row],[REAJUSTADO]]*Tabla14[[#This Row],[Personas Rechazo]]</f>
        <v>0</v>
      </c>
      <c r="BH259" s="292" t="str">
        <f>Tabla14[[#This Row],[Finca]]</f>
        <v>San Pedro</v>
      </c>
      <c r="BJ259" s="332">
        <f>Tabla14[[#This Row],[Numero de Ocacionales]]*Tabla14[[#This Row],[REAJUSTADO]]</f>
        <v>0</v>
      </c>
      <c r="BK259" s="332"/>
      <c r="BL259" s="332">
        <v>35000</v>
      </c>
      <c r="BM259" s="332">
        <f>+Tabla14[[#This Row],[CUANTO SE REAJUSTA]]*3</f>
        <v>117000</v>
      </c>
    </row>
    <row r="260" spans="3:65" hidden="1" x14ac:dyDescent="0.25">
      <c r="C260" s="274">
        <v>44922</v>
      </c>
      <c r="D260" s="507">
        <f>YEAR(Tabla14[[#This Row],[Fecha]])</f>
        <v>2022</v>
      </c>
      <c r="E260" s="313">
        <f>IF(Tabla14[[#This Row],[Fecha]]&gt;0,_xlfn.ISOWEEKNUM(Tabla14[[#This Row],[Fecha]]),0)</f>
        <v>52</v>
      </c>
      <c r="F260" s="283">
        <v>42</v>
      </c>
      <c r="G260" s="275" t="s">
        <v>153</v>
      </c>
      <c r="H260" s="325" t="str">
        <f>_xlfn.XLOOKUP(Tabla14[[#This Row],[Codigo Finca]],Tabla4[Codigo Finca],Tabla4[Nombre Finca],"")</f>
        <v>Uveros</v>
      </c>
      <c r="I260" s="277">
        <f>_xlfn.XLOOKUP(Tabla14[[#This Row],[Codigo Finca]],Tabla4[Codigo Finca],Tabla4[Precio Caja],0)</f>
        <v>1500</v>
      </c>
      <c r="J260" s="277">
        <f>_xlfn.XLOOKUP(Tabla14[[#This Row],[Codigo Finca]],Tabla4[Codigo Finca],Tabla4[Precio Caja Segunda],0)</f>
        <v>1000</v>
      </c>
      <c r="K260" s="277">
        <f>_xlfn.XLOOKUP(Tabla14[[#This Row],[Codigo Finca]],Tabla4[Codigo Finca],Tabla4[Precio Rechazo],0)</f>
        <v>500</v>
      </c>
      <c r="L260" s="277">
        <f t="shared" si="387"/>
        <v>195</v>
      </c>
      <c r="M260" s="278">
        <f t="shared" si="388"/>
        <v>4.6428571428571432</v>
      </c>
      <c r="N260" s="283"/>
      <c r="O260" s="279"/>
      <c r="P260" s="280">
        <f t="shared" si="389"/>
        <v>0</v>
      </c>
      <c r="Q260" s="281">
        <f t="shared" si="390"/>
        <v>0</v>
      </c>
      <c r="R260" s="282">
        <f t="shared" si="391"/>
        <v>0</v>
      </c>
      <c r="S260" s="283">
        <f>88+107</f>
        <v>195</v>
      </c>
      <c r="T260" s="275">
        <v>4</v>
      </c>
      <c r="U260" s="280">
        <f t="shared" si="392"/>
        <v>42</v>
      </c>
      <c r="V260" s="281">
        <f t="shared" si="393"/>
        <v>10.5</v>
      </c>
      <c r="W260" s="282">
        <f t="shared" si="394"/>
        <v>15750</v>
      </c>
      <c r="X260" s="283"/>
      <c r="Y260" s="275"/>
      <c r="Z260" s="280">
        <f>Tabla14[[#This Row],[Cajas Segunda]]</f>
        <v>0</v>
      </c>
      <c r="AA260" s="281">
        <f t="shared" si="395"/>
        <v>0</v>
      </c>
      <c r="AB260" s="284">
        <f t="shared" si="396"/>
        <v>0</v>
      </c>
      <c r="AC260" s="285"/>
      <c r="AD260" s="286">
        <v>177</v>
      </c>
      <c r="AE260" s="286"/>
      <c r="AF260" s="286"/>
      <c r="AG260" s="286">
        <v>4</v>
      </c>
      <c r="AH260" s="280">
        <f t="shared" si="397"/>
        <v>7.08</v>
      </c>
      <c r="AI260" s="281">
        <f t="shared" si="398"/>
        <v>1.77</v>
      </c>
      <c r="AJ260" s="282">
        <f t="shared" si="399"/>
        <v>885</v>
      </c>
      <c r="AK260" s="287">
        <f>Tabla14[[#This Row],[Cajas por Personas]]</f>
        <v>0</v>
      </c>
      <c r="AL260" s="288">
        <f>Tabla14[[#This Row],[Valor Precorte Pesona]]</f>
        <v>0</v>
      </c>
      <c r="AM260" s="294">
        <f>Tabla14[[#This Row],[Personas Precorte]]</f>
        <v>0</v>
      </c>
      <c r="AN260" s="308">
        <f>Tabla14[[#This Row],[Valor Precorte Pesona Precorte]]*Tabla14[[#This Row],[Perzonas Precorte]]</f>
        <v>0</v>
      </c>
      <c r="AO260" s="287">
        <f>Tabla14[[#This Row],[Cajas por Personas2]]</f>
        <v>10.5</v>
      </c>
      <c r="AP260" s="288">
        <f>Tabla14[[#This Row],[Valor Embarque Pesona]]</f>
        <v>15750</v>
      </c>
      <c r="AQ260" s="295">
        <f>Tabla14[[#This Row],[Personas Precorte2]]</f>
        <v>4</v>
      </c>
      <c r="AR260" s="296">
        <f>Tabla14[[#This Row],[Valor Embarque Pesona3]]*Tabla14[[#This Row],[Perzona Primera]]</f>
        <v>63000</v>
      </c>
      <c r="AS260" s="287">
        <f>Tabla14[[#This Row],[Columna2]]</f>
        <v>0</v>
      </c>
      <c r="AT260" s="288">
        <f>Tabla14[[#This Row],[Columna1]]</f>
        <v>0</v>
      </c>
      <c r="AU260" s="302">
        <f>Tabla14[[#This Row],[Personas Intervienen]]</f>
        <v>0</v>
      </c>
      <c r="AV260" s="297">
        <f>Tabla14[[#This Row],[Valor Embarque Pesona5]]*Tabla14[[#This Row],[Presonas Segunda]]</f>
        <v>0</v>
      </c>
      <c r="AW260" s="287">
        <f>Tabla14[[#This Row],[Bolsas Por Personas]]</f>
        <v>1.77</v>
      </c>
      <c r="AX260" s="288">
        <f>Tabla14[[#This Row],[Valor bolsas Pesona]]</f>
        <v>885</v>
      </c>
      <c r="AY260" s="309">
        <f>Tabla14[[#This Row],[Personas13]]</f>
        <v>4</v>
      </c>
      <c r="AZ260" s="310">
        <f>Tabla14[[#This Row],[Valor bolsas Pesona2]]*Tabla14[[#This Row],[Personas Rechazo]]</f>
        <v>3540</v>
      </c>
      <c r="BA260" s="311">
        <f>+Tabla14[[#This Row],[Total Valor Segunda]]+Tabla14[[#This Row],[Total Valor Primera]]+Tabla14[[#This Row],[Total Valor Precorte]]</f>
        <v>63000</v>
      </c>
      <c r="BB260" s="292">
        <f>Tabla14[[#This Row],[Valor bolsas Pesona2]]+Tabla14[[#This Row],[Valor Embarque Pesona3]]</f>
        <v>16635</v>
      </c>
      <c r="BC260" s="332">
        <v>30000</v>
      </c>
      <c r="BD260" s="292">
        <f>Tabla14[[#This Row],[VALOR GANADO]]-Tabla14[[#This Row],[REAJUSTADO]]</f>
        <v>-13365</v>
      </c>
      <c r="BE260" s="250">
        <f>Tabla14[[#This Row],[CUANTO SE REAJUSTA]]*Tabla14[[#This Row],[Personas Rechazo]]</f>
        <v>-53460</v>
      </c>
      <c r="BF260" s="250">
        <f>Tabla14[[#This Row],[REAJUSTADO]]/25000</f>
        <v>1.2</v>
      </c>
      <c r="BG260" s="302">
        <f>Tabla14[[#This Row],[REAJUSTADO]]*Tabla14[[#This Row],[Personas Rechazo]]</f>
        <v>120000</v>
      </c>
      <c r="BH260" s="292" t="str">
        <f>Tabla14[[#This Row],[Finca]]</f>
        <v>Uveros</v>
      </c>
      <c r="BJ260" s="332">
        <f>Tabla14[[#This Row],[Numero de Ocacionales]]*Tabla14[[#This Row],[REAJUSTADO]]</f>
        <v>0</v>
      </c>
      <c r="BK260" s="332"/>
      <c r="BL260" s="332"/>
      <c r="BM260" s="332">
        <f>+Tabla14[[#This Row],[CUANTO SE REAJUSTA]]*3</f>
        <v>-40095</v>
      </c>
    </row>
    <row r="261" spans="3:65" hidden="1" x14ac:dyDescent="0.25">
      <c r="C261" s="274">
        <v>44923</v>
      </c>
      <c r="D261" s="507">
        <f>YEAR(Tabla14[[#This Row],[Fecha]])</f>
        <v>2022</v>
      </c>
      <c r="E261" s="313">
        <f>IF(Tabla14[[#This Row],[Fecha]]&gt;0,_xlfn.ISOWEEKNUM(Tabla14[[#This Row],[Fecha]]),0)</f>
        <v>52</v>
      </c>
      <c r="F261" s="283">
        <v>35</v>
      </c>
      <c r="G261" s="275" t="s">
        <v>155</v>
      </c>
      <c r="H261" s="325" t="str">
        <f>_xlfn.XLOOKUP(Tabla14[[#This Row],[Codigo Finca]],Tabla4[Codigo Finca],Tabla4[Nombre Finca],"")</f>
        <v>Damaquiel</v>
      </c>
      <c r="I261" s="277">
        <f>_xlfn.XLOOKUP(Tabla14[[#This Row],[Codigo Finca]],Tabla4[Codigo Finca],Tabla4[Precio Caja],0)</f>
        <v>1500</v>
      </c>
      <c r="J261" s="277">
        <f>_xlfn.XLOOKUP(Tabla14[[#This Row],[Codigo Finca]],Tabla4[Codigo Finca],Tabla4[Precio Caja Segunda],0)</f>
        <v>1000</v>
      </c>
      <c r="K261" s="277">
        <f>_xlfn.XLOOKUP(Tabla14[[#This Row],[Codigo Finca]],Tabla4[Codigo Finca],Tabla4[Precio Rechazo],0)</f>
        <v>500</v>
      </c>
      <c r="L261" s="277">
        <f t="shared" si="387"/>
        <v>321</v>
      </c>
      <c r="M261" s="278">
        <f t="shared" si="388"/>
        <v>9.1714285714285708</v>
      </c>
      <c r="N261" s="283"/>
      <c r="O261" s="279"/>
      <c r="P261" s="280">
        <f t="shared" si="389"/>
        <v>0</v>
      </c>
      <c r="Q261" s="281">
        <f t="shared" si="390"/>
        <v>0</v>
      </c>
      <c r="R261" s="282">
        <f t="shared" si="391"/>
        <v>0</v>
      </c>
      <c r="S261" s="283">
        <f>20+143+77+81</f>
        <v>321</v>
      </c>
      <c r="T261" s="275">
        <v>5</v>
      </c>
      <c r="U261" s="280">
        <f t="shared" si="392"/>
        <v>35</v>
      </c>
      <c r="V261" s="281">
        <f t="shared" si="393"/>
        <v>7</v>
      </c>
      <c r="W261" s="282">
        <f t="shared" si="394"/>
        <v>10500</v>
      </c>
      <c r="X261" s="283"/>
      <c r="Y261" s="275"/>
      <c r="Z261" s="280">
        <f>Tabla14[[#This Row],[Cajas Segunda]]</f>
        <v>0</v>
      </c>
      <c r="AA261" s="281">
        <f t="shared" si="395"/>
        <v>0</v>
      </c>
      <c r="AB261" s="284">
        <f t="shared" si="396"/>
        <v>0</v>
      </c>
      <c r="AC261" s="285"/>
      <c r="AD261" s="286">
        <v>276</v>
      </c>
      <c r="AE261" s="286"/>
      <c r="AF261" s="286"/>
      <c r="AG261" s="286">
        <v>5</v>
      </c>
      <c r="AH261" s="280">
        <f t="shared" si="397"/>
        <v>11.04</v>
      </c>
      <c r="AI261" s="281">
        <f t="shared" si="398"/>
        <v>2.2079999999999997</v>
      </c>
      <c r="AJ261" s="282">
        <f t="shared" si="399"/>
        <v>1103.9999999999998</v>
      </c>
      <c r="AK261" s="287">
        <f>Tabla14[[#This Row],[Cajas por Personas]]</f>
        <v>0</v>
      </c>
      <c r="AL261" s="288">
        <f>Tabla14[[#This Row],[Valor Precorte Pesona]]</f>
        <v>0</v>
      </c>
      <c r="AM261" s="294">
        <f>Tabla14[[#This Row],[Personas Precorte]]</f>
        <v>0</v>
      </c>
      <c r="AN261" s="308">
        <f>Tabla14[[#This Row],[Valor Precorte Pesona Precorte]]*Tabla14[[#This Row],[Perzonas Precorte]]</f>
        <v>0</v>
      </c>
      <c r="AO261" s="287">
        <f>Tabla14[[#This Row],[Cajas por Personas2]]</f>
        <v>7</v>
      </c>
      <c r="AP261" s="288">
        <f>Tabla14[[#This Row],[Valor Embarque Pesona]]</f>
        <v>10500</v>
      </c>
      <c r="AQ261" s="295">
        <f>Tabla14[[#This Row],[Personas Precorte2]]</f>
        <v>5</v>
      </c>
      <c r="AR261" s="296">
        <f>Tabla14[[#This Row],[Valor Embarque Pesona3]]*Tabla14[[#This Row],[Perzona Primera]]</f>
        <v>52500</v>
      </c>
      <c r="AS261" s="287">
        <f>Tabla14[[#This Row],[Columna2]]</f>
        <v>0</v>
      </c>
      <c r="AT261" s="288">
        <f>Tabla14[[#This Row],[Columna1]]</f>
        <v>0</v>
      </c>
      <c r="AU261" s="302">
        <f>Tabla14[[#This Row],[Personas Intervienen]]</f>
        <v>0</v>
      </c>
      <c r="AV261" s="297">
        <f>Tabla14[[#This Row],[Valor Embarque Pesona5]]*Tabla14[[#This Row],[Presonas Segunda]]</f>
        <v>0</v>
      </c>
      <c r="AW261" s="287">
        <f>Tabla14[[#This Row],[Bolsas Por Personas]]</f>
        <v>2.2079999999999997</v>
      </c>
      <c r="AX261" s="288">
        <f>Tabla14[[#This Row],[Valor bolsas Pesona]]</f>
        <v>1103.9999999999998</v>
      </c>
      <c r="AY261" s="309">
        <f>Tabla14[[#This Row],[Personas13]]</f>
        <v>5</v>
      </c>
      <c r="AZ261" s="310">
        <f>Tabla14[[#This Row],[Valor bolsas Pesona2]]*Tabla14[[#This Row],[Personas Rechazo]]</f>
        <v>5519.9999999999991</v>
      </c>
      <c r="BA261" s="311">
        <f>+Tabla14[[#This Row],[Total Valor Segunda]]+Tabla14[[#This Row],[Total Valor Primera]]+Tabla14[[#This Row],[Total Valor Precorte]]</f>
        <v>52500</v>
      </c>
      <c r="BB261" s="292">
        <f>Tabla14[[#This Row],[Valor bolsas Pesona2]]+Tabla14[[#This Row],[Valor Embarque Pesona3]]</f>
        <v>11604</v>
      </c>
      <c r="BC261" s="332">
        <v>30000</v>
      </c>
      <c r="BD261" s="292">
        <f>Tabla14[[#This Row],[VALOR GANADO]]-Tabla14[[#This Row],[REAJUSTADO]]</f>
        <v>-18396</v>
      </c>
      <c r="BE261" s="250">
        <f>Tabla14[[#This Row],[CUANTO SE REAJUSTA]]*Tabla14[[#This Row],[Personas Rechazo]]</f>
        <v>-91980</v>
      </c>
      <c r="BF261" s="250">
        <f>Tabla14[[#This Row],[REAJUSTADO]]/25000</f>
        <v>1.2</v>
      </c>
      <c r="BG261" s="302">
        <f>Tabla14[[#This Row],[REAJUSTADO]]*Tabla14[[#This Row],[Personas Rechazo]]</f>
        <v>150000</v>
      </c>
      <c r="BH261" s="292" t="str">
        <f>Tabla14[[#This Row],[Finca]]</f>
        <v>Damaquiel</v>
      </c>
      <c r="BJ261" s="332">
        <f>Tabla14[[#This Row],[Numero de Ocacionales]]*Tabla14[[#This Row],[REAJUSTADO]]</f>
        <v>0</v>
      </c>
      <c r="BK261" s="332"/>
      <c r="BL261" s="332"/>
      <c r="BM261" s="332">
        <f>+Tabla14[[#This Row],[CUANTO SE REAJUSTA]]*3</f>
        <v>-55188</v>
      </c>
    </row>
    <row r="262" spans="3:65" hidden="1" x14ac:dyDescent="0.25">
      <c r="C262" s="274">
        <v>44923</v>
      </c>
      <c r="D262" s="507">
        <f>YEAR(Tabla14[[#This Row],[Fecha]])</f>
        <v>2022</v>
      </c>
      <c r="E262" s="313">
        <f>IF(Tabla14[[#This Row],[Fecha]]&gt;0,_xlfn.ISOWEEKNUM(Tabla14[[#This Row],[Fecha]]),0)</f>
        <v>52</v>
      </c>
      <c r="F262" s="283">
        <v>57</v>
      </c>
      <c r="G262" s="275" t="s">
        <v>157</v>
      </c>
      <c r="H262" s="325" t="str">
        <f>_xlfn.XLOOKUP(Tabla14[[#This Row],[Codigo Finca]],Tabla4[Codigo Finca],Tabla4[Nombre Finca],"")</f>
        <v>Pedrito</v>
      </c>
      <c r="I262" s="277">
        <f>_xlfn.XLOOKUP(Tabla14[[#This Row],[Codigo Finca]],Tabla4[Codigo Finca],Tabla4[Precio Caja],0)</f>
        <v>2100</v>
      </c>
      <c r="J262" s="277">
        <f>_xlfn.XLOOKUP(Tabla14[[#This Row],[Codigo Finca]],Tabla4[Codigo Finca],Tabla4[Precio Caja Segunda],0)</f>
        <v>1000</v>
      </c>
      <c r="K262" s="277">
        <f>_xlfn.XLOOKUP(Tabla14[[#This Row],[Codigo Finca]],Tabla4[Codigo Finca],Tabla4[Precio Rechazo],0)</f>
        <v>500</v>
      </c>
      <c r="L262" s="277">
        <f t="shared" si="387"/>
        <v>246</v>
      </c>
      <c r="M262" s="278">
        <f t="shared" si="388"/>
        <v>4.3157894736842106</v>
      </c>
      <c r="N262" s="283"/>
      <c r="O262" s="279"/>
      <c r="P262" s="280">
        <f t="shared" si="389"/>
        <v>0</v>
      </c>
      <c r="Q262" s="281">
        <f t="shared" si="390"/>
        <v>0</v>
      </c>
      <c r="R262" s="282">
        <f t="shared" si="391"/>
        <v>0</v>
      </c>
      <c r="S262" s="283">
        <v>246</v>
      </c>
      <c r="T262" s="275">
        <v>9</v>
      </c>
      <c r="U262" s="280">
        <f t="shared" si="392"/>
        <v>57</v>
      </c>
      <c r="V262" s="281">
        <f t="shared" si="393"/>
        <v>6.333333333333333</v>
      </c>
      <c r="W262" s="282">
        <f t="shared" si="394"/>
        <v>13300</v>
      </c>
      <c r="X262" s="283"/>
      <c r="Y262" s="275"/>
      <c r="Z262" s="280">
        <f>Tabla14[[#This Row],[Cajas Segunda]]</f>
        <v>0</v>
      </c>
      <c r="AA262" s="281">
        <f t="shared" si="395"/>
        <v>0</v>
      </c>
      <c r="AB262" s="284">
        <f t="shared" si="396"/>
        <v>0</v>
      </c>
      <c r="AC262" s="285"/>
      <c r="AD262" s="286">
        <v>379</v>
      </c>
      <c r="AE262" s="286"/>
      <c r="AF262" s="286"/>
      <c r="AG262" s="286">
        <v>9</v>
      </c>
      <c r="AH262" s="280">
        <f t="shared" si="397"/>
        <v>15.16</v>
      </c>
      <c r="AI262" s="281">
        <f t="shared" si="398"/>
        <v>1.6844444444444444</v>
      </c>
      <c r="AJ262" s="282">
        <f t="shared" si="399"/>
        <v>842.22222222222217</v>
      </c>
      <c r="AK262" s="287">
        <f>Tabla14[[#This Row],[Cajas por Personas]]</f>
        <v>0</v>
      </c>
      <c r="AL262" s="288">
        <f>Tabla14[[#This Row],[Valor Precorte Pesona]]</f>
        <v>0</v>
      </c>
      <c r="AM262" s="294">
        <f>Tabla14[[#This Row],[Personas Precorte]]</f>
        <v>0</v>
      </c>
      <c r="AN262" s="308">
        <f>Tabla14[[#This Row],[Valor Precorte Pesona Precorte]]*Tabla14[[#This Row],[Perzonas Precorte]]</f>
        <v>0</v>
      </c>
      <c r="AO262" s="287">
        <f>Tabla14[[#This Row],[Cajas por Personas2]]</f>
        <v>6.333333333333333</v>
      </c>
      <c r="AP262" s="288">
        <f>Tabla14[[#This Row],[Valor Embarque Pesona]]</f>
        <v>13300</v>
      </c>
      <c r="AQ262" s="295">
        <f>Tabla14[[#This Row],[Personas Precorte2]]</f>
        <v>9</v>
      </c>
      <c r="AR262" s="296">
        <f>Tabla14[[#This Row],[Valor Embarque Pesona3]]*Tabla14[[#This Row],[Perzona Primera]]</f>
        <v>119700</v>
      </c>
      <c r="AS262" s="287">
        <f>Tabla14[[#This Row],[Columna2]]</f>
        <v>0</v>
      </c>
      <c r="AT262" s="288">
        <f>Tabla14[[#This Row],[Columna1]]</f>
        <v>0</v>
      </c>
      <c r="AU262" s="302">
        <f>Tabla14[[#This Row],[Personas Intervienen]]</f>
        <v>0</v>
      </c>
      <c r="AV262" s="297">
        <f>Tabla14[[#This Row],[Valor Embarque Pesona5]]*Tabla14[[#This Row],[Presonas Segunda]]</f>
        <v>0</v>
      </c>
      <c r="AW262" s="287">
        <f>Tabla14[[#This Row],[Bolsas Por Personas]]</f>
        <v>1.6844444444444444</v>
      </c>
      <c r="AX262" s="288">
        <f>Tabla14[[#This Row],[Valor bolsas Pesona]]</f>
        <v>842.22222222222217</v>
      </c>
      <c r="AY262" s="309">
        <f>Tabla14[[#This Row],[Personas13]]</f>
        <v>9</v>
      </c>
      <c r="AZ262" s="310">
        <f>Tabla14[[#This Row],[Valor bolsas Pesona2]]*Tabla14[[#This Row],[Personas Rechazo]]</f>
        <v>7580</v>
      </c>
      <c r="BA262" s="311">
        <f>+Tabla14[[#This Row],[Total Valor Segunda]]+Tabla14[[#This Row],[Total Valor Primera]]+Tabla14[[#This Row],[Total Valor Precorte]]</f>
        <v>119700</v>
      </c>
      <c r="BB262" s="292">
        <f>Tabla14[[#This Row],[Valor bolsas Pesona2]]+Tabla14[[#This Row],[Valor Embarque Pesona3]]</f>
        <v>14142.222222222223</v>
      </c>
      <c r="BC262" s="332">
        <v>30000</v>
      </c>
      <c r="BD262" s="292">
        <f>Tabla14[[#This Row],[VALOR GANADO]]-Tabla14[[#This Row],[REAJUSTADO]]</f>
        <v>-15857.777777777777</v>
      </c>
      <c r="BE262" s="250">
        <f>Tabla14[[#This Row],[CUANTO SE REAJUSTA]]*Tabla14[[#This Row],[Personas Rechazo]]</f>
        <v>-142720</v>
      </c>
      <c r="BF262" s="250">
        <f>Tabla14[[#This Row],[REAJUSTADO]]/25000</f>
        <v>1.2</v>
      </c>
      <c r="BG262" s="302">
        <f>Tabla14[[#This Row],[REAJUSTADO]]*Tabla14[[#This Row],[Personas Rechazo]]</f>
        <v>270000</v>
      </c>
      <c r="BH262" s="292" t="str">
        <f>Tabla14[[#This Row],[Finca]]</f>
        <v>Pedrito</v>
      </c>
      <c r="BJ262" s="332">
        <f>Tabla14[[#This Row],[Numero de Ocacionales]]*Tabla14[[#This Row],[REAJUSTADO]]</f>
        <v>0</v>
      </c>
      <c r="BK262" s="332"/>
      <c r="BL262" s="332">
        <v>35000</v>
      </c>
      <c r="BM262" s="332">
        <f>+Tabla14[[#This Row],[CUANTO SE REAJUSTA]]*3</f>
        <v>-47573.333333333328</v>
      </c>
    </row>
    <row r="263" spans="3:65" hidden="1" x14ac:dyDescent="0.25">
      <c r="C263" s="274">
        <v>44923</v>
      </c>
      <c r="D263" s="507">
        <f>YEAR(Tabla14[[#This Row],[Fecha]])</f>
        <v>2022</v>
      </c>
      <c r="E263" s="313">
        <f>IF(Tabla14[[#This Row],[Fecha]]&gt;0,_xlfn.ISOWEEKNUM(Tabla14[[#This Row],[Fecha]]),0)</f>
        <v>52</v>
      </c>
      <c r="F263" s="283">
        <v>37</v>
      </c>
      <c r="G263" s="275" t="s">
        <v>211</v>
      </c>
      <c r="H263" s="325" t="str">
        <f>_xlfn.XLOOKUP(Tabla14[[#This Row],[Codigo Finca]],Tabla4[Codigo Finca],Tabla4[Nombre Finca],"")</f>
        <v>San Pedro</v>
      </c>
      <c r="I263" s="277">
        <f>_xlfn.XLOOKUP(Tabla14[[#This Row],[Codigo Finca]],Tabla4[Codigo Finca],Tabla4[Precio Caja],0)</f>
        <v>1600</v>
      </c>
      <c r="J263" s="277">
        <f>_xlfn.XLOOKUP(Tabla14[[#This Row],[Codigo Finca]],Tabla4[Codigo Finca],Tabla4[Precio Caja Segunda],0)</f>
        <v>1000</v>
      </c>
      <c r="K263" s="277">
        <f>_xlfn.XLOOKUP(Tabla14[[#This Row],[Codigo Finca]],Tabla4[Codigo Finca],Tabla4[Precio Rechazo],0)</f>
        <v>500</v>
      </c>
      <c r="L263" s="277">
        <f t="shared" si="387"/>
        <v>121</v>
      </c>
      <c r="M263" s="278">
        <f t="shared" si="388"/>
        <v>3.2702702702702702</v>
      </c>
      <c r="N263" s="283"/>
      <c r="O263" s="279"/>
      <c r="P263" s="280">
        <f t="shared" si="389"/>
        <v>0</v>
      </c>
      <c r="Q263" s="281">
        <f t="shared" si="390"/>
        <v>0</v>
      </c>
      <c r="R263" s="282">
        <f t="shared" si="391"/>
        <v>0</v>
      </c>
      <c r="S263" s="283">
        <v>121</v>
      </c>
      <c r="T263" s="275">
        <v>3</v>
      </c>
      <c r="U263" s="280">
        <f t="shared" si="392"/>
        <v>37</v>
      </c>
      <c r="V263" s="281">
        <f t="shared" si="393"/>
        <v>12.333333333333334</v>
      </c>
      <c r="W263" s="282">
        <f t="shared" si="394"/>
        <v>19733.333333333332</v>
      </c>
      <c r="X263" s="283"/>
      <c r="Y263" s="275"/>
      <c r="Z263" s="280">
        <f>Tabla14[[#This Row],[Cajas Segunda]]</f>
        <v>0</v>
      </c>
      <c r="AA263" s="281">
        <f t="shared" si="395"/>
        <v>0</v>
      </c>
      <c r="AB263" s="284">
        <f t="shared" si="396"/>
        <v>0</v>
      </c>
      <c r="AC263" s="285"/>
      <c r="AD263" s="286">
        <v>217</v>
      </c>
      <c r="AE263" s="286"/>
      <c r="AF263" s="286"/>
      <c r="AG263" s="286">
        <v>3</v>
      </c>
      <c r="AH263" s="280">
        <f t="shared" si="397"/>
        <v>8.68</v>
      </c>
      <c r="AI263" s="281">
        <f t="shared" si="398"/>
        <v>2.8933333333333331</v>
      </c>
      <c r="AJ263" s="282">
        <f t="shared" si="399"/>
        <v>1446.6666666666665</v>
      </c>
      <c r="AK263" s="287">
        <f>Tabla14[[#This Row],[Cajas por Personas]]</f>
        <v>0</v>
      </c>
      <c r="AL263" s="288">
        <f>Tabla14[[#This Row],[Valor Precorte Pesona]]</f>
        <v>0</v>
      </c>
      <c r="AM263" s="294">
        <f>Tabla14[[#This Row],[Personas Precorte]]</f>
        <v>0</v>
      </c>
      <c r="AN263" s="308">
        <f>Tabla14[[#This Row],[Valor Precorte Pesona Precorte]]*Tabla14[[#This Row],[Perzonas Precorte]]</f>
        <v>0</v>
      </c>
      <c r="AO263" s="287">
        <f>Tabla14[[#This Row],[Cajas por Personas2]]</f>
        <v>12.333333333333334</v>
      </c>
      <c r="AP263" s="288">
        <f>Tabla14[[#This Row],[Valor Embarque Pesona]]</f>
        <v>19733.333333333332</v>
      </c>
      <c r="AQ263" s="295">
        <f>Tabla14[[#This Row],[Personas Precorte2]]</f>
        <v>3</v>
      </c>
      <c r="AR263" s="296">
        <f>Tabla14[[#This Row],[Valor Embarque Pesona3]]*Tabla14[[#This Row],[Perzona Primera]]</f>
        <v>59200</v>
      </c>
      <c r="AS263" s="287">
        <f>Tabla14[[#This Row],[Columna2]]</f>
        <v>0</v>
      </c>
      <c r="AT263" s="288">
        <f>Tabla14[[#This Row],[Columna1]]</f>
        <v>0</v>
      </c>
      <c r="AU263" s="302">
        <f>Tabla14[[#This Row],[Personas Intervienen]]</f>
        <v>0</v>
      </c>
      <c r="AV263" s="297">
        <f>Tabla14[[#This Row],[Valor Embarque Pesona5]]*Tabla14[[#This Row],[Presonas Segunda]]</f>
        <v>0</v>
      </c>
      <c r="AW263" s="287">
        <f>Tabla14[[#This Row],[Bolsas Por Personas]]</f>
        <v>2.8933333333333331</v>
      </c>
      <c r="AX263" s="288">
        <f>Tabla14[[#This Row],[Valor bolsas Pesona]]</f>
        <v>1446.6666666666665</v>
      </c>
      <c r="AY263" s="309">
        <f>Tabla14[[#This Row],[Personas13]]</f>
        <v>3</v>
      </c>
      <c r="AZ263" s="310">
        <f>Tabla14[[#This Row],[Valor bolsas Pesona2]]*Tabla14[[#This Row],[Personas Rechazo]]</f>
        <v>4340</v>
      </c>
      <c r="BA263" s="311">
        <f>+Tabla14[[#This Row],[Total Valor Segunda]]+Tabla14[[#This Row],[Total Valor Primera]]+Tabla14[[#This Row],[Total Valor Precorte]]</f>
        <v>59200</v>
      </c>
      <c r="BB263" s="470">
        <f>Tabla14[[#This Row],[Valor bolsas Pesona2]]+Tabla14[[#This Row],[Valor Embarque Pesona3]]</f>
        <v>21180</v>
      </c>
      <c r="BC263" s="471">
        <v>47000</v>
      </c>
      <c r="BD263" s="470">
        <f>Tabla14[[#This Row],[VALOR GANADO]]-Tabla14[[#This Row],[REAJUSTADO]]</f>
        <v>-25820</v>
      </c>
      <c r="BE263" s="250">
        <f>Tabla14[[#This Row],[CUANTO SE REAJUSTA]]*Tabla14[[#This Row],[Personas Rechazo]]</f>
        <v>-77460</v>
      </c>
      <c r="BF263" s="250">
        <f>Tabla14[[#This Row],[REAJUSTADO]]/25000</f>
        <v>1.88</v>
      </c>
      <c r="BG263" s="302">
        <f>Tabla14[[#This Row],[REAJUSTADO]]*Tabla14[[#This Row],[Personas Rechazo]]</f>
        <v>141000</v>
      </c>
      <c r="BH263" s="292" t="str">
        <f>Tabla14[[#This Row],[Finca]]</f>
        <v>San Pedro</v>
      </c>
      <c r="BJ263" s="332">
        <f>Tabla14[[#This Row],[Numero de Ocacionales]]*Tabla14[[#This Row],[REAJUSTADO]]</f>
        <v>0</v>
      </c>
      <c r="BK263" s="332"/>
      <c r="BL263" s="332"/>
      <c r="BM263" s="332">
        <f>+Tabla14[[#This Row],[CUANTO SE REAJUSTA]]*3</f>
        <v>-77460</v>
      </c>
    </row>
    <row r="264" spans="3:65" hidden="1" x14ac:dyDescent="0.25">
      <c r="C264" s="274">
        <v>44923</v>
      </c>
      <c r="D264" s="507">
        <f>YEAR(Tabla14[[#This Row],[Fecha]])</f>
        <v>2022</v>
      </c>
      <c r="E264" s="313">
        <f>IF(Tabla14[[#This Row],[Fecha]]&gt;0,_xlfn.ISOWEEKNUM(Tabla14[[#This Row],[Fecha]]),0)</f>
        <v>52</v>
      </c>
      <c r="F264" s="283">
        <v>40</v>
      </c>
      <c r="G264" s="275" t="s">
        <v>209</v>
      </c>
      <c r="H264" s="325" t="str">
        <f>_xlfn.XLOOKUP(Tabla14[[#This Row],[Codigo Finca]],Tabla4[Codigo Finca],Tabla4[Nombre Finca],"")</f>
        <v>San Pedro</v>
      </c>
      <c r="I264" s="277">
        <f>_xlfn.XLOOKUP(Tabla14[[#This Row],[Codigo Finca]],Tabla4[Codigo Finca],Tabla4[Precio Caja],0)</f>
        <v>1800</v>
      </c>
      <c r="J264" s="277">
        <f>_xlfn.XLOOKUP(Tabla14[[#This Row],[Codigo Finca]],Tabla4[Codigo Finca],Tabla4[Precio Caja Segunda],0)</f>
        <v>1000</v>
      </c>
      <c r="K264" s="277">
        <f>_xlfn.XLOOKUP(Tabla14[[#This Row],[Codigo Finca]],Tabla4[Codigo Finca],Tabla4[Precio Rechazo],0)</f>
        <v>600</v>
      </c>
      <c r="L264" s="277">
        <f t="shared" si="387"/>
        <v>119</v>
      </c>
      <c r="M264" s="278">
        <f t="shared" si="388"/>
        <v>2.9750000000000001</v>
      </c>
      <c r="N264" s="283"/>
      <c r="O264" s="279"/>
      <c r="P264" s="280">
        <f t="shared" si="389"/>
        <v>0</v>
      </c>
      <c r="Q264" s="281">
        <f t="shared" si="390"/>
        <v>0</v>
      </c>
      <c r="R264" s="282">
        <f t="shared" si="391"/>
        <v>0</v>
      </c>
      <c r="S264" s="283">
        <v>119</v>
      </c>
      <c r="T264" s="275">
        <v>3</v>
      </c>
      <c r="U264" s="280">
        <f t="shared" si="392"/>
        <v>40</v>
      </c>
      <c r="V264" s="281">
        <f t="shared" si="393"/>
        <v>13.333333333333334</v>
      </c>
      <c r="W264" s="282">
        <f t="shared" si="394"/>
        <v>24000</v>
      </c>
      <c r="X264" s="283"/>
      <c r="Y264" s="275"/>
      <c r="Z264" s="280">
        <f>Tabla14[[#This Row],[Cajas Segunda]]</f>
        <v>0</v>
      </c>
      <c r="AA264" s="281">
        <f t="shared" si="395"/>
        <v>0</v>
      </c>
      <c r="AB264" s="284">
        <f t="shared" si="396"/>
        <v>0</v>
      </c>
      <c r="AC264" s="285"/>
      <c r="AD264" s="286">
        <v>240</v>
      </c>
      <c r="AE264" s="286"/>
      <c r="AF264" s="286"/>
      <c r="AG264" s="286">
        <v>3</v>
      </c>
      <c r="AH264" s="280">
        <f t="shared" si="397"/>
        <v>9.6</v>
      </c>
      <c r="AI264" s="281">
        <f t="shared" si="398"/>
        <v>3.1999999999999997</v>
      </c>
      <c r="AJ264" s="282">
        <f t="shared" si="399"/>
        <v>1919.9999999999998</v>
      </c>
      <c r="AK264" s="287">
        <f>Tabla14[[#This Row],[Cajas por Personas]]</f>
        <v>0</v>
      </c>
      <c r="AL264" s="288">
        <f>Tabla14[[#This Row],[Valor Precorte Pesona]]</f>
        <v>0</v>
      </c>
      <c r="AM264" s="294">
        <f>Tabla14[[#This Row],[Personas Precorte]]</f>
        <v>0</v>
      </c>
      <c r="AN264" s="308">
        <f>Tabla14[[#This Row],[Valor Precorte Pesona Precorte]]*Tabla14[[#This Row],[Perzonas Precorte]]</f>
        <v>0</v>
      </c>
      <c r="AO264" s="287">
        <f>Tabla14[[#This Row],[Cajas por Personas2]]</f>
        <v>13.333333333333334</v>
      </c>
      <c r="AP264" s="288">
        <f>Tabla14[[#This Row],[Valor Embarque Pesona]]</f>
        <v>24000</v>
      </c>
      <c r="AQ264" s="295">
        <f>Tabla14[[#This Row],[Personas Precorte2]]</f>
        <v>3</v>
      </c>
      <c r="AR264" s="296">
        <f>Tabla14[[#This Row],[Valor Embarque Pesona3]]*Tabla14[[#This Row],[Perzona Primera]]</f>
        <v>72000</v>
      </c>
      <c r="AS264" s="287">
        <f>Tabla14[[#This Row],[Columna2]]</f>
        <v>0</v>
      </c>
      <c r="AT264" s="288">
        <f>Tabla14[[#This Row],[Columna1]]</f>
        <v>0</v>
      </c>
      <c r="AU264" s="302">
        <f>Tabla14[[#This Row],[Personas Intervienen]]</f>
        <v>0</v>
      </c>
      <c r="AV264" s="297">
        <f>Tabla14[[#This Row],[Valor Embarque Pesona5]]*Tabla14[[#This Row],[Presonas Segunda]]</f>
        <v>0</v>
      </c>
      <c r="AW264" s="287">
        <f>Tabla14[[#This Row],[Bolsas Por Personas]]</f>
        <v>3.1999999999999997</v>
      </c>
      <c r="AX264" s="288">
        <f>Tabla14[[#This Row],[Valor bolsas Pesona]]</f>
        <v>1919.9999999999998</v>
      </c>
      <c r="AY264" s="309">
        <f>Tabla14[[#This Row],[Personas13]]</f>
        <v>3</v>
      </c>
      <c r="AZ264" s="310">
        <f>Tabla14[[#This Row],[Valor bolsas Pesona2]]*Tabla14[[#This Row],[Personas Rechazo]]</f>
        <v>5759.9999999999991</v>
      </c>
      <c r="BA264" s="311">
        <f>+Tabla14[[#This Row],[Total Valor Segunda]]+Tabla14[[#This Row],[Total Valor Primera]]+Tabla14[[#This Row],[Total Valor Precorte]]</f>
        <v>72000</v>
      </c>
      <c r="BB264" s="470">
        <f>Tabla14[[#This Row],[Valor bolsas Pesona2]]+Tabla14[[#This Row],[Valor Embarque Pesona3]]</f>
        <v>25920</v>
      </c>
      <c r="BC264" s="471"/>
      <c r="BD264" s="470">
        <f>Tabla14[[#This Row],[VALOR GANADO]]-Tabla14[[#This Row],[REAJUSTADO]]</f>
        <v>25920</v>
      </c>
      <c r="BE264" s="250">
        <f>Tabla14[[#This Row],[CUANTO SE REAJUSTA]]*Tabla14[[#This Row],[Personas Rechazo]]</f>
        <v>77760</v>
      </c>
      <c r="BF264" s="250">
        <f>Tabla14[[#This Row],[REAJUSTADO]]/25000</f>
        <v>0</v>
      </c>
      <c r="BG264" s="302">
        <f>Tabla14[[#This Row],[REAJUSTADO]]*Tabla14[[#This Row],[Personas Rechazo]]</f>
        <v>0</v>
      </c>
      <c r="BH264" s="292" t="str">
        <f>Tabla14[[#This Row],[Finca]]</f>
        <v>San Pedro</v>
      </c>
      <c r="BJ264" s="332">
        <f>Tabla14[[#This Row],[Numero de Ocacionales]]*Tabla14[[#This Row],[REAJUSTADO]]</f>
        <v>0</v>
      </c>
      <c r="BK264" s="332"/>
      <c r="BL264" s="332"/>
      <c r="BM264" s="332">
        <f>+Tabla14[[#This Row],[CUANTO SE REAJUSTA]]*3</f>
        <v>77760</v>
      </c>
    </row>
    <row r="265" spans="3:65" x14ac:dyDescent="0.25">
      <c r="C265" s="274">
        <v>44929</v>
      </c>
      <c r="D265" s="507">
        <f>YEAR(Tabla14[[#This Row],[Fecha]])</f>
        <v>2023</v>
      </c>
      <c r="E265" s="313">
        <f>IF(Tabla14[[#This Row],[Fecha]]&gt;0,_xlfn.ISOWEEKNUM(Tabla14[[#This Row],[Fecha]]),0)</f>
        <v>1</v>
      </c>
      <c r="F265" s="283">
        <f>180+72+72+69</f>
        <v>393</v>
      </c>
      <c r="G265" s="275" t="s">
        <v>250</v>
      </c>
      <c r="H265" s="325" t="str">
        <f>_xlfn.XLOOKUP(Tabla14[[#This Row],[Codigo Finca]],Tabla4[Codigo Finca],Tabla4[Nombre Finca],"")</f>
        <v>San Pedro</v>
      </c>
      <c r="I265" s="277">
        <f>_xlfn.XLOOKUP(Tabla14[[#This Row],[Codigo Finca]],Tabla4[Codigo Finca],Tabla4[Precio Caja],0)</f>
        <v>1800</v>
      </c>
      <c r="J265" s="277">
        <f>_xlfn.XLOOKUP(Tabla14[[#This Row],[Codigo Finca]],Tabla4[Codigo Finca],Tabla4[Precio Caja Segunda],0)</f>
        <v>1150</v>
      </c>
      <c r="K265" s="277">
        <f>_xlfn.XLOOKUP(Tabla14[[#This Row],[Codigo Finca]],Tabla4[Codigo Finca],Tabla4[Precio Rechazo],0)</f>
        <v>575</v>
      </c>
      <c r="L265" s="277">
        <f t="shared" ref="L265:L328" si="400">S265+N265</f>
        <v>1160</v>
      </c>
      <c r="M265" s="278">
        <f t="shared" ref="M265:M328" si="401">IF(F265&gt;0,L265/F265,0)</f>
        <v>2.9516539440203564</v>
      </c>
      <c r="N265" s="283"/>
      <c r="O265" s="279"/>
      <c r="P265" s="280">
        <f t="shared" ref="P265:P328" si="402">IF(N265&gt;0,(N265/M265)/2,0)</f>
        <v>0</v>
      </c>
      <c r="Q265" s="281">
        <f t="shared" ref="Q265:Q328" si="403">IF(O265&gt;0,P265/O265,0)</f>
        <v>0</v>
      </c>
      <c r="R265" s="282">
        <f t="shared" ref="R265:R328" si="404">IF(I265&gt;0,Q265*I265,)</f>
        <v>0</v>
      </c>
      <c r="S265" s="283">
        <f>1244-84</f>
        <v>1160</v>
      </c>
      <c r="T265" s="275">
        <v>16</v>
      </c>
      <c r="U265" s="280">
        <f t="shared" ref="U265:U328" si="405">F265-P265</f>
        <v>393</v>
      </c>
      <c r="V265" s="281">
        <f t="shared" ref="V265:V328" si="406">IF(T265&gt;0,U265/T265,0)</f>
        <v>24.5625</v>
      </c>
      <c r="W265" s="282">
        <f t="shared" ref="W265:W328" si="407">IF(T265&gt;0,(U265*I265)/T265,0)</f>
        <v>44212.5</v>
      </c>
      <c r="X265" s="283"/>
      <c r="Y265" s="275"/>
      <c r="Z265" s="280">
        <f>Tabla14[[#This Row],[Cajas Segunda]]</f>
        <v>0</v>
      </c>
      <c r="AA265" s="281">
        <f t="shared" ref="AA265:AA328" si="408">IF(Y265&gt;0,Z265/Y265,0)</f>
        <v>0</v>
      </c>
      <c r="AB265" s="284">
        <f t="shared" ref="AB265:AB328" si="409">IF(Y265&gt;0,(Z265*J265)/Y265,0)</f>
        <v>0</v>
      </c>
      <c r="AC265" s="285"/>
      <c r="AD265" s="286">
        <v>1056</v>
      </c>
      <c r="AE265" s="286"/>
      <c r="AF265" s="286"/>
      <c r="AG265" s="286">
        <v>16</v>
      </c>
      <c r="AH265" s="280">
        <f t="shared" ref="AH265:AH328" si="410">IF(AND(AC265&gt;0,AE265=0,AF265=0,AD265=0),AC265,IF(AND(AC265=0,AE265&gt;0,AF265&gt;0,AD265=0),AE265*AF265/25,IF(AND(AC265=0,AE265=0,AF265=0,AD265&gt;0),AD265/25,0)))</f>
        <v>42.24</v>
      </c>
      <c r="AI265" s="281">
        <f t="shared" ref="AI265:AI328" si="411">IF(AG265&gt;0,AH265/AG265,0)</f>
        <v>2.64</v>
      </c>
      <c r="AJ265" s="282">
        <f t="shared" ref="AJ265:AJ328" si="412">AI265*K265</f>
        <v>1518</v>
      </c>
      <c r="AK265" s="287">
        <f>Tabla14[[#This Row],[Cajas por Personas]]</f>
        <v>0</v>
      </c>
      <c r="AL265" s="288">
        <f>Tabla14[[#This Row],[Valor Precorte Pesona]]</f>
        <v>0</v>
      </c>
      <c r="AM265" s="294">
        <f>Tabla14[[#This Row],[Personas Precorte]]</f>
        <v>0</v>
      </c>
      <c r="AN265" s="308">
        <f>Tabla14[[#This Row],[Valor Precorte Pesona Precorte]]*Tabla14[[#This Row],[Perzonas Precorte]]</f>
        <v>0</v>
      </c>
      <c r="AO265" s="287">
        <f>Tabla14[[#This Row],[Cajas por Personas2]]</f>
        <v>24.5625</v>
      </c>
      <c r="AP265" s="288">
        <f>Tabla14[[#This Row],[Valor Embarque Pesona]]</f>
        <v>44212.5</v>
      </c>
      <c r="AQ265" s="295">
        <f>Tabla14[[#This Row],[Personas Precorte2]]</f>
        <v>16</v>
      </c>
      <c r="AR265" s="296">
        <f>Tabla14[[#This Row],[Valor Embarque Pesona3]]*Tabla14[[#This Row],[Perzona Primera]]</f>
        <v>707400</v>
      </c>
      <c r="AS265" s="287">
        <f>Tabla14[[#This Row],[Columna2]]</f>
        <v>0</v>
      </c>
      <c r="AT265" s="288">
        <f>Tabla14[[#This Row],[Columna1]]</f>
        <v>0</v>
      </c>
      <c r="AU265" s="302">
        <f>Tabla14[[#This Row],[Personas Intervienen]]</f>
        <v>0</v>
      </c>
      <c r="AV265" s="297">
        <f>Tabla14[[#This Row],[Valor Embarque Pesona5]]*Tabla14[[#This Row],[Presonas Segunda]]</f>
        <v>0</v>
      </c>
      <c r="AW265" s="287">
        <f>Tabla14[[#This Row],[Bolsas Por Personas]]</f>
        <v>2.64</v>
      </c>
      <c r="AX265" s="288">
        <f>Tabla14[[#This Row],[Valor bolsas Pesona]]</f>
        <v>1518</v>
      </c>
      <c r="AY265" s="309">
        <f>Tabla14[[#This Row],[Personas13]]</f>
        <v>16</v>
      </c>
      <c r="AZ265" s="310">
        <f>Tabla14[[#This Row],[Valor bolsas Pesona2]]*Tabla14[[#This Row],[Personas Rechazo]]</f>
        <v>24288</v>
      </c>
      <c r="BA265" s="311">
        <f>+Tabla14[[#This Row],[Total Valor Segunda]]+Tabla14[[#This Row],[Total Valor Primera]]+Tabla14[[#This Row],[Total Valor Precorte]]</f>
        <v>707400</v>
      </c>
      <c r="BB265" s="470">
        <f>Tabla14[[#This Row],[Valor bolsas Pesona2]]+Tabla14[[#This Row],[Valor Embarque Pesona3]]</f>
        <v>45730.5</v>
      </c>
      <c r="BC265" s="471">
        <v>49360</v>
      </c>
      <c r="BD265" s="470">
        <f>Tabla14[[#This Row],[VALOR GANADO]]-Tabla14[[#This Row],[REAJUSTADO]]</f>
        <v>-3629.5</v>
      </c>
      <c r="BE265" s="250">
        <f>Tabla14[[#This Row],[CUANTO SE REAJUSTA]]*Tabla14[[#This Row],[Personas Rechazo]]</f>
        <v>-58072</v>
      </c>
      <c r="BF265" s="250">
        <f>Tabla14[[#This Row],[REAJUSTADO]]/25000</f>
        <v>1.9743999999999999</v>
      </c>
      <c r="BG265" s="302">
        <f>Tabla14[[#This Row],[REAJUSTADO]]*Tabla14[[#This Row],[Personas Rechazo]]</f>
        <v>789760</v>
      </c>
      <c r="BH265" s="292" t="str">
        <f>Tabla14[[#This Row],[Finca]]</f>
        <v>San Pedro</v>
      </c>
      <c r="BJ265" s="332">
        <f>Tabla14[[#This Row],[Numero de Ocacionales]]*Tabla14[[#This Row],[REAJUSTADO]]</f>
        <v>0</v>
      </c>
      <c r="BK265" s="332"/>
      <c r="BL265" s="332">
        <v>35000</v>
      </c>
      <c r="BM265" s="332">
        <f>+Tabla14[[#This Row],[CUANTO SE REAJUSTA]]*3</f>
        <v>-10888.5</v>
      </c>
    </row>
    <row r="266" spans="3:65" x14ac:dyDescent="0.25">
      <c r="C266" s="274">
        <v>44929</v>
      </c>
      <c r="D266" s="507">
        <f>YEAR(Tabla14[[#This Row],[Fecha]])</f>
        <v>2023</v>
      </c>
      <c r="E266" s="313">
        <f>IF(Tabla14[[#This Row],[Fecha]]&gt;0,_xlfn.ISOWEEKNUM(Tabla14[[#This Row],[Fecha]]),0)</f>
        <v>1</v>
      </c>
      <c r="F266" s="283">
        <v>29</v>
      </c>
      <c r="G266" s="275" t="s">
        <v>249</v>
      </c>
      <c r="H266" s="325" t="str">
        <f>_xlfn.XLOOKUP(Tabla14[[#This Row],[Codigo Finca]],Tabla4[Codigo Finca],Tabla4[Nombre Finca],"")</f>
        <v>San Pedro</v>
      </c>
      <c r="I266" s="277">
        <f>_xlfn.XLOOKUP(Tabla14[[#This Row],[Codigo Finca]],Tabla4[Codigo Finca],Tabla4[Precio Caja],0)</f>
        <v>2000</v>
      </c>
      <c r="J266" s="277">
        <f>_xlfn.XLOOKUP(Tabla14[[#This Row],[Codigo Finca]],Tabla4[Codigo Finca],Tabla4[Precio Caja Segunda],0)</f>
        <v>1150</v>
      </c>
      <c r="K266" s="277">
        <f>_xlfn.XLOOKUP(Tabla14[[#This Row],[Codigo Finca]],Tabla4[Codigo Finca],Tabla4[Precio Rechazo],0)</f>
        <v>675</v>
      </c>
      <c r="L266" s="277">
        <f t="shared" si="400"/>
        <v>84</v>
      </c>
      <c r="M266" s="278">
        <f t="shared" si="401"/>
        <v>2.896551724137931</v>
      </c>
      <c r="N266" s="283"/>
      <c r="O266" s="279"/>
      <c r="P266" s="280">
        <f t="shared" si="402"/>
        <v>0</v>
      </c>
      <c r="Q266" s="281">
        <f t="shared" si="403"/>
        <v>0</v>
      </c>
      <c r="R266" s="282">
        <f t="shared" si="404"/>
        <v>0</v>
      </c>
      <c r="S266" s="283">
        <v>84</v>
      </c>
      <c r="T266" s="275">
        <v>16</v>
      </c>
      <c r="U266" s="280">
        <f t="shared" si="405"/>
        <v>29</v>
      </c>
      <c r="V266" s="281">
        <f t="shared" si="406"/>
        <v>1.8125</v>
      </c>
      <c r="W266" s="282">
        <f t="shared" si="407"/>
        <v>3625</v>
      </c>
      <c r="X266" s="283"/>
      <c r="Y266" s="275"/>
      <c r="Z266" s="280">
        <f>Tabla14[[#This Row],[Cajas Segunda]]</f>
        <v>0</v>
      </c>
      <c r="AA266" s="281">
        <f t="shared" si="408"/>
        <v>0</v>
      </c>
      <c r="AB266" s="284">
        <f t="shared" si="409"/>
        <v>0</v>
      </c>
      <c r="AC266" s="285"/>
      <c r="AD266" s="286"/>
      <c r="AE266" s="286"/>
      <c r="AF266" s="286"/>
      <c r="AG266" s="286">
        <v>16</v>
      </c>
      <c r="AH266" s="280">
        <f t="shared" si="410"/>
        <v>0</v>
      </c>
      <c r="AI266" s="281">
        <f t="shared" si="411"/>
        <v>0</v>
      </c>
      <c r="AJ266" s="282">
        <f t="shared" si="412"/>
        <v>0</v>
      </c>
      <c r="AK266" s="287">
        <f>Tabla14[[#This Row],[Cajas por Personas]]</f>
        <v>0</v>
      </c>
      <c r="AL266" s="288">
        <f>Tabla14[[#This Row],[Valor Precorte Pesona]]</f>
        <v>0</v>
      </c>
      <c r="AM266" s="294">
        <f>Tabla14[[#This Row],[Personas Precorte]]</f>
        <v>0</v>
      </c>
      <c r="AN266" s="308">
        <f>Tabla14[[#This Row],[Valor Precorte Pesona Precorte]]*Tabla14[[#This Row],[Perzonas Precorte]]</f>
        <v>0</v>
      </c>
      <c r="AO266" s="287">
        <f>Tabla14[[#This Row],[Cajas por Personas2]]</f>
        <v>1.8125</v>
      </c>
      <c r="AP266" s="288">
        <f>Tabla14[[#This Row],[Valor Embarque Pesona]]</f>
        <v>3625</v>
      </c>
      <c r="AQ266" s="295">
        <f>Tabla14[[#This Row],[Personas Precorte2]]</f>
        <v>16</v>
      </c>
      <c r="AR266" s="296">
        <f>Tabla14[[#This Row],[Valor Embarque Pesona3]]*Tabla14[[#This Row],[Perzona Primera]]</f>
        <v>58000</v>
      </c>
      <c r="AS266" s="287">
        <f>Tabla14[[#This Row],[Columna2]]</f>
        <v>0</v>
      </c>
      <c r="AT266" s="288">
        <f>Tabla14[[#This Row],[Columna1]]</f>
        <v>0</v>
      </c>
      <c r="AU266" s="302">
        <f>Tabla14[[#This Row],[Personas Intervienen]]</f>
        <v>0</v>
      </c>
      <c r="AV266" s="297">
        <f>Tabla14[[#This Row],[Valor Embarque Pesona5]]*Tabla14[[#This Row],[Presonas Segunda]]</f>
        <v>0</v>
      </c>
      <c r="AW266" s="287">
        <f>Tabla14[[#This Row],[Bolsas Por Personas]]</f>
        <v>0</v>
      </c>
      <c r="AX266" s="288">
        <f>Tabla14[[#This Row],[Valor bolsas Pesona]]</f>
        <v>0</v>
      </c>
      <c r="AY266" s="309">
        <f>Tabla14[[#This Row],[Personas13]]</f>
        <v>16</v>
      </c>
      <c r="AZ266" s="310">
        <f>Tabla14[[#This Row],[Valor bolsas Pesona2]]*Tabla14[[#This Row],[Personas Rechazo]]</f>
        <v>0</v>
      </c>
      <c r="BA266" s="311">
        <f>+Tabla14[[#This Row],[Total Valor Segunda]]+Tabla14[[#This Row],[Total Valor Primera]]+Tabla14[[#This Row],[Total Valor Precorte]]</f>
        <v>58000</v>
      </c>
      <c r="BB266" s="470">
        <f>Tabla14[[#This Row],[Valor bolsas Pesona2]]+Tabla14[[#This Row],[Valor Embarque Pesona3]]</f>
        <v>3625</v>
      </c>
      <c r="BC266" s="471"/>
      <c r="BD266" s="470">
        <f>Tabla14[[#This Row],[VALOR GANADO]]-Tabla14[[#This Row],[REAJUSTADO]]</f>
        <v>3625</v>
      </c>
      <c r="BE266" s="250">
        <f>Tabla14[[#This Row],[CUANTO SE REAJUSTA]]*Tabla14[[#This Row],[Personas Rechazo]]</f>
        <v>58000</v>
      </c>
      <c r="BF266" s="250">
        <f>Tabla14[[#This Row],[REAJUSTADO]]/25000</f>
        <v>0</v>
      </c>
      <c r="BG266" s="302">
        <f>Tabla14[[#This Row],[REAJUSTADO]]*Tabla14[[#This Row],[Personas Rechazo]]</f>
        <v>0</v>
      </c>
      <c r="BH266" s="292" t="str">
        <f>Tabla14[[#This Row],[Finca]]</f>
        <v>San Pedro</v>
      </c>
      <c r="BJ266" s="332">
        <f>Tabla14[[#This Row],[Numero de Ocacionales]]*Tabla14[[#This Row],[REAJUSTADO]]</f>
        <v>0</v>
      </c>
      <c r="BK266" s="332"/>
      <c r="BL266" s="332"/>
      <c r="BM266" s="332">
        <f>+Tabla14[[#This Row],[CUANTO SE REAJUSTA]]*3</f>
        <v>10875</v>
      </c>
    </row>
    <row r="267" spans="3:65" x14ac:dyDescent="0.25">
      <c r="C267" s="274">
        <v>44929</v>
      </c>
      <c r="D267" s="507">
        <f>YEAR(Tabla14[[#This Row],[Fecha]])</f>
        <v>2023</v>
      </c>
      <c r="E267" s="313">
        <f>IF(Tabla14[[#This Row],[Fecha]]&gt;0,_xlfn.ISOWEEKNUM(Tabla14[[#This Row],[Fecha]]),0)</f>
        <v>1</v>
      </c>
      <c r="F267" s="283">
        <v>35</v>
      </c>
      <c r="G267" s="275" t="s">
        <v>247</v>
      </c>
      <c r="H267" s="325" t="str">
        <f>_xlfn.XLOOKUP(Tabla14[[#This Row],[Codigo Finca]],Tabla4[Codigo Finca],Tabla4[Nombre Finca],"")</f>
        <v>Uveros</v>
      </c>
      <c r="I267" s="277">
        <f>_xlfn.XLOOKUP(Tabla14[[#This Row],[Codigo Finca]],Tabla4[Codigo Finca],Tabla4[Precio Caja],0)</f>
        <v>1800</v>
      </c>
      <c r="J267" s="277">
        <f>_xlfn.XLOOKUP(Tabla14[[#This Row],[Codigo Finca]],Tabla4[Codigo Finca],Tabla4[Precio Caja Segunda],0)</f>
        <v>1150</v>
      </c>
      <c r="K267" s="277">
        <f>_xlfn.XLOOKUP(Tabla14[[#This Row],[Codigo Finca]],Tabla4[Codigo Finca],Tabla4[Precio Rechazo],0)</f>
        <v>575</v>
      </c>
      <c r="L267" s="277">
        <f t="shared" si="400"/>
        <v>176</v>
      </c>
      <c r="M267" s="278">
        <f t="shared" si="401"/>
        <v>5.0285714285714285</v>
      </c>
      <c r="N267" s="283"/>
      <c r="O267" s="279"/>
      <c r="P267" s="280">
        <f t="shared" si="402"/>
        <v>0</v>
      </c>
      <c r="Q267" s="281">
        <f t="shared" si="403"/>
        <v>0</v>
      </c>
      <c r="R267" s="282">
        <f t="shared" si="404"/>
        <v>0</v>
      </c>
      <c r="S267" s="283">
        <v>176</v>
      </c>
      <c r="T267" s="275">
        <v>3</v>
      </c>
      <c r="U267" s="280">
        <f t="shared" si="405"/>
        <v>35</v>
      </c>
      <c r="V267" s="281">
        <f t="shared" si="406"/>
        <v>11.666666666666666</v>
      </c>
      <c r="W267" s="282">
        <f t="shared" si="407"/>
        <v>21000</v>
      </c>
      <c r="X267" s="283"/>
      <c r="Y267" s="275"/>
      <c r="Z267" s="280">
        <f>Tabla14[[#This Row],[Cajas Segunda]]</f>
        <v>0</v>
      </c>
      <c r="AA267" s="281">
        <f t="shared" si="408"/>
        <v>0</v>
      </c>
      <c r="AB267" s="284">
        <f t="shared" si="409"/>
        <v>0</v>
      </c>
      <c r="AC267" s="285"/>
      <c r="AD267" s="286">
        <v>160</v>
      </c>
      <c r="AE267" s="286"/>
      <c r="AF267" s="286"/>
      <c r="AG267" s="286">
        <v>3</v>
      </c>
      <c r="AH267" s="280">
        <f t="shared" si="410"/>
        <v>6.4</v>
      </c>
      <c r="AI267" s="281">
        <f t="shared" si="411"/>
        <v>2.1333333333333333</v>
      </c>
      <c r="AJ267" s="282">
        <f t="shared" si="412"/>
        <v>1226.6666666666667</v>
      </c>
      <c r="AK267" s="287">
        <f>Tabla14[[#This Row],[Cajas por Personas]]</f>
        <v>0</v>
      </c>
      <c r="AL267" s="288">
        <f>Tabla14[[#This Row],[Valor Precorte Pesona]]</f>
        <v>0</v>
      </c>
      <c r="AM267" s="294">
        <f>Tabla14[[#This Row],[Personas Precorte]]</f>
        <v>0</v>
      </c>
      <c r="AN267" s="308">
        <f>Tabla14[[#This Row],[Valor Precorte Pesona Precorte]]*Tabla14[[#This Row],[Perzonas Precorte]]</f>
        <v>0</v>
      </c>
      <c r="AO267" s="287">
        <f>Tabla14[[#This Row],[Cajas por Personas2]]</f>
        <v>11.666666666666666</v>
      </c>
      <c r="AP267" s="288">
        <f>Tabla14[[#This Row],[Valor Embarque Pesona]]</f>
        <v>21000</v>
      </c>
      <c r="AQ267" s="295">
        <f>Tabla14[[#This Row],[Personas Precorte2]]</f>
        <v>3</v>
      </c>
      <c r="AR267" s="296">
        <f>Tabla14[[#This Row],[Valor Embarque Pesona3]]*Tabla14[[#This Row],[Perzona Primera]]</f>
        <v>63000</v>
      </c>
      <c r="AS267" s="287">
        <f>Tabla14[[#This Row],[Columna2]]</f>
        <v>0</v>
      </c>
      <c r="AT267" s="288">
        <f>Tabla14[[#This Row],[Columna1]]</f>
        <v>0</v>
      </c>
      <c r="AU267" s="302">
        <f>Tabla14[[#This Row],[Personas Intervienen]]</f>
        <v>0</v>
      </c>
      <c r="AV267" s="297">
        <f>Tabla14[[#This Row],[Valor Embarque Pesona5]]*Tabla14[[#This Row],[Presonas Segunda]]</f>
        <v>0</v>
      </c>
      <c r="AW267" s="287">
        <f>Tabla14[[#This Row],[Bolsas Por Personas]]</f>
        <v>2.1333333333333333</v>
      </c>
      <c r="AX267" s="288">
        <f>Tabla14[[#This Row],[Valor bolsas Pesona]]</f>
        <v>1226.6666666666667</v>
      </c>
      <c r="AY267" s="309">
        <f>Tabla14[[#This Row],[Personas13]]</f>
        <v>3</v>
      </c>
      <c r="AZ267" s="310">
        <f>Tabla14[[#This Row],[Valor bolsas Pesona2]]*Tabla14[[#This Row],[Personas Rechazo]]</f>
        <v>3680</v>
      </c>
      <c r="BA267" s="311">
        <f>+Tabla14[[#This Row],[Total Valor Segunda]]+Tabla14[[#This Row],[Total Valor Primera]]+Tabla14[[#This Row],[Total Valor Precorte]]</f>
        <v>63000</v>
      </c>
      <c r="BB267" s="292">
        <f>Tabla14[[#This Row],[Valor bolsas Pesona2]]+Tabla14[[#This Row],[Valor Embarque Pesona3]]</f>
        <v>22226.666666666668</v>
      </c>
      <c r="BC267" s="332">
        <v>30000</v>
      </c>
      <c r="BD267" s="292">
        <f>Tabla14[[#This Row],[VALOR GANADO]]-Tabla14[[#This Row],[REAJUSTADO]]</f>
        <v>-7773.3333333333321</v>
      </c>
      <c r="BE267" s="250">
        <f>Tabla14[[#This Row],[CUANTO SE REAJUSTA]]*Tabla14[[#This Row],[Personas Rechazo]]</f>
        <v>-23319.999999999996</v>
      </c>
      <c r="BF267" s="250">
        <f>Tabla14[[#This Row],[REAJUSTADO]]/25000</f>
        <v>1.2</v>
      </c>
      <c r="BG267" s="302">
        <f>Tabla14[[#This Row],[REAJUSTADO]]*Tabla14[[#This Row],[Personas Rechazo]]</f>
        <v>90000</v>
      </c>
      <c r="BH267" s="292" t="str">
        <f>Tabla14[[#This Row],[Finca]]</f>
        <v>Uveros</v>
      </c>
      <c r="BJ267" s="332">
        <f>Tabla14[[#This Row],[Numero de Ocacionales]]*Tabla14[[#This Row],[REAJUSTADO]]</f>
        <v>0</v>
      </c>
      <c r="BK267" s="332"/>
      <c r="BL267" s="332"/>
      <c r="BM267" s="332">
        <f>+Tabla14[[#This Row],[CUANTO SE REAJUSTA]]*3</f>
        <v>-23319.999999999996</v>
      </c>
    </row>
    <row r="268" spans="3:65" x14ac:dyDescent="0.25">
      <c r="C268" s="274">
        <v>44930</v>
      </c>
      <c r="D268" s="507">
        <f>YEAR(Tabla14[[#This Row],[Fecha]])</f>
        <v>2023</v>
      </c>
      <c r="E268" s="313">
        <f>IF(Tabla14[[#This Row],[Fecha]]&gt;0,_xlfn.ISOWEEKNUM(Tabla14[[#This Row],[Fecha]]),0)</f>
        <v>1</v>
      </c>
      <c r="F268" s="283">
        <v>47</v>
      </c>
      <c r="G268" s="275" t="s">
        <v>248</v>
      </c>
      <c r="H268" s="325" t="str">
        <f>_xlfn.XLOOKUP(Tabla14[[#This Row],[Codigo Finca]],Tabla4[Codigo Finca],Tabla4[Nombre Finca],"")</f>
        <v>Damaquiel</v>
      </c>
      <c r="I268" s="277">
        <f>_xlfn.XLOOKUP(Tabla14[[#This Row],[Codigo Finca]],Tabla4[Codigo Finca],Tabla4[Precio Caja],0)</f>
        <v>1800</v>
      </c>
      <c r="J268" s="277">
        <f>_xlfn.XLOOKUP(Tabla14[[#This Row],[Codigo Finca]],Tabla4[Codigo Finca],Tabla4[Precio Caja Segunda],0)</f>
        <v>1150</v>
      </c>
      <c r="K268" s="277">
        <f>_xlfn.XLOOKUP(Tabla14[[#This Row],[Codigo Finca]],Tabla4[Codigo Finca],Tabla4[Precio Rechazo],0)</f>
        <v>575</v>
      </c>
      <c r="L268" s="277">
        <f t="shared" si="400"/>
        <v>250</v>
      </c>
      <c r="M268" s="278">
        <f t="shared" si="401"/>
        <v>5.3191489361702127</v>
      </c>
      <c r="N268" s="283"/>
      <c r="O268" s="279"/>
      <c r="P268" s="280">
        <f t="shared" si="402"/>
        <v>0</v>
      </c>
      <c r="Q268" s="281">
        <f t="shared" si="403"/>
        <v>0</v>
      </c>
      <c r="R268" s="282">
        <f t="shared" si="404"/>
        <v>0</v>
      </c>
      <c r="S268" s="283">
        <v>250</v>
      </c>
      <c r="T268" s="275">
        <v>6</v>
      </c>
      <c r="U268" s="280">
        <f t="shared" si="405"/>
        <v>47</v>
      </c>
      <c r="V268" s="281">
        <f t="shared" si="406"/>
        <v>7.833333333333333</v>
      </c>
      <c r="W268" s="282">
        <f t="shared" si="407"/>
        <v>14100</v>
      </c>
      <c r="X268" s="283"/>
      <c r="Y268" s="275"/>
      <c r="Z268" s="280">
        <f>Tabla14[[#This Row],[Cajas Segunda]]</f>
        <v>0</v>
      </c>
      <c r="AA268" s="281">
        <f t="shared" si="408"/>
        <v>0</v>
      </c>
      <c r="AB268" s="284">
        <f t="shared" si="409"/>
        <v>0</v>
      </c>
      <c r="AC268" s="285"/>
      <c r="AD268" s="286">
        <v>273</v>
      </c>
      <c r="AE268" s="286"/>
      <c r="AF268" s="286"/>
      <c r="AG268" s="286">
        <v>6</v>
      </c>
      <c r="AH268" s="280">
        <f t="shared" si="410"/>
        <v>10.92</v>
      </c>
      <c r="AI268" s="281">
        <f t="shared" si="411"/>
        <v>1.82</v>
      </c>
      <c r="AJ268" s="282">
        <f t="shared" si="412"/>
        <v>1046.5</v>
      </c>
      <c r="AK268" s="287">
        <f>Tabla14[[#This Row],[Cajas por Personas]]</f>
        <v>0</v>
      </c>
      <c r="AL268" s="288">
        <f>Tabla14[[#This Row],[Valor Precorte Pesona]]</f>
        <v>0</v>
      </c>
      <c r="AM268" s="294">
        <f>Tabla14[[#This Row],[Personas Precorte]]</f>
        <v>0</v>
      </c>
      <c r="AN268" s="308">
        <f>Tabla14[[#This Row],[Valor Precorte Pesona Precorte]]*Tabla14[[#This Row],[Perzonas Precorte]]</f>
        <v>0</v>
      </c>
      <c r="AO268" s="287">
        <f>Tabla14[[#This Row],[Cajas por Personas2]]</f>
        <v>7.833333333333333</v>
      </c>
      <c r="AP268" s="288">
        <f>Tabla14[[#This Row],[Valor Embarque Pesona]]</f>
        <v>14100</v>
      </c>
      <c r="AQ268" s="295">
        <f>Tabla14[[#This Row],[Personas Precorte2]]</f>
        <v>6</v>
      </c>
      <c r="AR268" s="296">
        <f>Tabla14[[#This Row],[Valor Embarque Pesona3]]*Tabla14[[#This Row],[Perzona Primera]]</f>
        <v>84600</v>
      </c>
      <c r="AS268" s="287">
        <f>Tabla14[[#This Row],[Columna2]]</f>
        <v>0</v>
      </c>
      <c r="AT268" s="288">
        <f>Tabla14[[#This Row],[Columna1]]</f>
        <v>0</v>
      </c>
      <c r="AU268" s="302">
        <f>Tabla14[[#This Row],[Personas Intervienen]]</f>
        <v>0</v>
      </c>
      <c r="AV268" s="297">
        <f>Tabla14[[#This Row],[Valor Embarque Pesona5]]*Tabla14[[#This Row],[Presonas Segunda]]</f>
        <v>0</v>
      </c>
      <c r="AW268" s="287">
        <f>Tabla14[[#This Row],[Bolsas Por Personas]]</f>
        <v>1.82</v>
      </c>
      <c r="AX268" s="288">
        <f>Tabla14[[#This Row],[Valor bolsas Pesona]]</f>
        <v>1046.5</v>
      </c>
      <c r="AY268" s="309">
        <f>Tabla14[[#This Row],[Personas13]]</f>
        <v>6</v>
      </c>
      <c r="AZ268" s="310">
        <f>Tabla14[[#This Row],[Valor bolsas Pesona2]]*Tabla14[[#This Row],[Personas Rechazo]]</f>
        <v>6279</v>
      </c>
      <c r="BA268" s="311">
        <f>+Tabla14[[#This Row],[Total Valor Segunda]]+Tabla14[[#This Row],[Total Valor Primera]]+Tabla14[[#This Row],[Total Valor Precorte]]</f>
        <v>84600</v>
      </c>
      <c r="BB268" s="292">
        <f>Tabla14[[#This Row],[Valor bolsas Pesona2]]+Tabla14[[#This Row],[Valor Embarque Pesona3]]</f>
        <v>15146.5</v>
      </c>
      <c r="BC268" s="332">
        <v>30000</v>
      </c>
      <c r="BD268" s="292">
        <f>Tabla14[[#This Row],[VALOR GANADO]]-Tabla14[[#This Row],[REAJUSTADO]]</f>
        <v>-14853.5</v>
      </c>
      <c r="BE268" s="250">
        <f>Tabla14[[#This Row],[CUANTO SE REAJUSTA]]*Tabla14[[#This Row],[Personas Rechazo]]</f>
        <v>-89121</v>
      </c>
      <c r="BF268" s="250">
        <f>Tabla14[[#This Row],[REAJUSTADO]]/25000</f>
        <v>1.2</v>
      </c>
      <c r="BG268" s="302">
        <f>Tabla14[[#This Row],[REAJUSTADO]]*Tabla14[[#This Row],[Personas Rechazo]]</f>
        <v>180000</v>
      </c>
      <c r="BH268" s="292" t="str">
        <f>Tabla14[[#This Row],[Finca]]</f>
        <v>Damaquiel</v>
      </c>
      <c r="BJ268" s="332">
        <f>Tabla14[[#This Row],[Numero de Ocacionales]]*Tabla14[[#This Row],[REAJUSTADO]]</f>
        <v>0</v>
      </c>
      <c r="BK268" s="332"/>
      <c r="BL268" s="332"/>
      <c r="BM268" s="332">
        <f>+Tabla14[[#This Row],[CUANTO SE REAJUSTA]]*3</f>
        <v>-44560.5</v>
      </c>
    </row>
    <row r="269" spans="3:65" x14ac:dyDescent="0.25">
      <c r="C269" s="274">
        <v>44930</v>
      </c>
      <c r="D269" s="507">
        <f>YEAR(Tabla14[[#This Row],[Fecha]])</f>
        <v>2023</v>
      </c>
      <c r="E269" s="313">
        <f>IF(Tabla14[[#This Row],[Fecha]]&gt;0,_xlfn.ISOWEEKNUM(Tabla14[[#This Row],[Fecha]]),0)</f>
        <v>1</v>
      </c>
      <c r="F269" s="283">
        <v>140</v>
      </c>
      <c r="G269" s="275" t="s">
        <v>251</v>
      </c>
      <c r="H269" s="325" t="str">
        <f>_xlfn.XLOOKUP(Tabla14[[#This Row],[Codigo Finca]],Tabla4[Codigo Finca],Tabla4[Nombre Finca],"")</f>
        <v>Pedrito</v>
      </c>
      <c r="I269" s="277">
        <f>_xlfn.XLOOKUP(Tabla14[[#This Row],[Codigo Finca]],Tabla4[Codigo Finca],Tabla4[Precio Caja],0)</f>
        <v>1800</v>
      </c>
      <c r="J269" s="277">
        <f>_xlfn.XLOOKUP(Tabla14[[#This Row],[Codigo Finca]],Tabla4[Codigo Finca],Tabla4[Precio Caja Segunda],0)</f>
        <v>1150</v>
      </c>
      <c r="K269" s="277">
        <f>_xlfn.XLOOKUP(Tabla14[[#This Row],[Codigo Finca]],Tabla4[Codigo Finca],Tabla4[Precio Rechazo],0)</f>
        <v>575</v>
      </c>
      <c r="L269" s="277">
        <f t="shared" si="400"/>
        <v>666</v>
      </c>
      <c r="M269" s="278">
        <f t="shared" si="401"/>
        <v>4.7571428571428571</v>
      </c>
      <c r="N269" s="283"/>
      <c r="O269" s="279"/>
      <c r="P269" s="280">
        <f t="shared" si="402"/>
        <v>0</v>
      </c>
      <c r="Q269" s="281">
        <f t="shared" si="403"/>
        <v>0</v>
      </c>
      <c r="R269" s="282">
        <f t="shared" si="404"/>
        <v>0</v>
      </c>
      <c r="S269" s="283">
        <f>612+54</f>
        <v>666</v>
      </c>
      <c r="T269" s="275">
        <v>10</v>
      </c>
      <c r="U269" s="280">
        <f t="shared" si="405"/>
        <v>140</v>
      </c>
      <c r="V269" s="281">
        <f t="shared" si="406"/>
        <v>14</v>
      </c>
      <c r="W269" s="282">
        <f t="shared" si="407"/>
        <v>25200</v>
      </c>
      <c r="X269" s="283"/>
      <c r="Y269" s="275"/>
      <c r="Z269" s="280">
        <f>Tabla14[[#This Row],[Cajas Segunda]]</f>
        <v>0</v>
      </c>
      <c r="AA269" s="281">
        <f t="shared" si="408"/>
        <v>0</v>
      </c>
      <c r="AB269" s="284">
        <f t="shared" si="409"/>
        <v>0</v>
      </c>
      <c r="AC269" s="285"/>
      <c r="AD269" s="286">
        <v>1533</v>
      </c>
      <c r="AE269" s="286"/>
      <c r="AF269" s="286"/>
      <c r="AG269" s="286">
        <v>10</v>
      </c>
      <c r="AH269" s="280">
        <f t="shared" si="410"/>
        <v>61.32</v>
      </c>
      <c r="AI269" s="281">
        <f t="shared" si="411"/>
        <v>6.1319999999999997</v>
      </c>
      <c r="AJ269" s="282">
        <f t="shared" si="412"/>
        <v>3525.8999999999996</v>
      </c>
      <c r="AK269" s="287">
        <f>Tabla14[[#This Row],[Cajas por Personas]]</f>
        <v>0</v>
      </c>
      <c r="AL269" s="288">
        <f>Tabla14[[#This Row],[Valor Precorte Pesona]]</f>
        <v>0</v>
      </c>
      <c r="AM269" s="294">
        <f>Tabla14[[#This Row],[Personas Precorte]]</f>
        <v>0</v>
      </c>
      <c r="AN269" s="308">
        <f>Tabla14[[#This Row],[Valor Precorte Pesona Precorte]]*Tabla14[[#This Row],[Perzonas Precorte]]</f>
        <v>0</v>
      </c>
      <c r="AO269" s="287">
        <f>Tabla14[[#This Row],[Cajas por Personas2]]</f>
        <v>14</v>
      </c>
      <c r="AP269" s="288">
        <f>Tabla14[[#This Row],[Valor Embarque Pesona]]</f>
        <v>25200</v>
      </c>
      <c r="AQ269" s="295">
        <f>Tabla14[[#This Row],[Personas Precorte2]]</f>
        <v>10</v>
      </c>
      <c r="AR269" s="296">
        <f>Tabla14[[#This Row],[Valor Embarque Pesona3]]*Tabla14[[#This Row],[Perzona Primera]]</f>
        <v>252000</v>
      </c>
      <c r="AS269" s="287">
        <f>Tabla14[[#This Row],[Columna2]]</f>
        <v>0</v>
      </c>
      <c r="AT269" s="288">
        <f>Tabla14[[#This Row],[Columna1]]</f>
        <v>0</v>
      </c>
      <c r="AU269" s="302">
        <f>Tabla14[[#This Row],[Personas Intervienen]]</f>
        <v>0</v>
      </c>
      <c r="AV269" s="297">
        <f>Tabla14[[#This Row],[Valor Embarque Pesona5]]*Tabla14[[#This Row],[Presonas Segunda]]</f>
        <v>0</v>
      </c>
      <c r="AW269" s="287">
        <f>Tabla14[[#This Row],[Bolsas Por Personas]]</f>
        <v>6.1319999999999997</v>
      </c>
      <c r="AX269" s="288">
        <f>Tabla14[[#This Row],[Valor bolsas Pesona]]</f>
        <v>3525.8999999999996</v>
      </c>
      <c r="AY269" s="309">
        <f>Tabla14[[#This Row],[Personas13]]</f>
        <v>10</v>
      </c>
      <c r="AZ269" s="310">
        <f>Tabla14[[#This Row],[Valor bolsas Pesona2]]*Tabla14[[#This Row],[Personas Rechazo]]</f>
        <v>35259</v>
      </c>
      <c r="BA269" s="311">
        <f>+Tabla14[[#This Row],[Total Valor Segunda]]+Tabla14[[#This Row],[Total Valor Primera]]+Tabla14[[#This Row],[Total Valor Precorte]]</f>
        <v>252000</v>
      </c>
      <c r="BB269" s="292">
        <f>Tabla14[[#This Row],[Valor bolsas Pesona2]]+Tabla14[[#This Row],[Valor Embarque Pesona3]]</f>
        <v>28725.9</v>
      </c>
      <c r="BC269" s="332">
        <v>30000</v>
      </c>
      <c r="BD269" s="292">
        <f>Tabla14[[#This Row],[VALOR GANADO]]-Tabla14[[#This Row],[REAJUSTADO]]</f>
        <v>-1274.0999999999985</v>
      </c>
      <c r="BE269" s="250">
        <f>Tabla14[[#This Row],[CUANTO SE REAJUSTA]]*Tabla14[[#This Row],[Personas Rechazo]]</f>
        <v>-12740.999999999985</v>
      </c>
      <c r="BF269" s="250">
        <f>Tabla14[[#This Row],[REAJUSTADO]]/25000</f>
        <v>1.2</v>
      </c>
      <c r="BG269" s="302">
        <f>Tabla14[[#This Row],[REAJUSTADO]]*Tabla14[[#This Row],[Personas Rechazo]]</f>
        <v>300000</v>
      </c>
      <c r="BH269" s="292" t="str">
        <f>Tabla14[[#This Row],[Finca]]</f>
        <v>Pedrito</v>
      </c>
      <c r="BJ269" s="332">
        <f>Tabla14[[#This Row],[Numero de Ocacionales]]*Tabla14[[#This Row],[REAJUSTADO]]</f>
        <v>0</v>
      </c>
      <c r="BK269" s="332"/>
      <c r="BL269" s="332">
        <v>35000</v>
      </c>
      <c r="BM269" s="332">
        <f>+Tabla14[[#This Row],[CUANTO SE REAJUSTA]]*3</f>
        <v>-3822.2999999999956</v>
      </c>
    </row>
    <row r="270" spans="3:65" x14ac:dyDescent="0.25">
      <c r="C270" s="274">
        <v>44936</v>
      </c>
      <c r="D270" s="507">
        <f>YEAR(Tabla14[[#This Row],[Fecha]])</f>
        <v>2023</v>
      </c>
      <c r="E270" s="313">
        <f>IF(Tabla14[[#This Row],[Fecha]]&gt;0,_xlfn.ISOWEEKNUM(Tabla14[[#This Row],[Fecha]]),0)</f>
        <v>2</v>
      </c>
      <c r="F270" s="283">
        <f>489-26</f>
        <v>463</v>
      </c>
      <c r="G270" s="275" t="s">
        <v>250</v>
      </c>
      <c r="H270" s="325" t="str">
        <f>_xlfn.XLOOKUP(Tabla14[[#This Row],[Codigo Finca]],Tabla4[Codigo Finca],Tabla4[Nombre Finca],"")</f>
        <v>San Pedro</v>
      </c>
      <c r="I270" s="277">
        <f>_xlfn.XLOOKUP(Tabla14[[#This Row],[Codigo Finca]],Tabla4[Codigo Finca],Tabla4[Precio Caja],0)</f>
        <v>1800</v>
      </c>
      <c r="J270" s="277">
        <f>_xlfn.XLOOKUP(Tabla14[[#This Row],[Codigo Finca]],Tabla4[Codigo Finca],Tabla4[Precio Caja Segunda],0)</f>
        <v>1150</v>
      </c>
      <c r="K270" s="277">
        <f>_xlfn.XLOOKUP(Tabla14[[#This Row],[Codigo Finca]],Tabla4[Codigo Finca],Tabla4[Precio Rechazo],0)</f>
        <v>575</v>
      </c>
      <c r="L270" s="277">
        <f t="shared" si="400"/>
        <v>1575</v>
      </c>
      <c r="M270" s="278">
        <f t="shared" si="401"/>
        <v>3.4017278617710582</v>
      </c>
      <c r="N270" s="283"/>
      <c r="O270" s="279"/>
      <c r="P270" s="280">
        <f t="shared" si="402"/>
        <v>0</v>
      </c>
      <c r="Q270" s="281">
        <f t="shared" si="403"/>
        <v>0</v>
      </c>
      <c r="R270" s="282">
        <f t="shared" si="404"/>
        <v>0</v>
      </c>
      <c r="S270" s="283">
        <v>1575</v>
      </c>
      <c r="T270" s="275">
        <v>17</v>
      </c>
      <c r="U270" s="280">
        <f t="shared" si="405"/>
        <v>463</v>
      </c>
      <c r="V270" s="281">
        <f t="shared" si="406"/>
        <v>27.235294117647058</v>
      </c>
      <c r="W270" s="282">
        <f t="shared" si="407"/>
        <v>49023.529411764706</v>
      </c>
      <c r="X270" s="283"/>
      <c r="Y270" s="275"/>
      <c r="Z270" s="280">
        <f>Tabla14[[#This Row],[Cajas Segunda]]</f>
        <v>0</v>
      </c>
      <c r="AA270" s="281">
        <f t="shared" si="408"/>
        <v>0</v>
      </c>
      <c r="AB270" s="284">
        <f t="shared" si="409"/>
        <v>0</v>
      </c>
      <c r="AC270" s="285">
        <v>79</v>
      </c>
      <c r="AD270" s="286"/>
      <c r="AE270" s="286"/>
      <c r="AF270" s="286"/>
      <c r="AG270" s="286">
        <v>17</v>
      </c>
      <c r="AH270" s="280">
        <f t="shared" si="410"/>
        <v>79</v>
      </c>
      <c r="AI270" s="281">
        <f t="shared" si="411"/>
        <v>4.6470588235294121</v>
      </c>
      <c r="AJ270" s="282">
        <f t="shared" si="412"/>
        <v>2672.0588235294122</v>
      </c>
      <c r="AK270" s="287">
        <f>Tabla14[[#This Row],[Cajas por Personas]]</f>
        <v>0</v>
      </c>
      <c r="AL270" s="288">
        <f>Tabla14[[#This Row],[Valor Precorte Pesona]]</f>
        <v>0</v>
      </c>
      <c r="AM270" s="294">
        <f>Tabla14[[#This Row],[Personas Precorte]]</f>
        <v>0</v>
      </c>
      <c r="AN270" s="308">
        <f>Tabla14[[#This Row],[Valor Precorte Pesona Precorte]]*Tabla14[[#This Row],[Perzonas Precorte]]</f>
        <v>0</v>
      </c>
      <c r="AO270" s="287">
        <f>Tabla14[[#This Row],[Cajas por Personas2]]</f>
        <v>27.235294117647058</v>
      </c>
      <c r="AP270" s="288">
        <f>Tabla14[[#This Row],[Valor Embarque Pesona]]</f>
        <v>49023.529411764706</v>
      </c>
      <c r="AQ270" s="295">
        <f>Tabla14[[#This Row],[Personas Precorte2]]</f>
        <v>17</v>
      </c>
      <c r="AR270" s="296">
        <f>Tabla14[[#This Row],[Valor Embarque Pesona3]]*Tabla14[[#This Row],[Perzona Primera]]</f>
        <v>833400</v>
      </c>
      <c r="AS270" s="287">
        <f>Tabla14[[#This Row],[Columna2]]</f>
        <v>0</v>
      </c>
      <c r="AT270" s="288">
        <f>Tabla14[[#This Row],[Columna1]]</f>
        <v>0</v>
      </c>
      <c r="AU270" s="302">
        <f>Tabla14[[#This Row],[Personas Intervienen]]</f>
        <v>0</v>
      </c>
      <c r="AV270" s="297">
        <f>Tabla14[[#This Row],[Valor Embarque Pesona5]]*Tabla14[[#This Row],[Presonas Segunda]]</f>
        <v>0</v>
      </c>
      <c r="AW270" s="287">
        <f>Tabla14[[#This Row],[Bolsas Por Personas]]</f>
        <v>4.6470588235294121</v>
      </c>
      <c r="AX270" s="288">
        <f>Tabla14[[#This Row],[Valor bolsas Pesona]]</f>
        <v>2672.0588235294122</v>
      </c>
      <c r="AY270" s="309">
        <f>Tabla14[[#This Row],[Personas13]]</f>
        <v>17</v>
      </c>
      <c r="AZ270" s="310">
        <f>Tabla14[[#This Row],[Valor bolsas Pesona2]]*Tabla14[[#This Row],[Personas Rechazo]]</f>
        <v>45425.000000000007</v>
      </c>
      <c r="BA270" s="311">
        <f>+Tabla14[[#This Row],[Total Valor Segunda]]+Tabla14[[#This Row],[Total Valor Primera]]+Tabla14[[#This Row],[Total Valor Precorte]]</f>
        <v>833400</v>
      </c>
      <c r="BB270" s="292">
        <f>Tabla14[[#This Row],[Valor bolsas Pesona2]]+Tabla14[[#This Row],[Valor Embarque Pesona3]]</f>
        <v>51695.588235294119</v>
      </c>
      <c r="BC270" s="332">
        <v>51700</v>
      </c>
      <c r="BD270" s="292">
        <f>Tabla14[[#This Row],[VALOR GANADO]]-Tabla14[[#This Row],[REAJUSTADO]]</f>
        <v>-4.4117647058810689</v>
      </c>
      <c r="BE270" s="250">
        <f>Tabla14[[#This Row],[CUANTO SE REAJUSTA]]*Tabla14[[#This Row],[Personas Rechazo]]</f>
        <v>-74.999999999978172</v>
      </c>
      <c r="BF270" s="250">
        <f>Tabla14[[#This Row],[REAJUSTADO]]/25000</f>
        <v>2.0680000000000001</v>
      </c>
      <c r="BG270" s="302">
        <f>Tabla14[[#This Row],[REAJUSTADO]]*Tabla14[[#This Row],[Personas Rechazo]]</f>
        <v>878900</v>
      </c>
      <c r="BH270" s="292" t="str">
        <f>Tabla14[[#This Row],[Finca]]</f>
        <v>San Pedro</v>
      </c>
      <c r="BJ270" s="332">
        <f>Tabla14[[#This Row],[Numero de Ocacionales]]*Tabla14[[#This Row],[REAJUSTADO]]</f>
        <v>0</v>
      </c>
      <c r="BK270" s="332"/>
      <c r="BL270" s="332"/>
      <c r="BM270" s="332">
        <f>+Tabla14[[#This Row],[CUANTO SE REAJUSTA]]*3</f>
        <v>-13.235294117643207</v>
      </c>
    </row>
    <row r="271" spans="3:65" x14ac:dyDescent="0.25">
      <c r="C271" s="274">
        <v>44936</v>
      </c>
      <c r="D271" s="507">
        <f>YEAR(Tabla14[[#This Row],[Fecha]])</f>
        <v>2023</v>
      </c>
      <c r="E271" s="313">
        <f>IF(Tabla14[[#This Row],[Fecha]]&gt;0,_xlfn.ISOWEEKNUM(Tabla14[[#This Row],[Fecha]]),0)</f>
        <v>2</v>
      </c>
      <c r="F271" s="283">
        <v>26</v>
      </c>
      <c r="G271" s="275" t="s">
        <v>250</v>
      </c>
      <c r="H271" s="325" t="str">
        <f>_xlfn.XLOOKUP(Tabla14[[#This Row],[Codigo Finca]],Tabla4[Codigo Finca],Tabla4[Nombre Finca],"")</f>
        <v>San Pedro</v>
      </c>
      <c r="I271" s="277">
        <f>_xlfn.XLOOKUP(Tabla14[[#This Row],[Codigo Finca]],Tabla4[Codigo Finca],Tabla4[Precio Caja],0)</f>
        <v>1800</v>
      </c>
      <c r="J271" s="277">
        <f>_xlfn.XLOOKUP(Tabla14[[#This Row],[Codigo Finca]],Tabla4[Codigo Finca],Tabla4[Precio Caja Segunda],0)</f>
        <v>1150</v>
      </c>
      <c r="K271" s="277">
        <f>_xlfn.XLOOKUP(Tabla14[[#This Row],[Codigo Finca]],Tabla4[Codigo Finca],Tabla4[Precio Rechazo],0)</f>
        <v>575</v>
      </c>
      <c r="L271" s="277">
        <f t="shared" si="400"/>
        <v>0</v>
      </c>
      <c r="M271" s="278">
        <f t="shared" si="401"/>
        <v>0</v>
      </c>
      <c r="N271" s="283"/>
      <c r="O271" s="279"/>
      <c r="P271" s="280">
        <f t="shared" si="402"/>
        <v>0</v>
      </c>
      <c r="Q271" s="281">
        <f t="shared" si="403"/>
        <v>0</v>
      </c>
      <c r="R271" s="282">
        <f t="shared" si="404"/>
        <v>0</v>
      </c>
      <c r="S271" s="283"/>
      <c r="T271" s="275">
        <v>10</v>
      </c>
      <c r="U271" s="280">
        <f t="shared" si="405"/>
        <v>26</v>
      </c>
      <c r="V271" s="281">
        <f t="shared" si="406"/>
        <v>2.6</v>
      </c>
      <c r="W271" s="282">
        <f t="shared" si="407"/>
        <v>4680</v>
      </c>
      <c r="X271" s="283"/>
      <c r="Y271" s="275"/>
      <c r="Z271" s="280">
        <f>Tabla14[[#This Row],[Cajas Segunda]]</f>
        <v>0</v>
      </c>
      <c r="AA271" s="281">
        <f t="shared" si="408"/>
        <v>0</v>
      </c>
      <c r="AB271" s="284">
        <f t="shared" si="409"/>
        <v>0</v>
      </c>
      <c r="AC271" s="285"/>
      <c r="AD271" s="286"/>
      <c r="AE271" s="286"/>
      <c r="AF271" s="286"/>
      <c r="AG271" s="286">
        <v>10</v>
      </c>
      <c r="AH271" s="280">
        <f t="shared" si="410"/>
        <v>0</v>
      </c>
      <c r="AI271" s="281">
        <f t="shared" si="411"/>
        <v>0</v>
      </c>
      <c r="AJ271" s="282">
        <f t="shared" si="412"/>
        <v>0</v>
      </c>
      <c r="AK271" s="287">
        <f>Tabla14[[#This Row],[Cajas por Personas]]</f>
        <v>0</v>
      </c>
      <c r="AL271" s="288">
        <f>Tabla14[[#This Row],[Valor Precorte Pesona]]</f>
        <v>0</v>
      </c>
      <c r="AM271" s="294">
        <f>Tabla14[[#This Row],[Personas Precorte]]</f>
        <v>0</v>
      </c>
      <c r="AN271" s="308">
        <f>Tabla14[[#This Row],[Valor Precorte Pesona Precorte]]*Tabla14[[#This Row],[Perzonas Precorte]]</f>
        <v>0</v>
      </c>
      <c r="AO271" s="287">
        <f>Tabla14[[#This Row],[Cajas por Personas2]]</f>
        <v>2.6</v>
      </c>
      <c r="AP271" s="288">
        <f>Tabla14[[#This Row],[Valor Embarque Pesona]]</f>
        <v>4680</v>
      </c>
      <c r="AQ271" s="295">
        <f>Tabla14[[#This Row],[Personas Precorte2]]</f>
        <v>10</v>
      </c>
      <c r="AR271" s="296">
        <f>Tabla14[[#This Row],[Valor Embarque Pesona3]]*Tabla14[[#This Row],[Perzona Primera]]</f>
        <v>46800</v>
      </c>
      <c r="AS271" s="287">
        <f>Tabla14[[#This Row],[Columna2]]</f>
        <v>0</v>
      </c>
      <c r="AT271" s="288">
        <f>Tabla14[[#This Row],[Columna1]]</f>
        <v>0</v>
      </c>
      <c r="AU271" s="302">
        <f>Tabla14[[#This Row],[Personas Intervienen]]</f>
        <v>0</v>
      </c>
      <c r="AV271" s="297">
        <f>Tabla14[[#This Row],[Valor Embarque Pesona5]]*Tabla14[[#This Row],[Presonas Segunda]]</f>
        <v>0</v>
      </c>
      <c r="AW271" s="287">
        <f>Tabla14[[#This Row],[Bolsas Por Personas]]</f>
        <v>0</v>
      </c>
      <c r="AX271" s="288">
        <f>Tabla14[[#This Row],[Valor bolsas Pesona]]</f>
        <v>0</v>
      </c>
      <c r="AY271" s="309">
        <f>Tabla14[[#This Row],[Personas13]]</f>
        <v>10</v>
      </c>
      <c r="AZ271" s="310">
        <f>Tabla14[[#This Row],[Valor bolsas Pesona2]]*Tabla14[[#This Row],[Personas Rechazo]]</f>
        <v>0</v>
      </c>
      <c r="BA271" s="311">
        <f>+Tabla14[[#This Row],[Total Valor Segunda]]+Tabla14[[#This Row],[Total Valor Primera]]+Tabla14[[#This Row],[Total Valor Precorte]]</f>
        <v>46800</v>
      </c>
      <c r="BB271" s="292">
        <f>Tabla14[[#This Row],[Valor bolsas Pesona2]]+Tabla14[[#This Row],[Valor Embarque Pesona3]]</f>
        <v>4680</v>
      </c>
      <c r="BC271" s="486">
        <f>51700+5000</f>
        <v>56700</v>
      </c>
      <c r="BD271" s="292">
        <f>Tabla14[[#This Row],[VALOR GANADO]]-Tabla14[[#This Row],[REAJUSTADO]]</f>
        <v>-52020</v>
      </c>
      <c r="BE271" s="250">
        <f>Tabla14[[#This Row],[CUANTO SE REAJUSTA]]*Tabla14[[#This Row],[Personas Rechazo]]</f>
        <v>-520200</v>
      </c>
      <c r="BF271" s="250">
        <f>Tabla14[[#This Row],[REAJUSTADO]]/25000</f>
        <v>2.2679999999999998</v>
      </c>
      <c r="BG271" s="302">
        <f>Tabla14[[#This Row],[REAJUSTADO]]*Tabla14[[#This Row],[Personas Rechazo]]</f>
        <v>567000</v>
      </c>
      <c r="BH271" s="292" t="str">
        <f>Tabla14[[#This Row],[Finca]]</f>
        <v>San Pedro</v>
      </c>
      <c r="BJ271" s="332">
        <f>Tabla14[[#This Row],[Numero de Ocacionales]]*Tabla14[[#This Row],[REAJUSTADO]]</f>
        <v>0</v>
      </c>
      <c r="BK271" s="332"/>
      <c r="BL271" s="332"/>
      <c r="BM271" s="332">
        <f>+Tabla14[[#This Row],[CUANTO SE REAJUSTA]]*3</f>
        <v>-156060</v>
      </c>
    </row>
    <row r="272" spans="3:65" x14ac:dyDescent="0.25">
      <c r="C272" s="274">
        <v>44936</v>
      </c>
      <c r="D272" s="507">
        <f>YEAR(Tabla14[[#This Row],[Fecha]])</f>
        <v>2023</v>
      </c>
      <c r="E272" s="313">
        <f>IF(Tabla14[[#This Row],[Fecha]]&gt;0,_xlfn.ISOWEEKNUM(Tabla14[[#This Row],[Fecha]]),0)</f>
        <v>2</v>
      </c>
      <c r="F272" s="283">
        <v>51</v>
      </c>
      <c r="G272" s="275" t="s">
        <v>247</v>
      </c>
      <c r="H272" s="325" t="str">
        <f>_xlfn.XLOOKUP(Tabla14[[#This Row],[Codigo Finca]],Tabla4[Codigo Finca],Tabla4[Nombre Finca],"")</f>
        <v>Uveros</v>
      </c>
      <c r="I272" s="277">
        <f>_xlfn.XLOOKUP(Tabla14[[#This Row],[Codigo Finca]],Tabla4[Codigo Finca],Tabla4[Precio Caja],0)</f>
        <v>1800</v>
      </c>
      <c r="J272" s="277">
        <f>_xlfn.XLOOKUP(Tabla14[[#This Row],[Codigo Finca]],Tabla4[Codigo Finca],Tabla4[Precio Caja Segunda],0)</f>
        <v>1150</v>
      </c>
      <c r="K272" s="277">
        <f>_xlfn.XLOOKUP(Tabla14[[#This Row],[Codigo Finca]],Tabla4[Codigo Finca],Tabla4[Precio Rechazo],0)</f>
        <v>575</v>
      </c>
      <c r="L272" s="277">
        <f t="shared" si="400"/>
        <v>204</v>
      </c>
      <c r="M272" s="278">
        <f t="shared" si="401"/>
        <v>4</v>
      </c>
      <c r="N272" s="283"/>
      <c r="O272" s="279"/>
      <c r="P272" s="280">
        <f t="shared" si="402"/>
        <v>0</v>
      </c>
      <c r="Q272" s="281">
        <f t="shared" si="403"/>
        <v>0</v>
      </c>
      <c r="R272" s="282">
        <f t="shared" si="404"/>
        <v>0</v>
      </c>
      <c r="S272" s="283">
        <f>154+50</f>
        <v>204</v>
      </c>
      <c r="T272" s="275">
        <v>4</v>
      </c>
      <c r="U272" s="280">
        <f t="shared" si="405"/>
        <v>51</v>
      </c>
      <c r="V272" s="281">
        <f t="shared" si="406"/>
        <v>12.75</v>
      </c>
      <c r="W272" s="282">
        <f t="shared" si="407"/>
        <v>22950</v>
      </c>
      <c r="X272" s="283"/>
      <c r="Y272" s="275"/>
      <c r="Z272" s="280">
        <f>Tabla14[[#This Row],[Cajas Segunda]]</f>
        <v>0</v>
      </c>
      <c r="AA272" s="281">
        <f t="shared" si="408"/>
        <v>0</v>
      </c>
      <c r="AB272" s="284">
        <f t="shared" si="409"/>
        <v>0</v>
      </c>
      <c r="AC272" s="285">
        <v>5</v>
      </c>
      <c r="AD272" s="286"/>
      <c r="AE272" s="286"/>
      <c r="AF272" s="286"/>
      <c r="AG272" s="286">
        <v>4</v>
      </c>
      <c r="AH272" s="280">
        <f t="shared" si="410"/>
        <v>5</v>
      </c>
      <c r="AI272" s="281">
        <f t="shared" si="411"/>
        <v>1.25</v>
      </c>
      <c r="AJ272" s="282">
        <f t="shared" si="412"/>
        <v>718.75</v>
      </c>
      <c r="AK272" s="287">
        <f>Tabla14[[#This Row],[Cajas por Personas]]</f>
        <v>0</v>
      </c>
      <c r="AL272" s="288">
        <f>Tabla14[[#This Row],[Valor Precorte Pesona]]</f>
        <v>0</v>
      </c>
      <c r="AM272" s="294">
        <f>Tabla14[[#This Row],[Personas Precorte]]</f>
        <v>0</v>
      </c>
      <c r="AN272" s="308">
        <f>Tabla14[[#This Row],[Valor Precorte Pesona Precorte]]*Tabla14[[#This Row],[Perzonas Precorte]]</f>
        <v>0</v>
      </c>
      <c r="AO272" s="287">
        <f>Tabla14[[#This Row],[Cajas por Personas2]]</f>
        <v>12.75</v>
      </c>
      <c r="AP272" s="288">
        <f>Tabla14[[#This Row],[Valor Embarque Pesona]]</f>
        <v>22950</v>
      </c>
      <c r="AQ272" s="295">
        <f>Tabla14[[#This Row],[Personas Precorte2]]</f>
        <v>4</v>
      </c>
      <c r="AR272" s="296">
        <f>Tabla14[[#This Row],[Valor Embarque Pesona3]]*Tabla14[[#This Row],[Perzona Primera]]</f>
        <v>91800</v>
      </c>
      <c r="AS272" s="287">
        <f>Tabla14[[#This Row],[Columna2]]</f>
        <v>0</v>
      </c>
      <c r="AT272" s="288">
        <f>Tabla14[[#This Row],[Columna1]]</f>
        <v>0</v>
      </c>
      <c r="AU272" s="302">
        <f>Tabla14[[#This Row],[Personas Intervienen]]</f>
        <v>0</v>
      </c>
      <c r="AV272" s="297">
        <f>Tabla14[[#This Row],[Valor Embarque Pesona5]]*Tabla14[[#This Row],[Presonas Segunda]]</f>
        <v>0</v>
      </c>
      <c r="AW272" s="287">
        <f>Tabla14[[#This Row],[Bolsas Por Personas]]</f>
        <v>1.25</v>
      </c>
      <c r="AX272" s="288">
        <f>Tabla14[[#This Row],[Valor bolsas Pesona]]</f>
        <v>718.75</v>
      </c>
      <c r="AY272" s="309">
        <f>Tabla14[[#This Row],[Personas13]]</f>
        <v>4</v>
      </c>
      <c r="AZ272" s="310">
        <f>Tabla14[[#This Row],[Valor bolsas Pesona2]]*Tabla14[[#This Row],[Personas Rechazo]]</f>
        <v>2875</v>
      </c>
      <c r="BA272" s="311">
        <f>+Tabla14[[#This Row],[Total Valor Segunda]]+Tabla14[[#This Row],[Total Valor Primera]]+Tabla14[[#This Row],[Total Valor Precorte]]</f>
        <v>91800</v>
      </c>
      <c r="BB272" s="292">
        <f>Tabla14[[#This Row],[Valor bolsas Pesona2]]+Tabla14[[#This Row],[Valor Embarque Pesona3]]</f>
        <v>23668.75</v>
      </c>
      <c r="BC272" s="332">
        <v>30000</v>
      </c>
      <c r="BD272" s="292">
        <f>Tabla14[[#This Row],[VALOR GANADO]]-Tabla14[[#This Row],[REAJUSTADO]]</f>
        <v>-6331.25</v>
      </c>
      <c r="BE272" s="250">
        <f>Tabla14[[#This Row],[CUANTO SE REAJUSTA]]*Tabla14[[#This Row],[Personas Rechazo]]</f>
        <v>-25325</v>
      </c>
      <c r="BF272" s="250">
        <f>Tabla14[[#This Row],[REAJUSTADO]]/25000</f>
        <v>1.2</v>
      </c>
      <c r="BG272" s="302">
        <f>Tabla14[[#This Row],[REAJUSTADO]]*Tabla14[[#This Row],[Personas Rechazo]]</f>
        <v>120000</v>
      </c>
      <c r="BH272" s="292" t="str">
        <f>Tabla14[[#This Row],[Finca]]</f>
        <v>Uveros</v>
      </c>
      <c r="BJ272" s="332">
        <f>Tabla14[[#This Row],[Numero de Ocacionales]]*Tabla14[[#This Row],[REAJUSTADO]]</f>
        <v>0</v>
      </c>
      <c r="BK272" s="332"/>
      <c r="BL272" s="332"/>
      <c r="BM272" s="332">
        <f>+Tabla14[[#This Row],[CUANTO SE REAJUSTA]]*3</f>
        <v>-18993.75</v>
      </c>
    </row>
    <row r="273" spans="3:65" x14ac:dyDescent="0.25">
      <c r="C273" s="274">
        <v>44937</v>
      </c>
      <c r="D273" s="507">
        <f>YEAR(Tabla14[[#This Row],[Fecha]])</f>
        <v>2023</v>
      </c>
      <c r="E273" s="313">
        <f>IF(Tabla14[[#This Row],[Fecha]]&gt;0,_xlfn.ISOWEEKNUM(Tabla14[[#This Row],[Fecha]]),0)</f>
        <v>2</v>
      </c>
      <c r="F273" s="283">
        <v>39</v>
      </c>
      <c r="G273" s="275" t="s">
        <v>248</v>
      </c>
      <c r="H273" s="325" t="str">
        <f>_xlfn.XLOOKUP(Tabla14[[#This Row],[Codigo Finca]],Tabla4[Codigo Finca],Tabla4[Nombre Finca],"")</f>
        <v>Damaquiel</v>
      </c>
      <c r="I273" s="277">
        <f>_xlfn.XLOOKUP(Tabla14[[#This Row],[Codigo Finca]],Tabla4[Codigo Finca],Tabla4[Precio Caja],0)</f>
        <v>1800</v>
      </c>
      <c r="J273" s="277">
        <f>_xlfn.XLOOKUP(Tabla14[[#This Row],[Codigo Finca]],Tabla4[Codigo Finca],Tabla4[Precio Caja Segunda],0)</f>
        <v>1150</v>
      </c>
      <c r="K273" s="277">
        <f>_xlfn.XLOOKUP(Tabla14[[#This Row],[Codigo Finca]],Tabla4[Codigo Finca],Tabla4[Precio Rechazo],0)</f>
        <v>575</v>
      </c>
      <c r="L273" s="277">
        <f t="shared" si="400"/>
        <v>260</v>
      </c>
      <c r="M273" s="278">
        <f t="shared" si="401"/>
        <v>6.666666666666667</v>
      </c>
      <c r="N273" s="283"/>
      <c r="O273" s="279"/>
      <c r="P273" s="280">
        <f t="shared" si="402"/>
        <v>0</v>
      </c>
      <c r="Q273" s="281">
        <f t="shared" si="403"/>
        <v>0</v>
      </c>
      <c r="R273" s="282">
        <f t="shared" si="404"/>
        <v>0</v>
      </c>
      <c r="S273" s="283">
        <v>260</v>
      </c>
      <c r="T273" s="275">
        <v>5</v>
      </c>
      <c r="U273" s="280">
        <f t="shared" si="405"/>
        <v>39</v>
      </c>
      <c r="V273" s="281">
        <f t="shared" si="406"/>
        <v>7.8</v>
      </c>
      <c r="W273" s="282">
        <f t="shared" si="407"/>
        <v>14040</v>
      </c>
      <c r="X273" s="283"/>
      <c r="Y273" s="275"/>
      <c r="Z273" s="280">
        <f>Tabla14[[#This Row],[Cajas Segunda]]</f>
        <v>0</v>
      </c>
      <c r="AA273" s="281">
        <f t="shared" si="408"/>
        <v>0</v>
      </c>
      <c r="AB273" s="284">
        <f t="shared" si="409"/>
        <v>0</v>
      </c>
      <c r="AC273" s="285">
        <v>12</v>
      </c>
      <c r="AD273" s="286"/>
      <c r="AE273" s="286"/>
      <c r="AF273" s="286"/>
      <c r="AG273" s="286">
        <v>5</v>
      </c>
      <c r="AH273" s="280">
        <f t="shared" si="410"/>
        <v>12</v>
      </c>
      <c r="AI273" s="281">
        <f t="shared" si="411"/>
        <v>2.4</v>
      </c>
      <c r="AJ273" s="282">
        <f t="shared" si="412"/>
        <v>1380</v>
      </c>
      <c r="AK273" s="287">
        <f>Tabla14[[#This Row],[Cajas por Personas]]</f>
        <v>0</v>
      </c>
      <c r="AL273" s="288">
        <f>Tabla14[[#This Row],[Valor Precorte Pesona]]</f>
        <v>0</v>
      </c>
      <c r="AM273" s="294">
        <f>Tabla14[[#This Row],[Personas Precorte]]</f>
        <v>0</v>
      </c>
      <c r="AN273" s="308">
        <f>Tabla14[[#This Row],[Valor Precorte Pesona Precorte]]*Tabla14[[#This Row],[Perzonas Precorte]]</f>
        <v>0</v>
      </c>
      <c r="AO273" s="287">
        <f>Tabla14[[#This Row],[Cajas por Personas2]]</f>
        <v>7.8</v>
      </c>
      <c r="AP273" s="288">
        <f>Tabla14[[#This Row],[Valor Embarque Pesona]]</f>
        <v>14040</v>
      </c>
      <c r="AQ273" s="295">
        <f>Tabla14[[#This Row],[Personas Precorte2]]</f>
        <v>5</v>
      </c>
      <c r="AR273" s="296">
        <f>Tabla14[[#This Row],[Valor Embarque Pesona3]]*Tabla14[[#This Row],[Perzona Primera]]</f>
        <v>70200</v>
      </c>
      <c r="AS273" s="287">
        <f>Tabla14[[#This Row],[Columna2]]</f>
        <v>0</v>
      </c>
      <c r="AT273" s="288">
        <f>Tabla14[[#This Row],[Columna1]]</f>
        <v>0</v>
      </c>
      <c r="AU273" s="302">
        <f>Tabla14[[#This Row],[Personas Intervienen]]</f>
        <v>0</v>
      </c>
      <c r="AV273" s="297">
        <f>Tabla14[[#This Row],[Valor Embarque Pesona5]]*Tabla14[[#This Row],[Presonas Segunda]]</f>
        <v>0</v>
      </c>
      <c r="AW273" s="287">
        <f>Tabla14[[#This Row],[Bolsas Por Personas]]</f>
        <v>2.4</v>
      </c>
      <c r="AX273" s="288">
        <f>Tabla14[[#This Row],[Valor bolsas Pesona]]</f>
        <v>1380</v>
      </c>
      <c r="AY273" s="309">
        <f>Tabla14[[#This Row],[Personas13]]</f>
        <v>5</v>
      </c>
      <c r="AZ273" s="310">
        <f>Tabla14[[#This Row],[Valor bolsas Pesona2]]*Tabla14[[#This Row],[Personas Rechazo]]</f>
        <v>6900</v>
      </c>
      <c r="BA273" s="311">
        <f>+Tabla14[[#This Row],[Total Valor Segunda]]+Tabla14[[#This Row],[Total Valor Primera]]+Tabla14[[#This Row],[Total Valor Precorte]]</f>
        <v>70200</v>
      </c>
      <c r="BB273" s="292">
        <f>Tabla14[[#This Row],[Valor bolsas Pesona2]]+Tabla14[[#This Row],[Valor Embarque Pesona3]]</f>
        <v>15420</v>
      </c>
      <c r="BC273" s="332">
        <v>30000</v>
      </c>
      <c r="BD273" s="292">
        <f>Tabla14[[#This Row],[VALOR GANADO]]-Tabla14[[#This Row],[REAJUSTADO]]</f>
        <v>-14580</v>
      </c>
      <c r="BE273" s="250">
        <f>Tabla14[[#This Row],[CUANTO SE REAJUSTA]]*Tabla14[[#This Row],[Personas Rechazo]]</f>
        <v>-72900</v>
      </c>
      <c r="BF273" s="250">
        <f>Tabla14[[#This Row],[REAJUSTADO]]/25000</f>
        <v>1.2</v>
      </c>
      <c r="BG273" s="302">
        <f>Tabla14[[#This Row],[REAJUSTADO]]*Tabla14[[#This Row],[Personas Rechazo]]</f>
        <v>150000</v>
      </c>
      <c r="BH273" s="292" t="str">
        <f>Tabla14[[#This Row],[Finca]]</f>
        <v>Damaquiel</v>
      </c>
      <c r="BJ273" s="332">
        <f>Tabla14[[#This Row],[Numero de Ocacionales]]*Tabla14[[#This Row],[REAJUSTADO]]</f>
        <v>0</v>
      </c>
      <c r="BK273" s="332"/>
      <c r="BL273" s="332"/>
      <c r="BM273" s="332">
        <f>+Tabla14[[#This Row],[CUANTO SE REAJUSTA]]*3</f>
        <v>-43740</v>
      </c>
    </row>
    <row r="274" spans="3:65" x14ac:dyDescent="0.25">
      <c r="C274" s="274">
        <v>44937</v>
      </c>
      <c r="D274" s="507">
        <f>YEAR(Tabla14[[#This Row],[Fecha]])</f>
        <v>2023</v>
      </c>
      <c r="E274" s="313">
        <f>IF(Tabla14[[#This Row],[Fecha]]&gt;0,_xlfn.ISOWEEKNUM(Tabla14[[#This Row],[Fecha]]),0)</f>
        <v>2</v>
      </c>
      <c r="F274" s="283">
        <v>154</v>
      </c>
      <c r="G274" s="275" t="s">
        <v>251</v>
      </c>
      <c r="H274" s="325" t="str">
        <f>_xlfn.XLOOKUP(Tabla14[[#This Row],[Codigo Finca]],Tabla4[Codigo Finca],Tabla4[Nombre Finca],"")</f>
        <v>Pedrito</v>
      </c>
      <c r="I274" s="277">
        <f>_xlfn.XLOOKUP(Tabla14[[#This Row],[Codigo Finca]],Tabla4[Codigo Finca],Tabla4[Precio Caja],0)</f>
        <v>1800</v>
      </c>
      <c r="J274" s="277">
        <f>_xlfn.XLOOKUP(Tabla14[[#This Row],[Codigo Finca]],Tabla4[Codigo Finca],Tabla4[Precio Caja Segunda],0)</f>
        <v>1150</v>
      </c>
      <c r="K274" s="277">
        <f>_xlfn.XLOOKUP(Tabla14[[#This Row],[Codigo Finca]],Tabla4[Codigo Finca],Tabla4[Precio Rechazo],0)</f>
        <v>575</v>
      </c>
      <c r="L274" s="277">
        <f t="shared" si="400"/>
        <v>554</v>
      </c>
      <c r="M274" s="278">
        <f t="shared" si="401"/>
        <v>3.5974025974025974</v>
      </c>
      <c r="N274" s="283"/>
      <c r="O274" s="279"/>
      <c r="P274" s="280">
        <f t="shared" si="402"/>
        <v>0</v>
      </c>
      <c r="Q274" s="281">
        <f t="shared" si="403"/>
        <v>0</v>
      </c>
      <c r="R274" s="282">
        <f t="shared" si="404"/>
        <v>0</v>
      </c>
      <c r="S274" s="283">
        <v>554</v>
      </c>
      <c r="T274" s="275">
        <v>13</v>
      </c>
      <c r="U274" s="280">
        <f t="shared" si="405"/>
        <v>154</v>
      </c>
      <c r="V274" s="281">
        <f t="shared" si="406"/>
        <v>11.846153846153847</v>
      </c>
      <c r="W274" s="282">
        <f t="shared" si="407"/>
        <v>21323.076923076922</v>
      </c>
      <c r="X274" s="283"/>
      <c r="Y274" s="275"/>
      <c r="Z274" s="280">
        <f>Tabla14[[#This Row],[Cajas Segunda]]</f>
        <v>0</v>
      </c>
      <c r="AA274" s="281">
        <f t="shared" si="408"/>
        <v>0</v>
      </c>
      <c r="AB274" s="284">
        <f t="shared" si="409"/>
        <v>0</v>
      </c>
      <c r="AC274" s="285">
        <v>53</v>
      </c>
      <c r="AD274" s="286"/>
      <c r="AE274" s="286"/>
      <c r="AF274" s="286"/>
      <c r="AG274" s="286">
        <v>13</v>
      </c>
      <c r="AH274" s="280">
        <f t="shared" si="410"/>
        <v>53</v>
      </c>
      <c r="AI274" s="281">
        <f t="shared" si="411"/>
        <v>4.0769230769230766</v>
      </c>
      <c r="AJ274" s="282">
        <f t="shared" si="412"/>
        <v>2344.2307692307691</v>
      </c>
      <c r="AK274" s="287">
        <f>Tabla14[[#This Row],[Cajas por Personas]]</f>
        <v>0</v>
      </c>
      <c r="AL274" s="288">
        <f>Tabla14[[#This Row],[Valor Precorte Pesona]]</f>
        <v>0</v>
      </c>
      <c r="AM274" s="294">
        <f>Tabla14[[#This Row],[Personas Precorte]]</f>
        <v>0</v>
      </c>
      <c r="AN274" s="308">
        <f>Tabla14[[#This Row],[Valor Precorte Pesona Precorte]]*Tabla14[[#This Row],[Perzonas Precorte]]</f>
        <v>0</v>
      </c>
      <c r="AO274" s="287">
        <f>Tabla14[[#This Row],[Cajas por Personas2]]</f>
        <v>11.846153846153847</v>
      </c>
      <c r="AP274" s="288">
        <f>Tabla14[[#This Row],[Valor Embarque Pesona]]</f>
        <v>21323.076923076922</v>
      </c>
      <c r="AQ274" s="295">
        <f>Tabla14[[#This Row],[Personas Precorte2]]</f>
        <v>13</v>
      </c>
      <c r="AR274" s="296">
        <f>Tabla14[[#This Row],[Valor Embarque Pesona3]]*Tabla14[[#This Row],[Perzona Primera]]</f>
        <v>277200</v>
      </c>
      <c r="AS274" s="287">
        <f>Tabla14[[#This Row],[Columna2]]</f>
        <v>0</v>
      </c>
      <c r="AT274" s="288">
        <f>Tabla14[[#This Row],[Columna1]]</f>
        <v>0</v>
      </c>
      <c r="AU274" s="302">
        <f>Tabla14[[#This Row],[Personas Intervienen]]</f>
        <v>0</v>
      </c>
      <c r="AV274" s="297">
        <f>Tabla14[[#This Row],[Valor Embarque Pesona5]]*Tabla14[[#This Row],[Presonas Segunda]]</f>
        <v>0</v>
      </c>
      <c r="AW274" s="287">
        <f>Tabla14[[#This Row],[Bolsas Por Personas]]</f>
        <v>4.0769230769230766</v>
      </c>
      <c r="AX274" s="288">
        <f>Tabla14[[#This Row],[Valor bolsas Pesona]]</f>
        <v>2344.2307692307691</v>
      </c>
      <c r="AY274" s="309">
        <f>Tabla14[[#This Row],[Personas13]]</f>
        <v>13</v>
      </c>
      <c r="AZ274" s="310">
        <f>Tabla14[[#This Row],[Valor bolsas Pesona2]]*Tabla14[[#This Row],[Personas Rechazo]]</f>
        <v>30474.999999999996</v>
      </c>
      <c r="BA274" s="311">
        <f>+Tabla14[[#This Row],[Total Valor Segunda]]+Tabla14[[#This Row],[Total Valor Primera]]+Tabla14[[#This Row],[Total Valor Precorte]]</f>
        <v>277200</v>
      </c>
      <c r="BB274" s="292">
        <f>Tabla14[[#This Row],[Valor bolsas Pesona2]]+Tabla14[[#This Row],[Valor Embarque Pesona3]]</f>
        <v>23667.307692307691</v>
      </c>
      <c r="BC274" s="332">
        <v>30000</v>
      </c>
      <c r="BD274" s="292">
        <f>Tabla14[[#This Row],[VALOR GANADO]]-Tabla14[[#This Row],[REAJUSTADO]]</f>
        <v>-6332.6923076923085</v>
      </c>
      <c r="BE274" s="250">
        <f>Tabla14[[#This Row],[CUANTO SE REAJUSTA]]*Tabla14[[#This Row],[Personas Rechazo]]</f>
        <v>-82325.000000000015</v>
      </c>
      <c r="BF274" s="250">
        <f>Tabla14[[#This Row],[REAJUSTADO]]/25000</f>
        <v>1.2</v>
      </c>
      <c r="BG274" s="302">
        <f>Tabla14[[#This Row],[REAJUSTADO]]*Tabla14[[#This Row],[Personas Rechazo]]</f>
        <v>390000</v>
      </c>
      <c r="BH274" s="292" t="str">
        <f>Tabla14[[#This Row],[Finca]]</f>
        <v>Pedrito</v>
      </c>
      <c r="BJ274" s="332">
        <f>Tabla14[[#This Row],[Numero de Ocacionales]]*Tabla14[[#This Row],[REAJUSTADO]]</f>
        <v>0</v>
      </c>
      <c r="BK274" s="332"/>
      <c r="BL274" s="332"/>
      <c r="BM274" s="332">
        <f>+Tabla14[[#This Row],[CUANTO SE REAJUSTA]]*3</f>
        <v>-18998.076923076926</v>
      </c>
    </row>
    <row r="275" spans="3:65" x14ac:dyDescent="0.25">
      <c r="C275" s="274">
        <v>44937</v>
      </c>
      <c r="D275" s="507">
        <f>YEAR(Tabla14[[#This Row],[Fecha]])</f>
        <v>2023</v>
      </c>
      <c r="E275" s="313">
        <f>IF(Tabla14[[#This Row],[Fecha]]&gt;0,_xlfn.ISOWEEKNUM(Tabla14[[#This Row],[Fecha]]),0)</f>
        <v>2</v>
      </c>
      <c r="F275" s="283">
        <v>33</v>
      </c>
      <c r="G275" s="275" t="s">
        <v>249</v>
      </c>
      <c r="H275" s="325" t="str">
        <f>_xlfn.XLOOKUP(Tabla14[[#This Row],[Codigo Finca]],Tabla4[Codigo Finca],Tabla4[Nombre Finca],"")</f>
        <v>San Pedro</v>
      </c>
      <c r="I275" s="277">
        <f>_xlfn.XLOOKUP(Tabla14[[#This Row],[Codigo Finca]],Tabla4[Codigo Finca],Tabla4[Precio Caja],0)</f>
        <v>2000</v>
      </c>
      <c r="J275" s="277">
        <f>_xlfn.XLOOKUP(Tabla14[[#This Row],[Codigo Finca]],Tabla4[Codigo Finca],Tabla4[Precio Caja Segunda],0)</f>
        <v>1150</v>
      </c>
      <c r="K275" s="277">
        <f>_xlfn.XLOOKUP(Tabla14[[#This Row],[Codigo Finca]],Tabla4[Codigo Finca],Tabla4[Precio Rechazo],0)</f>
        <v>675</v>
      </c>
      <c r="L275" s="277">
        <f t="shared" si="400"/>
        <v>100</v>
      </c>
      <c r="M275" s="278">
        <f t="shared" si="401"/>
        <v>3.0303030303030303</v>
      </c>
      <c r="N275" s="283"/>
      <c r="O275" s="279"/>
      <c r="P275" s="280">
        <f t="shared" si="402"/>
        <v>0</v>
      </c>
      <c r="Q275" s="281">
        <f t="shared" si="403"/>
        <v>0</v>
      </c>
      <c r="R275" s="282">
        <f t="shared" si="404"/>
        <v>0</v>
      </c>
      <c r="S275" s="283">
        <v>100</v>
      </c>
      <c r="T275" s="275">
        <v>2</v>
      </c>
      <c r="U275" s="280">
        <f t="shared" si="405"/>
        <v>33</v>
      </c>
      <c r="V275" s="281">
        <f t="shared" si="406"/>
        <v>16.5</v>
      </c>
      <c r="W275" s="282">
        <f t="shared" si="407"/>
        <v>33000</v>
      </c>
      <c r="X275" s="283"/>
      <c r="Y275" s="275"/>
      <c r="Z275" s="280">
        <f>Tabla14[[#This Row],[Cajas Segunda]]</f>
        <v>0</v>
      </c>
      <c r="AA275" s="281">
        <f t="shared" si="408"/>
        <v>0</v>
      </c>
      <c r="AB275" s="284">
        <f t="shared" si="409"/>
        <v>0</v>
      </c>
      <c r="AC275" s="285">
        <v>7</v>
      </c>
      <c r="AD275" s="286"/>
      <c r="AE275" s="286"/>
      <c r="AF275" s="286"/>
      <c r="AG275" s="286">
        <v>2</v>
      </c>
      <c r="AH275" s="280">
        <f t="shared" si="410"/>
        <v>7</v>
      </c>
      <c r="AI275" s="281">
        <f t="shared" si="411"/>
        <v>3.5</v>
      </c>
      <c r="AJ275" s="282">
        <f t="shared" si="412"/>
        <v>2362.5</v>
      </c>
      <c r="AK275" s="287">
        <f>Tabla14[[#This Row],[Cajas por Personas]]</f>
        <v>0</v>
      </c>
      <c r="AL275" s="288">
        <f>Tabla14[[#This Row],[Valor Precorte Pesona]]</f>
        <v>0</v>
      </c>
      <c r="AM275" s="294">
        <f>Tabla14[[#This Row],[Personas Precorte]]</f>
        <v>0</v>
      </c>
      <c r="AN275" s="308">
        <f>Tabla14[[#This Row],[Valor Precorte Pesona Precorte]]*Tabla14[[#This Row],[Perzonas Precorte]]</f>
        <v>0</v>
      </c>
      <c r="AO275" s="287">
        <f>Tabla14[[#This Row],[Cajas por Personas2]]</f>
        <v>16.5</v>
      </c>
      <c r="AP275" s="288">
        <f>Tabla14[[#This Row],[Valor Embarque Pesona]]</f>
        <v>33000</v>
      </c>
      <c r="AQ275" s="295">
        <f>Tabla14[[#This Row],[Personas Precorte2]]</f>
        <v>2</v>
      </c>
      <c r="AR275" s="296">
        <f>Tabla14[[#This Row],[Valor Embarque Pesona3]]*Tabla14[[#This Row],[Perzona Primera]]</f>
        <v>66000</v>
      </c>
      <c r="AS275" s="287">
        <f>Tabla14[[#This Row],[Columna2]]</f>
        <v>0</v>
      </c>
      <c r="AT275" s="288">
        <f>Tabla14[[#This Row],[Columna1]]</f>
        <v>0</v>
      </c>
      <c r="AU275" s="302">
        <f>Tabla14[[#This Row],[Personas Intervienen]]</f>
        <v>0</v>
      </c>
      <c r="AV275" s="297">
        <f>Tabla14[[#This Row],[Valor Embarque Pesona5]]*Tabla14[[#This Row],[Presonas Segunda]]</f>
        <v>0</v>
      </c>
      <c r="AW275" s="287">
        <f>Tabla14[[#This Row],[Bolsas Por Personas]]</f>
        <v>3.5</v>
      </c>
      <c r="AX275" s="288">
        <f>Tabla14[[#This Row],[Valor bolsas Pesona]]</f>
        <v>2362.5</v>
      </c>
      <c r="AY275" s="309">
        <f>Tabla14[[#This Row],[Personas13]]</f>
        <v>2</v>
      </c>
      <c r="AZ275" s="310">
        <f>Tabla14[[#This Row],[Valor bolsas Pesona2]]*Tabla14[[#This Row],[Personas Rechazo]]</f>
        <v>4725</v>
      </c>
      <c r="BA275" s="311">
        <f>+Tabla14[[#This Row],[Total Valor Segunda]]+Tabla14[[#This Row],[Total Valor Primera]]+Tabla14[[#This Row],[Total Valor Precorte]]</f>
        <v>66000</v>
      </c>
      <c r="BB275" s="292">
        <f>Tabla14[[#This Row],[Valor bolsas Pesona2]]+Tabla14[[#This Row],[Valor Embarque Pesona3]]</f>
        <v>35362.5</v>
      </c>
      <c r="BC275" s="332">
        <v>35370</v>
      </c>
      <c r="BD275" s="292">
        <f>Tabla14[[#This Row],[VALOR GANADO]]-Tabla14[[#This Row],[REAJUSTADO]]</f>
        <v>-7.5</v>
      </c>
      <c r="BE275" s="250">
        <f>Tabla14[[#This Row],[CUANTO SE REAJUSTA]]*Tabla14[[#This Row],[Personas Rechazo]]</f>
        <v>-15</v>
      </c>
      <c r="BF275" s="250">
        <f>Tabla14[[#This Row],[REAJUSTADO]]/25000</f>
        <v>1.4148000000000001</v>
      </c>
      <c r="BG275" s="302">
        <f>Tabla14[[#This Row],[REAJUSTADO]]*Tabla14[[#This Row],[Personas Rechazo]]</f>
        <v>70740</v>
      </c>
      <c r="BH275" s="292" t="str">
        <f>Tabla14[[#This Row],[Finca]]</f>
        <v>San Pedro</v>
      </c>
      <c r="BJ275" s="332">
        <f>Tabla14[[#This Row],[Numero de Ocacionales]]*Tabla14[[#This Row],[REAJUSTADO]]</f>
        <v>0</v>
      </c>
      <c r="BK275" s="332"/>
      <c r="BL275" s="332"/>
      <c r="BM275" s="332">
        <f>+Tabla14[[#This Row],[CUANTO SE REAJUSTA]]*3</f>
        <v>-22.5</v>
      </c>
    </row>
    <row r="276" spans="3:65" x14ac:dyDescent="0.25">
      <c r="C276" s="274">
        <v>44943</v>
      </c>
      <c r="D276" s="507">
        <f>YEAR(Tabla14[[#This Row],[Fecha]])</f>
        <v>2023</v>
      </c>
      <c r="E276" s="313">
        <f>IF(Tabla14[[#This Row],[Fecha]]&gt;0,_xlfn.ISOWEEKNUM(Tabla14[[#This Row],[Fecha]]),0)</f>
        <v>3</v>
      </c>
      <c r="F276" s="283">
        <v>54</v>
      </c>
      <c r="G276" s="275" t="s">
        <v>247</v>
      </c>
      <c r="H276" s="325" t="str">
        <f>_xlfn.XLOOKUP(Tabla14[[#This Row],[Codigo Finca]],Tabla4[Codigo Finca],Tabla4[Nombre Finca],"")</f>
        <v>Uveros</v>
      </c>
      <c r="I276" s="277">
        <f>_xlfn.XLOOKUP(Tabla14[[#This Row],[Codigo Finca]],Tabla4[Codigo Finca],Tabla4[Precio Caja],0)</f>
        <v>1800</v>
      </c>
      <c r="J276" s="277">
        <f>_xlfn.XLOOKUP(Tabla14[[#This Row],[Codigo Finca]],Tabla4[Codigo Finca],Tabla4[Precio Caja Segunda],0)</f>
        <v>1150</v>
      </c>
      <c r="K276" s="277">
        <f>_xlfn.XLOOKUP(Tabla14[[#This Row],[Codigo Finca]],Tabla4[Codigo Finca],Tabla4[Precio Rechazo],0)</f>
        <v>575</v>
      </c>
      <c r="L276" s="277">
        <f t="shared" si="400"/>
        <v>226</v>
      </c>
      <c r="M276" s="278">
        <f t="shared" si="401"/>
        <v>4.1851851851851851</v>
      </c>
      <c r="N276" s="283"/>
      <c r="O276" s="279"/>
      <c r="P276" s="280">
        <f t="shared" si="402"/>
        <v>0</v>
      </c>
      <c r="Q276" s="281">
        <f t="shared" si="403"/>
        <v>0</v>
      </c>
      <c r="R276" s="282">
        <f t="shared" si="404"/>
        <v>0</v>
      </c>
      <c r="S276" s="283">
        <v>226</v>
      </c>
      <c r="T276" s="275">
        <v>4</v>
      </c>
      <c r="U276" s="280">
        <f t="shared" si="405"/>
        <v>54</v>
      </c>
      <c r="V276" s="281">
        <f t="shared" si="406"/>
        <v>13.5</v>
      </c>
      <c r="W276" s="282">
        <f t="shared" si="407"/>
        <v>24300</v>
      </c>
      <c r="X276" s="283"/>
      <c r="Y276" s="275"/>
      <c r="Z276" s="280">
        <f>Tabla14[[#This Row],[Cajas Segunda]]</f>
        <v>0</v>
      </c>
      <c r="AA276" s="281">
        <f t="shared" si="408"/>
        <v>0</v>
      </c>
      <c r="AB276" s="284">
        <f t="shared" si="409"/>
        <v>0</v>
      </c>
      <c r="AC276" s="285"/>
      <c r="AD276" s="286">
        <v>135</v>
      </c>
      <c r="AE276" s="286"/>
      <c r="AF276" s="286"/>
      <c r="AG276" s="286">
        <v>4</v>
      </c>
      <c r="AH276" s="280">
        <f t="shared" si="410"/>
        <v>5.4</v>
      </c>
      <c r="AI276" s="281">
        <f t="shared" si="411"/>
        <v>1.35</v>
      </c>
      <c r="AJ276" s="282">
        <f t="shared" si="412"/>
        <v>776.25</v>
      </c>
      <c r="AK276" s="287">
        <f>Tabla14[[#This Row],[Cajas por Personas]]</f>
        <v>0</v>
      </c>
      <c r="AL276" s="288">
        <f>Tabla14[[#This Row],[Valor Precorte Pesona]]</f>
        <v>0</v>
      </c>
      <c r="AM276" s="294">
        <f>Tabla14[[#This Row],[Personas Precorte]]</f>
        <v>0</v>
      </c>
      <c r="AN276" s="308">
        <f>Tabla14[[#This Row],[Valor Precorte Pesona Precorte]]*Tabla14[[#This Row],[Perzonas Precorte]]</f>
        <v>0</v>
      </c>
      <c r="AO276" s="287">
        <f>Tabla14[[#This Row],[Cajas por Personas2]]</f>
        <v>13.5</v>
      </c>
      <c r="AP276" s="288">
        <f>Tabla14[[#This Row],[Valor Embarque Pesona]]</f>
        <v>24300</v>
      </c>
      <c r="AQ276" s="295">
        <f>Tabla14[[#This Row],[Personas Precorte2]]</f>
        <v>4</v>
      </c>
      <c r="AR276" s="296">
        <f>Tabla14[[#This Row],[Valor Embarque Pesona3]]*Tabla14[[#This Row],[Perzona Primera]]</f>
        <v>97200</v>
      </c>
      <c r="AS276" s="287">
        <f>Tabla14[[#This Row],[Columna2]]</f>
        <v>0</v>
      </c>
      <c r="AT276" s="288">
        <f>Tabla14[[#This Row],[Columna1]]</f>
        <v>0</v>
      </c>
      <c r="AU276" s="302">
        <f>Tabla14[[#This Row],[Personas Intervienen]]</f>
        <v>0</v>
      </c>
      <c r="AV276" s="297">
        <f>Tabla14[[#This Row],[Valor Embarque Pesona5]]*Tabla14[[#This Row],[Presonas Segunda]]</f>
        <v>0</v>
      </c>
      <c r="AW276" s="287">
        <f>Tabla14[[#This Row],[Bolsas Por Personas]]</f>
        <v>1.35</v>
      </c>
      <c r="AX276" s="288">
        <f>Tabla14[[#This Row],[Valor bolsas Pesona]]</f>
        <v>776.25</v>
      </c>
      <c r="AY276" s="309">
        <f>Tabla14[[#This Row],[Personas13]]</f>
        <v>4</v>
      </c>
      <c r="AZ276" s="310">
        <f>Tabla14[[#This Row],[Valor bolsas Pesona2]]*Tabla14[[#This Row],[Personas Rechazo]]</f>
        <v>3105</v>
      </c>
      <c r="BA276" s="311">
        <f>+Tabla14[[#This Row],[Total Valor Segunda]]+Tabla14[[#This Row],[Total Valor Primera]]+Tabla14[[#This Row],[Total Valor Precorte]]</f>
        <v>97200</v>
      </c>
      <c r="BB276" s="292">
        <f>Tabla14[[#This Row],[Valor bolsas Pesona2]]+Tabla14[[#This Row],[Valor Embarque Pesona3]]</f>
        <v>25076.25</v>
      </c>
      <c r="BC276" s="332">
        <v>30000</v>
      </c>
      <c r="BD276" s="292">
        <f>Tabla14[[#This Row],[VALOR GANADO]]-Tabla14[[#This Row],[REAJUSTADO]]</f>
        <v>-4923.75</v>
      </c>
      <c r="BE276" s="250">
        <f>Tabla14[[#This Row],[CUANTO SE REAJUSTA]]*Tabla14[[#This Row],[Personas Rechazo]]</f>
        <v>-19695</v>
      </c>
      <c r="BF276" s="250">
        <f>Tabla14[[#This Row],[REAJUSTADO]]/25000</f>
        <v>1.2</v>
      </c>
      <c r="BG276" s="302">
        <f>Tabla14[[#This Row],[REAJUSTADO]]*Tabla14[[#This Row],[Personas Rechazo]]</f>
        <v>120000</v>
      </c>
      <c r="BH276" s="292" t="str">
        <f>Tabla14[[#This Row],[Finca]]</f>
        <v>Uveros</v>
      </c>
      <c r="BJ276" s="332">
        <f>Tabla14[[#This Row],[Numero de Ocacionales]]*Tabla14[[#This Row],[REAJUSTADO]]</f>
        <v>0</v>
      </c>
      <c r="BK276" s="332"/>
      <c r="BL276" s="332"/>
      <c r="BM276" s="332">
        <f>+Tabla14[[#This Row],[CUANTO SE REAJUSTA]]*3</f>
        <v>-14771.25</v>
      </c>
    </row>
    <row r="277" spans="3:65" x14ac:dyDescent="0.25">
      <c r="C277" s="274">
        <v>44943</v>
      </c>
      <c r="D277" s="507">
        <f>YEAR(Tabla14[[#This Row],[Fecha]])</f>
        <v>2023</v>
      </c>
      <c r="E277" s="313">
        <f>IF(Tabla14[[#This Row],[Fecha]]&gt;0,_xlfn.ISOWEEKNUM(Tabla14[[#This Row],[Fecha]]),0)</f>
        <v>3</v>
      </c>
      <c r="F277" s="283">
        <f>580-39</f>
        <v>541</v>
      </c>
      <c r="G277" s="275" t="s">
        <v>250</v>
      </c>
      <c r="H277" s="325" t="str">
        <f>_xlfn.XLOOKUP(Tabla14[[#This Row],[Codigo Finca]],Tabla4[Codigo Finca],Tabla4[Nombre Finca],"")</f>
        <v>San Pedro</v>
      </c>
      <c r="I277" s="277">
        <f>_xlfn.XLOOKUP(Tabla14[[#This Row],[Codigo Finca]],Tabla4[Codigo Finca],Tabla4[Precio Caja],0)</f>
        <v>1800</v>
      </c>
      <c r="J277" s="277">
        <f>_xlfn.XLOOKUP(Tabla14[[#This Row],[Codigo Finca]],Tabla4[Codigo Finca],Tabla4[Precio Caja Segunda],0)</f>
        <v>1150</v>
      </c>
      <c r="K277" s="277">
        <f>_xlfn.XLOOKUP(Tabla14[[#This Row],[Codigo Finca]],Tabla4[Codigo Finca],Tabla4[Precio Rechazo],0)</f>
        <v>575</v>
      </c>
      <c r="L277" s="277">
        <f t="shared" si="400"/>
        <v>1745</v>
      </c>
      <c r="M277" s="278">
        <f t="shared" si="401"/>
        <v>3.2255083179297599</v>
      </c>
      <c r="N277" s="283"/>
      <c r="O277" s="279"/>
      <c r="P277" s="280">
        <f t="shared" si="402"/>
        <v>0</v>
      </c>
      <c r="Q277" s="281">
        <f t="shared" si="403"/>
        <v>0</v>
      </c>
      <c r="R277" s="282">
        <f t="shared" si="404"/>
        <v>0</v>
      </c>
      <c r="S277" s="283">
        <f>1867-122</f>
        <v>1745</v>
      </c>
      <c r="T277" s="275">
        <v>21</v>
      </c>
      <c r="U277" s="280">
        <f t="shared" si="405"/>
        <v>541</v>
      </c>
      <c r="V277" s="281">
        <f t="shared" si="406"/>
        <v>25.761904761904763</v>
      </c>
      <c r="W277" s="282">
        <f t="shared" si="407"/>
        <v>46371.428571428572</v>
      </c>
      <c r="X277" s="283"/>
      <c r="Y277" s="275"/>
      <c r="Z277" s="280">
        <f>Tabla14[[#This Row],[Cajas Segunda]]</f>
        <v>0</v>
      </c>
      <c r="AA277" s="281">
        <f t="shared" si="408"/>
        <v>0</v>
      </c>
      <c r="AB277" s="284">
        <f t="shared" si="409"/>
        <v>0</v>
      </c>
      <c r="AC277" s="285"/>
      <c r="AD277" s="286">
        <v>1722.98</v>
      </c>
      <c r="AE277" s="286"/>
      <c r="AF277" s="286"/>
      <c r="AG277" s="286">
        <v>21</v>
      </c>
      <c r="AH277" s="280">
        <f t="shared" si="410"/>
        <v>68.919200000000004</v>
      </c>
      <c r="AI277" s="281">
        <f t="shared" si="411"/>
        <v>3.2818666666666667</v>
      </c>
      <c r="AJ277" s="282">
        <f t="shared" si="412"/>
        <v>1887.0733333333333</v>
      </c>
      <c r="AK277" s="287">
        <f>Tabla14[[#This Row],[Cajas por Personas]]</f>
        <v>0</v>
      </c>
      <c r="AL277" s="288">
        <f>Tabla14[[#This Row],[Valor Precorte Pesona]]</f>
        <v>0</v>
      </c>
      <c r="AM277" s="294">
        <f>Tabla14[[#This Row],[Personas Precorte]]</f>
        <v>0</v>
      </c>
      <c r="AN277" s="308">
        <f>Tabla14[[#This Row],[Valor Precorte Pesona Precorte]]*Tabla14[[#This Row],[Perzonas Precorte]]</f>
        <v>0</v>
      </c>
      <c r="AO277" s="287">
        <f>Tabla14[[#This Row],[Cajas por Personas2]]</f>
        <v>25.761904761904763</v>
      </c>
      <c r="AP277" s="288">
        <f>Tabla14[[#This Row],[Valor Embarque Pesona]]</f>
        <v>46371.428571428572</v>
      </c>
      <c r="AQ277" s="295">
        <f>Tabla14[[#This Row],[Personas Precorte2]]</f>
        <v>21</v>
      </c>
      <c r="AR277" s="296">
        <f>Tabla14[[#This Row],[Valor Embarque Pesona3]]*Tabla14[[#This Row],[Perzona Primera]]</f>
        <v>973800</v>
      </c>
      <c r="AS277" s="287">
        <f>Tabla14[[#This Row],[Columna2]]</f>
        <v>0</v>
      </c>
      <c r="AT277" s="288">
        <f>Tabla14[[#This Row],[Columna1]]</f>
        <v>0</v>
      </c>
      <c r="AU277" s="302">
        <f>Tabla14[[#This Row],[Personas Intervienen]]</f>
        <v>0</v>
      </c>
      <c r="AV277" s="297">
        <f>Tabla14[[#This Row],[Valor Embarque Pesona5]]*Tabla14[[#This Row],[Presonas Segunda]]</f>
        <v>0</v>
      </c>
      <c r="AW277" s="287">
        <f>Tabla14[[#This Row],[Bolsas Por Personas]]</f>
        <v>3.2818666666666667</v>
      </c>
      <c r="AX277" s="288">
        <f>Tabla14[[#This Row],[Valor bolsas Pesona]]</f>
        <v>1887.0733333333333</v>
      </c>
      <c r="AY277" s="309">
        <f>Tabla14[[#This Row],[Personas13]]</f>
        <v>21</v>
      </c>
      <c r="AZ277" s="310">
        <f>Tabla14[[#This Row],[Valor bolsas Pesona2]]*Tabla14[[#This Row],[Personas Rechazo]]</f>
        <v>39628.54</v>
      </c>
      <c r="BA277" s="311">
        <f>+Tabla14[[#This Row],[Total Valor Segunda]]+Tabla14[[#This Row],[Total Valor Primera]]+Tabla14[[#This Row],[Total Valor Precorte]]</f>
        <v>973800</v>
      </c>
      <c r="BB277" s="470">
        <f>Tabla14[[#This Row],[Valor bolsas Pesona2]]+Tabla14[[#This Row],[Valor Embarque Pesona3]]</f>
        <v>48258.501904761906</v>
      </c>
      <c r="BC277" s="471">
        <v>52325</v>
      </c>
      <c r="BD277" s="470">
        <f>Tabla14[[#This Row],[VALOR GANADO]]-Tabla14[[#This Row],[REAJUSTADO]]</f>
        <v>-4066.4980952380938</v>
      </c>
      <c r="BE277" s="250">
        <f>Tabla14[[#This Row],[CUANTO SE REAJUSTA]]*Tabla14[[#This Row],[Personas Rechazo]]</f>
        <v>-85396.459999999963</v>
      </c>
      <c r="BF277" s="250">
        <f>Tabla14[[#This Row],[REAJUSTADO]]/25000</f>
        <v>2.093</v>
      </c>
      <c r="BG277" s="302">
        <f>Tabla14[[#This Row],[REAJUSTADO]]*Tabla14[[#This Row],[Personas Rechazo]]</f>
        <v>1098825</v>
      </c>
      <c r="BH277" s="292" t="str">
        <f>Tabla14[[#This Row],[Finca]]</f>
        <v>San Pedro</v>
      </c>
      <c r="BJ277" s="332">
        <f>Tabla14[[#This Row],[Numero de Ocacionales]]*Tabla14[[#This Row],[REAJUSTADO]]</f>
        <v>0</v>
      </c>
      <c r="BK277" s="332"/>
      <c r="BL277" s="332"/>
      <c r="BM277" s="332">
        <f>+Tabla14[[#This Row],[CUANTO SE REAJUSTA]]*3</f>
        <v>-12199.494285714281</v>
      </c>
    </row>
    <row r="278" spans="3:65" x14ac:dyDescent="0.25">
      <c r="C278" s="274">
        <v>44943</v>
      </c>
      <c r="D278" s="507">
        <f>YEAR(Tabla14[[#This Row],[Fecha]])</f>
        <v>2023</v>
      </c>
      <c r="E278" s="313">
        <f>IF(Tabla14[[#This Row],[Fecha]]&gt;0,_xlfn.ISOWEEKNUM(Tabla14[[#This Row],[Fecha]]),0)</f>
        <v>3</v>
      </c>
      <c r="F278" s="283">
        <v>39</v>
      </c>
      <c r="G278" s="275" t="s">
        <v>249</v>
      </c>
      <c r="H278" s="325" t="str">
        <f>_xlfn.XLOOKUP(Tabla14[[#This Row],[Codigo Finca]],Tabla4[Codigo Finca],Tabla4[Nombre Finca],"")</f>
        <v>San Pedro</v>
      </c>
      <c r="I278" s="277">
        <f>_xlfn.XLOOKUP(Tabla14[[#This Row],[Codigo Finca]],Tabla4[Codigo Finca],Tabla4[Precio Caja],0)</f>
        <v>2000</v>
      </c>
      <c r="J278" s="277">
        <f>_xlfn.XLOOKUP(Tabla14[[#This Row],[Codigo Finca]],Tabla4[Codigo Finca],Tabla4[Precio Caja Segunda],0)</f>
        <v>1150</v>
      </c>
      <c r="K278" s="277">
        <f>_xlfn.XLOOKUP(Tabla14[[#This Row],[Codigo Finca]],Tabla4[Codigo Finca],Tabla4[Precio Rechazo],0)</f>
        <v>675</v>
      </c>
      <c r="L278" s="277">
        <f t="shared" si="400"/>
        <v>122</v>
      </c>
      <c r="M278" s="278">
        <f t="shared" si="401"/>
        <v>3.1282051282051282</v>
      </c>
      <c r="N278" s="283"/>
      <c r="O278" s="279"/>
      <c r="P278" s="280">
        <f t="shared" si="402"/>
        <v>0</v>
      </c>
      <c r="Q278" s="281">
        <f t="shared" si="403"/>
        <v>0</v>
      </c>
      <c r="R278" s="282">
        <f t="shared" si="404"/>
        <v>0</v>
      </c>
      <c r="S278" s="283">
        <v>122</v>
      </c>
      <c r="T278" s="275">
        <v>20</v>
      </c>
      <c r="U278" s="280">
        <f t="shared" si="405"/>
        <v>39</v>
      </c>
      <c r="V278" s="281">
        <f t="shared" si="406"/>
        <v>1.95</v>
      </c>
      <c r="W278" s="282">
        <f t="shared" si="407"/>
        <v>3900</v>
      </c>
      <c r="X278" s="283"/>
      <c r="Y278" s="275"/>
      <c r="Z278" s="280">
        <f>Tabla14[[#This Row],[Cajas Segunda]]</f>
        <v>0</v>
      </c>
      <c r="AA278" s="281">
        <f t="shared" si="408"/>
        <v>0</v>
      </c>
      <c r="AB278" s="284">
        <f t="shared" si="409"/>
        <v>0</v>
      </c>
      <c r="AC278" s="285"/>
      <c r="AD278" s="286">
        <v>124.02</v>
      </c>
      <c r="AE278" s="286"/>
      <c r="AF278" s="286"/>
      <c r="AG278" s="286">
        <v>20</v>
      </c>
      <c r="AH278" s="280">
        <f t="shared" si="410"/>
        <v>4.9607999999999999</v>
      </c>
      <c r="AI278" s="281">
        <f t="shared" si="411"/>
        <v>0.24803999999999998</v>
      </c>
      <c r="AJ278" s="282">
        <f t="shared" si="412"/>
        <v>167.42699999999999</v>
      </c>
      <c r="AK278" s="287">
        <f>Tabla14[[#This Row],[Cajas por Personas]]</f>
        <v>0</v>
      </c>
      <c r="AL278" s="288">
        <f>Tabla14[[#This Row],[Valor Precorte Pesona]]</f>
        <v>0</v>
      </c>
      <c r="AM278" s="294">
        <f>Tabla14[[#This Row],[Personas Precorte]]</f>
        <v>0</v>
      </c>
      <c r="AN278" s="308">
        <f>Tabla14[[#This Row],[Valor Precorte Pesona Precorte]]*Tabla14[[#This Row],[Perzonas Precorte]]</f>
        <v>0</v>
      </c>
      <c r="AO278" s="287">
        <f>Tabla14[[#This Row],[Cajas por Personas2]]</f>
        <v>1.95</v>
      </c>
      <c r="AP278" s="288">
        <f>Tabla14[[#This Row],[Valor Embarque Pesona]]</f>
        <v>3900</v>
      </c>
      <c r="AQ278" s="295">
        <f>Tabla14[[#This Row],[Personas Precorte2]]</f>
        <v>20</v>
      </c>
      <c r="AR278" s="296">
        <f>Tabla14[[#This Row],[Valor Embarque Pesona3]]*Tabla14[[#This Row],[Perzona Primera]]</f>
        <v>78000</v>
      </c>
      <c r="AS278" s="287">
        <f>Tabla14[[#This Row],[Columna2]]</f>
        <v>0</v>
      </c>
      <c r="AT278" s="288">
        <f>Tabla14[[#This Row],[Columna1]]</f>
        <v>0</v>
      </c>
      <c r="AU278" s="302">
        <f>Tabla14[[#This Row],[Personas Intervienen]]</f>
        <v>0</v>
      </c>
      <c r="AV278" s="297">
        <f>Tabla14[[#This Row],[Valor Embarque Pesona5]]*Tabla14[[#This Row],[Presonas Segunda]]</f>
        <v>0</v>
      </c>
      <c r="AW278" s="287">
        <f>Tabla14[[#This Row],[Bolsas Por Personas]]</f>
        <v>0.24803999999999998</v>
      </c>
      <c r="AX278" s="288">
        <f>Tabla14[[#This Row],[Valor bolsas Pesona]]</f>
        <v>167.42699999999999</v>
      </c>
      <c r="AY278" s="309">
        <f>Tabla14[[#This Row],[Personas13]]</f>
        <v>20</v>
      </c>
      <c r="AZ278" s="310">
        <f>Tabla14[[#This Row],[Valor bolsas Pesona2]]*Tabla14[[#This Row],[Personas Rechazo]]</f>
        <v>3348.54</v>
      </c>
      <c r="BA278" s="311">
        <f>+Tabla14[[#This Row],[Total Valor Segunda]]+Tabla14[[#This Row],[Total Valor Primera]]+Tabla14[[#This Row],[Total Valor Precorte]]</f>
        <v>78000</v>
      </c>
      <c r="BB278" s="470">
        <f>Tabla14[[#This Row],[Valor bolsas Pesona2]]+Tabla14[[#This Row],[Valor Embarque Pesona3]]</f>
        <v>4067.4270000000001</v>
      </c>
      <c r="BC278" s="471"/>
      <c r="BD278" s="470">
        <f>Tabla14[[#This Row],[VALOR GANADO]]-Tabla14[[#This Row],[REAJUSTADO]]</f>
        <v>4067.4270000000001</v>
      </c>
      <c r="BE278" s="250">
        <f>Tabla14[[#This Row],[CUANTO SE REAJUSTA]]*Tabla14[[#This Row],[Personas Rechazo]]</f>
        <v>81348.540000000008</v>
      </c>
      <c r="BF278" s="250">
        <f>Tabla14[[#This Row],[REAJUSTADO]]/25000</f>
        <v>0</v>
      </c>
      <c r="BG278" s="302">
        <f>Tabla14[[#This Row],[REAJUSTADO]]*Tabla14[[#This Row],[Personas Rechazo]]</f>
        <v>0</v>
      </c>
      <c r="BH278" s="292" t="str">
        <f>Tabla14[[#This Row],[Finca]]</f>
        <v>San Pedro</v>
      </c>
      <c r="BJ278" s="332">
        <f>Tabla14[[#This Row],[Numero de Ocacionales]]*Tabla14[[#This Row],[REAJUSTADO]]</f>
        <v>0</v>
      </c>
      <c r="BK278" s="332"/>
      <c r="BL278" s="332"/>
      <c r="BM278" s="332">
        <f>+Tabla14[[#This Row],[CUANTO SE REAJUSTA]]*3</f>
        <v>12202.281000000001</v>
      </c>
    </row>
    <row r="279" spans="3:65" x14ac:dyDescent="0.25">
      <c r="C279" s="274">
        <v>44944</v>
      </c>
      <c r="D279" s="507">
        <f>YEAR(Tabla14[[#This Row],[Fecha]])</f>
        <v>2023</v>
      </c>
      <c r="E279" s="313">
        <f>IF(Tabla14[[#This Row],[Fecha]]&gt;0,_xlfn.ISOWEEKNUM(Tabla14[[#This Row],[Fecha]]),0)</f>
        <v>3</v>
      </c>
      <c r="F279" s="283">
        <v>210</v>
      </c>
      <c r="G279" s="275" t="s">
        <v>251</v>
      </c>
      <c r="H279" s="325" t="str">
        <f>_xlfn.XLOOKUP(Tabla14[[#This Row],[Codigo Finca]],Tabla4[Codigo Finca],Tabla4[Nombre Finca],"")</f>
        <v>Pedrito</v>
      </c>
      <c r="I279" s="277">
        <f>_xlfn.XLOOKUP(Tabla14[[#This Row],[Codigo Finca]],Tabla4[Codigo Finca],Tabla4[Precio Caja],0)</f>
        <v>1800</v>
      </c>
      <c r="J279" s="277">
        <f>_xlfn.XLOOKUP(Tabla14[[#This Row],[Codigo Finca]],Tabla4[Codigo Finca],Tabla4[Precio Caja Segunda],0)</f>
        <v>1150</v>
      </c>
      <c r="K279" s="277">
        <f>_xlfn.XLOOKUP(Tabla14[[#This Row],[Codigo Finca]],Tabla4[Codigo Finca],Tabla4[Precio Rechazo],0)</f>
        <v>575</v>
      </c>
      <c r="L279" s="277">
        <f t="shared" si="400"/>
        <v>1012</v>
      </c>
      <c r="M279" s="278">
        <f t="shared" si="401"/>
        <v>4.8190476190476188</v>
      </c>
      <c r="N279" s="283"/>
      <c r="O279" s="279"/>
      <c r="P279" s="280">
        <f t="shared" si="402"/>
        <v>0</v>
      </c>
      <c r="Q279" s="281">
        <f t="shared" si="403"/>
        <v>0</v>
      </c>
      <c r="R279" s="282">
        <f t="shared" si="404"/>
        <v>0</v>
      </c>
      <c r="S279" s="283">
        <v>1012</v>
      </c>
      <c r="T279" s="275">
        <v>13</v>
      </c>
      <c r="U279" s="280">
        <f t="shared" si="405"/>
        <v>210</v>
      </c>
      <c r="V279" s="281">
        <f t="shared" si="406"/>
        <v>16.153846153846153</v>
      </c>
      <c r="W279" s="282">
        <f t="shared" si="407"/>
        <v>29076.923076923078</v>
      </c>
      <c r="X279" s="283"/>
      <c r="Y279" s="275"/>
      <c r="Z279" s="280">
        <f>Tabla14[[#This Row],[Cajas Segunda]]</f>
        <v>0</v>
      </c>
      <c r="AA279" s="281">
        <f t="shared" si="408"/>
        <v>0</v>
      </c>
      <c r="AB279" s="284">
        <f t="shared" si="409"/>
        <v>0</v>
      </c>
      <c r="AC279" s="285"/>
      <c r="AD279" s="286">
        <f>1998+167</f>
        <v>2165</v>
      </c>
      <c r="AE279" s="286"/>
      <c r="AF279" s="286"/>
      <c r="AG279" s="286">
        <v>13</v>
      </c>
      <c r="AH279" s="280">
        <f t="shared" si="410"/>
        <v>86.6</v>
      </c>
      <c r="AI279" s="281">
        <f t="shared" si="411"/>
        <v>6.661538461538461</v>
      </c>
      <c r="AJ279" s="282">
        <f t="shared" si="412"/>
        <v>3830.3846153846152</v>
      </c>
      <c r="AK279" s="287">
        <f>Tabla14[[#This Row],[Cajas por Personas]]</f>
        <v>0</v>
      </c>
      <c r="AL279" s="288">
        <f>Tabla14[[#This Row],[Valor Precorte Pesona]]</f>
        <v>0</v>
      </c>
      <c r="AM279" s="294">
        <f>Tabla14[[#This Row],[Personas Precorte]]</f>
        <v>0</v>
      </c>
      <c r="AN279" s="308">
        <f>Tabla14[[#This Row],[Valor Precorte Pesona Precorte]]*Tabla14[[#This Row],[Perzonas Precorte]]</f>
        <v>0</v>
      </c>
      <c r="AO279" s="287">
        <f>Tabla14[[#This Row],[Cajas por Personas2]]</f>
        <v>16.153846153846153</v>
      </c>
      <c r="AP279" s="288">
        <f>Tabla14[[#This Row],[Valor Embarque Pesona]]</f>
        <v>29076.923076923078</v>
      </c>
      <c r="AQ279" s="295">
        <f>Tabla14[[#This Row],[Personas Precorte2]]</f>
        <v>13</v>
      </c>
      <c r="AR279" s="296">
        <f>Tabla14[[#This Row],[Valor Embarque Pesona3]]*Tabla14[[#This Row],[Perzona Primera]]</f>
        <v>378000</v>
      </c>
      <c r="AS279" s="287">
        <f>Tabla14[[#This Row],[Columna2]]</f>
        <v>0</v>
      </c>
      <c r="AT279" s="288">
        <f>Tabla14[[#This Row],[Columna1]]</f>
        <v>0</v>
      </c>
      <c r="AU279" s="302">
        <f>Tabla14[[#This Row],[Personas Intervienen]]</f>
        <v>0</v>
      </c>
      <c r="AV279" s="297">
        <f>Tabla14[[#This Row],[Valor Embarque Pesona5]]*Tabla14[[#This Row],[Presonas Segunda]]</f>
        <v>0</v>
      </c>
      <c r="AW279" s="287">
        <f>Tabla14[[#This Row],[Bolsas Por Personas]]</f>
        <v>6.661538461538461</v>
      </c>
      <c r="AX279" s="288">
        <f>Tabla14[[#This Row],[Valor bolsas Pesona]]</f>
        <v>3830.3846153846152</v>
      </c>
      <c r="AY279" s="309">
        <f>Tabla14[[#This Row],[Personas13]]</f>
        <v>13</v>
      </c>
      <c r="AZ279" s="310">
        <f>Tabla14[[#This Row],[Valor bolsas Pesona2]]*Tabla14[[#This Row],[Personas Rechazo]]</f>
        <v>49795</v>
      </c>
      <c r="BA279" s="311">
        <f>+Tabla14[[#This Row],[Total Valor Segunda]]+Tabla14[[#This Row],[Total Valor Primera]]+Tabla14[[#This Row],[Total Valor Precorte]]</f>
        <v>378000</v>
      </c>
      <c r="BB279" s="292">
        <f>Tabla14[[#This Row],[Valor bolsas Pesona2]]+Tabla14[[#This Row],[Valor Embarque Pesona3]]</f>
        <v>32907.307692307695</v>
      </c>
      <c r="BC279" s="332">
        <v>33000</v>
      </c>
      <c r="BD279" s="292">
        <f>Tabla14[[#This Row],[VALOR GANADO]]-Tabla14[[#This Row],[REAJUSTADO]]</f>
        <v>-92.692307692304894</v>
      </c>
      <c r="BE279" s="250">
        <f>Tabla14[[#This Row],[CUANTO SE REAJUSTA]]*Tabla14[[#This Row],[Personas Rechazo]]</f>
        <v>-1204.9999999999636</v>
      </c>
      <c r="BF279" s="250">
        <f>Tabla14[[#This Row],[REAJUSTADO]]/25000</f>
        <v>1.32</v>
      </c>
      <c r="BG279" s="302">
        <f>Tabla14[[#This Row],[REAJUSTADO]]*Tabla14[[#This Row],[Personas Rechazo]]</f>
        <v>429000</v>
      </c>
      <c r="BH279" s="292" t="str">
        <f>Tabla14[[#This Row],[Finca]]</f>
        <v>Pedrito</v>
      </c>
      <c r="BJ279" s="332">
        <f>Tabla14[[#This Row],[Numero de Ocacionales]]*Tabla14[[#This Row],[REAJUSTADO]]</f>
        <v>0</v>
      </c>
      <c r="BK279" s="332"/>
      <c r="BL279" s="332"/>
      <c r="BM279" s="332">
        <f>+Tabla14[[#This Row],[CUANTO SE REAJUSTA]]*3</f>
        <v>-278.07692307691468</v>
      </c>
    </row>
    <row r="280" spans="3:65" x14ac:dyDescent="0.25">
      <c r="C280" s="274">
        <v>44944</v>
      </c>
      <c r="D280" s="507">
        <f>YEAR(Tabla14[[#This Row],[Fecha]])</f>
        <v>2023</v>
      </c>
      <c r="E280" s="313">
        <f>IF(Tabla14[[#This Row],[Fecha]]&gt;0,_xlfn.ISOWEEKNUM(Tabla14[[#This Row],[Fecha]]),0)</f>
        <v>3</v>
      </c>
      <c r="F280" s="283">
        <v>41</v>
      </c>
      <c r="G280" s="275" t="s">
        <v>248</v>
      </c>
      <c r="H280" s="325" t="str">
        <f>_xlfn.XLOOKUP(Tabla14[[#This Row],[Codigo Finca]],Tabla4[Codigo Finca],Tabla4[Nombre Finca],"")</f>
        <v>Damaquiel</v>
      </c>
      <c r="I280" s="277">
        <f>_xlfn.XLOOKUP(Tabla14[[#This Row],[Codigo Finca]],Tabla4[Codigo Finca],Tabla4[Precio Caja],0)</f>
        <v>1800</v>
      </c>
      <c r="J280" s="277">
        <f>_xlfn.XLOOKUP(Tabla14[[#This Row],[Codigo Finca]],Tabla4[Codigo Finca],Tabla4[Precio Caja Segunda],0)</f>
        <v>1150</v>
      </c>
      <c r="K280" s="277">
        <f>_xlfn.XLOOKUP(Tabla14[[#This Row],[Codigo Finca]],Tabla4[Codigo Finca],Tabla4[Precio Rechazo],0)</f>
        <v>575</v>
      </c>
      <c r="L280" s="277">
        <f t="shared" si="400"/>
        <v>265</v>
      </c>
      <c r="M280" s="278">
        <f t="shared" si="401"/>
        <v>6.4634146341463419</v>
      </c>
      <c r="N280" s="283"/>
      <c r="O280" s="279"/>
      <c r="P280" s="280">
        <f t="shared" si="402"/>
        <v>0</v>
      </c>
      <c r="Q280" s="281">
        <f t="shared" si="403"/>
        <v>0</v>
      </c>
      <c r="R280" s="282">
        <f t="shared" si="404"/>
        <v>0</v>
      </c>
      <c r="S280" s="283">
        <v>265</v>
      </c>
      <c r="T280" s="275">
        <v>6</v>
      </c>
      <c r="U280" s="280">
        <f t="shared" si="405"/>
        <v>41</v>
      </c>
      <c r="V280" s="281">
        <f t="shared" si="406"/>
        <v>6.833333333333333</v>
      </c>
      <c r="W280" s="282">
        <f t="shared" si="407"/>
        <v>12300</v>
      </c>
      <c r="X280" s="283"/>
      <c r="Y280" s="275"/>
      <c r="Z280" s="280">
        <f>Tabla14[[#This Row],[Cajas Segunda]]</f>
        <v>0</v>
      </c>
      <c r="AA280" s="281">
        <f t="shared" si="408"/>
        <v>0</v>
      </c>
      <c r="AB280" s="284">
        <f t="shared" si="409"/>
        <v>0</v>
      </c>
      <c r="AC280" s="285"/>
      <c r="AD280" s="286">
        <v>263</v>
      </c>
      <c r="AE280" s="286"/>
      <c r="AF280" s="286"/>
      <c r="AG280" s="286">
        <v>6</v>
      </c>
      <c r="AH280" s="280">
        <f t="shared" si="410"/>
        <v>10.52</v>
      </c>
      <c r="AI280" s="281">
        <f t="shared" si="411"/>
        <v>1.7533333333333332</v>
      </c>
      <c r="AJ280" s="282">
        <f t="shared" si="412"/>
        <v>1008.1666666666666</v>
      </c>
      <c r="AK280" s="287">
        <f>Tabla14[[#This Row],[Cajas por Personas]]</f>
        <v>0</v>
      </c>
      <c r="AL280" s="288">
        <f>Tabla14[[#This Row],[Valor Precorte Pesona]]</f>
        <v>0</v>
      </c>
      <c r="AM280" s="294">
        <f>Tabla14[[#This Row],[Personas Precorte]]</f>
        <v>0</v>
      </c>
      <c r="AN280" s="308">
        <f>Tabla14[[#This Row],[Valor Precorte Pesona Precorte]]*Tabla14[[#This Row],[Perzonas Precorte]]</f>
        <v>0</v>
      </c>
      <c r="AO280" s="287">
        <f>Tabla14[[#This Row],[Cajas por Personas2]]</f>
        <v>6.833333333333333</v>
      </c>
      <c r="AP280" s="288">
        <f>Tabla14[[#This Row],[Valor Embarque Pesona]]</f>
        <v>12300</v>
      </c>
      <c r="AQ280" s="295">
        <f>Tabla14[[#This Row],[Personas Precorte2]]</f>
        <v>6</v>
      </c>
      <c r="AR280" s="296">
        <f>Tabla14[[#This Row],[Valor Embarque Pesona3]]*Tabla14[[#This Row],[Perzona Primera]]</f>
        <v>73800</v>
      </c>
      <c r="AS280" s="287">
        <f>Tabla14[[#This Row],[Columna2]]</f>
        <v>0</v>
      </c>
      <c r="AT280" s="288">
        <f>Tabla14[[#This Row],[Columna1]]</f>
        <v>0</v>
      </c>
      <c r="AU280" s="302">
        <f>Tabla14[[#This Row],[Personas Intervienen]]</f>
        <v>0</v>
      </c>
      <c r="AV280" s="297">
        <f>Tabla14[[#This Row],[Valor Embarque Pesona5]]*Tabla14[[#This Row],[Presonas Segunda]]</f>
        <v>0</v>
      </c>
      <c r="AW280" s="287">
        <f>Tabla14[[#This Row],[Bolsas Por Personas]]</f>
        <v>1.7533333333333332</v>
      </c>
      <c r="AX280" s="288">
        <f>Tabla14[[#This Row],[Valor bolsas Pesona]]</f>
        <v>1008.1666666666666</v>
      </c>
      <c r="AY280" s="309">
        <f>Tabla14[[#This Row],[Personas13]]</f>
        <v>6</v>
      </c>
      <c r="AZ280" s="310">
        <f>Tabla14[[#This Row],[Valor bolsas Pesona2]]*Tabla14[[#This Row],[Personas Rechazo]]</f>
        <v>6049</v>
      </c>
      <c r="BA280" s="311">
        <f>+Tabla14[[#This Row],[Total Valor Segunda]]+Tabla14[[#This Row],[Total Valor Primera]]+Tabla14[[#This Row],[Total Valor Precorte]]</f>
        <v>73800</v>
      </c>
      <c r="BB280" s="292">
        <f>Tabla14[[#This Row],[Valor bolsas Pesona2]]+Tabla14[[#This Row],[Valor Embarque Pesona3]]</f>
        <v>13308.166666666666</v>
      </c>
      <c r="BC280" s="332">
        <v>30000</v>
      </c>
      <c r="BD280" s="292">
        <f>Tabla14[[#This Row],[VALOR GANADO]]-Tabla14[[#This Row],[REAJUSTADO]]</f>
        <v>-16691.833333333336</v>
      </c>
      <c r="BE280" s="250">
        <f>Tabla14[[#This Row],[CUANTO SE REAJUSTA]]*Tabla14[[#This Row],[Personas Rechazo]]</f>
        <v>-100151.00000000001</v>
      </c>
      <c r="BF280" s="250">
        <f>Tabla14[[#This Row],[REAJUSTADO]]/25000</f>
        <v>1.2</v>
      </c>
      <c r="BG280" s="302">
        <f>Tabla14[[#This Row],[REAJUSTADO]]*Tabla14[[#This Row],[Personas Rechazo]]</f>
        <v>180000</v>
      </c>
      <c r="BH280" s="292" t="str">
        <f>Tabla14[[#This Row],[Finca]]</f>
        <v>Damaquiel</v>
      </c>
      <c r="BJ280" s="332">
        <f>Tabla14[[#This Row],[Numero de Ocacionales]]*Tabla14[[#This Row],[REAJUSTADO]]</f>
        <v>0</v>
      </c>
      <c r="BK280" s="332"/>
      <c r="BL280" s="332"/>
      <c r="BM280" s="332">
        <f>+Tabla14[[#This Row],[CUANTO SE REAJUSTA]]*3</f>
        <v>-50075.500000000007</v>
      </c>
    </row>
    <row r="281" spans="3:65" x14ac:dyDescent="0.25">
      <c r="C281" s="274">
        <v>44950</v>
      </c>
      <c r="D281" s="507">
        <f>YEAR(Tabla14[[#This Row],[Fecha]])</f>
        <v>2023</v>
      </c>
      <c r="E281" s="495">
        <f>IF(Tabla14[[#This Row],[Fecha]]&gt;0,_xlfn.ISOWEEKNUM(Tabla14[[#This Row],[Fecha]]),0)</f>
        <v>4</v>
      </c>
      <c r="F281" s="283">
        <f>221+17+96+143</f>
        <v>477</v>
      </c>
      <c r="G281" s="275" t="s">
        <v>250</v>
      </c>
      <c r="H281" s="325" t="str">
        <f>_xlfn.XLOOKUP(Tabla14[[#This Row],[Codigo Finca]],Tabla4[Codigo Finca],Tabla4[Nombre Finca],"")</f>
        <v>San Pedro</v>
      </c>
      <c r="I281" s="277">
        <f>_xlfn.XLOOKUP(Tabla14[[#This Row],[Codigo Finca]],Tabla4[Codigo Finca],Tabla4[Precio Caja],0)</f>
        <v>1800</v>
      </c>
      <c r="J281" s="277">
        <f>_xlfn.XLOOKUP(Tabla14[[#This Row],[Codigo Finca]],Tabla4[Codigo Finca],Tabla4[Precio Caja Segunda],0)</f>
        <v>1150</v>
      </c>
      <c r="K281" s="277">
        <f>_xlfn.XLOOKUP(Tabla14[[#This Row],[Codigo Finca]],Tabla4[Codigo Finca],Tabla4[Precio Rechazo],0)</f>
        <v>575</v>
      </c>
      <c r="L281" s="277">
        <f t="shared" si="400"/>
        <v>1400</v>
      </c>
      <c r="M281" s="278">
        <f t="shared" si="401"/>
        <v>2.9350104821802936</v>
      </c>
      <c r="N281" s="283"/>
      <c r="O281" s="279"/>
      <c r="P281" s="280">
        <f t="shared" si="402"/>
        <v>0</v>
      </c>
      <c r="Q281" s="281">
        <f t="shared" si="403"/>
        <v>0</v>
      </c>
      <c r="R281" s="282">
        <f t="shared" si="404"/>
        <v>0</v>
      </c>
      <c r="S281" s="283">
        <f>1485-85</f>
        <v>1400</v>
      </c>
      <c r="T281" s="275">
        <v>21</v>
      </c>
      <c r="U281" s="280">
        <f t="shared" si="405"/>
        <v>477</v>
      </c>
      <c r="V281" s="281">
        <f t="shared" si="406"/>
        <v>22.714285714285715</v>
      </c>
      <c r="W281" s="282">
        <f t="shared" si="407"/>
        <v>40885.714285714283</v>
      </c>
      <c r="X281" s="283"/>
      <c r="Y281" s="275"/>
      <c r="Z281" s="280">
        <f>Tabla14[[#This Row],[Cajas Segunda]]</f>
        <v>0</v>
      </c>
      <c r="AA281" s="281">
        <f t="shared" si="408"/>
        <v>0</v>
      </c>
      <c r="AB281" s="284">
        <f t="shared" si="409"/>
        <v>0</v>
      </c>
      <c r="AC281" s="285"/>
      <c r="AD281" s="286">
        <f>1356-121.26</f>
        <v>1234.74</v>
      </c>
      <c r="AE281" s="286"/>
      <c r="AF281" s="286"/>
      <c r="AG281" s="286">
        <v>21</v>
      </c>
      <c r="AH281" s="280">
        <f t="shared" si="410"/>
        <v>49.389600000000002</v>
      </c>
      <c r="AI281" s="281">
        <f t="shared" si="411"/>
        <v>2.3518857142857144</v>
      </c>
      <c r="AJ281" s="282">
        <f t="shared" si="412"/>
        <v>1352.3342857142857</v>
      </c>
      <c r="AK281" s="287">
        <f>Tabla14[[#This Row],[Cajas por Personas]]</f>
        <v>0</v>
      </c>
      <c r="AL281" s="288">
        <f>Tabla14[[#This Row],[Valor Precorte Pesona]]</f>
        <v>0</v>
      </c>
      <c r="AM281" s="294">
        <f>Tabla14[[#This Row],[Personas Precorte]]</f>
        <v>0</v>
      </c>
      <c r="AN281" s="308">
        <f>Tabla14[[#This Row],[Valor Precorte Pesona Precorte]]*Tabla14[[#This Row],[Perzonas Precorte]]</f>
        <v>0</v>
      </c>
      <c r="AO281" s="287">
        <f>Tabla14[[#This Row],[Cajas por Personas2]]</f>
        <v>22.714285714285715</v>
      </c>
      <c r="AP281" s="288">
        <f>Tabla14[[#This Row],[Valor Embarque Pesona]]</f>
        <v>40885.714285714283</v>
      </c>
      <c r="AQ281" s="295">
        <f>Tabla14[[#This Row],[Personas Precorte2]]</f>
        <v>21</v>
      </c>
      <c r="AR281" s="296">
        <f>Tabla14[[#This Row],[Valor Embarque Pesona3]]*Tabla14[[#This Row],[Perzona Primera]]</f>
        <v>858599.99999999988</v>
      </c>
      <c r="AS281" s="287">
        <f>Tabla14[[#This Row],[Columna2]]</f>
        <v>0</v>
      </c>
      <c r="AT281" s="288">
        <f>Tabla14[[#This Row],[Columna1]]</f>
        <v>0</v>
      </c>
      <c r="AU281" s="302">
        <f>Tabla14[[#This Row],[Personas Intervienen]]</f>
        <v>0</v>
      </c>
      <c r="AV281" s="297">
        <f>Tabla14[[#This Row],[Valor Embarque Pesona5]]*Tabla14[[#This Row],[Presonas Segunda]]</f>
        <v>0</v>
      </c>
      <c r="AW281" s="287">
        <f>Tabla14[[#This Row],[Bolsas Por Personas]]</f>
        <v>2.3518857142857144</v>
      </c>
      <c r="AX281" s="288">
        <f>Tabla14[[#This Row],[Valor bolsas Pesona]]</f>
        <v>1352.3342857142857</v>
      </c>
      <c r="AY281" s="309">
        <f>Tabla14[[#This Row],[Personas13]]</f>
        <v>21</v>
      </c>
      <c r="AZ281" s="310">
        <f>Tabla14[[#This Row],[Valor bolsas Pesona2]]*Tabla14[[#This Row],[Personas Rechazo]]</f>
        <v>28399.02</v>
      </c>
      <c r="BA281" s="311">
        <f>+Tabla14[[#This Row],[Total Valor Segunda]]+Tabla14[[#This Row],[Total Valor Primera]]+Tabla14[[#This Row],[Total Valor Precorte]]</f>
        <v>858599.99999999988</v>
      </c>
      <c r="BB281" s="470">
        <f>Tabla14[[#This Row],[Valor bolsas Pesona2]]+Tabla14[[#This Row],[Valor Embarque Pesona3]]</f>
        <v>42238.048571428568</v>
      </c>
      <c r="BC281" s="471">
        <v>46900</v>
      </c>
      <c r="BD281" s="470">
        <f>Tabla14[[#This Row],[VALOR GANADO]]-Tabla14[[#This Row],[REAJUSTADO]]</f>
        <v>-4661.9514285714322</v>
      </c>
      <c r="BE281" s="250">
        <f>Tabla14[[#This Row],[CUANTO SE REAJUSTA]]*Tabla14[[#This Row],[Personas Rechazo]]</f>
        <v>-97900.980000000069</v>
      </c>
      <c r="BF281" s="250">
        <f>Tabla14[[#This Row],[REAJUSTADO]]/25000</f>
        <v>1.8759999999999999</v>
      </c>
      <c r="BG281" s="302">
        <f>Tabla14[[#This Row],[REAJUSTADO]]*Tabla14[[#This Row],[Personas Rechazo]]</f>
        <v>984900</v>
      </c>
      <c r="BH281" s="292" t="str">
        <f>Tabla14[[#This Row],[Finca]]</f>
        <v>San Pedro</v>
      </c>
      <c r="BJ281" s="332">
        <f>Tabla14[[#This Row],[Numero de Ocacionales]]*Tabla14[[#This Row],[REAJUSTADO]]</f>
        <v>0</v>
      </c>
      <c r="BK281" s="332"/>
      <c r="BL281" s="332"/>
      <c r="BM281" s="332">
        <f>+Tabla14[[#This Row],[CUANTO SE REAJUSTA]]*3</f>
        <v>-13985.854285714297</v>
      </c>
    </row>
    <row r="282" spans="3:65" x14ac:dyDescent="0.25">
      <c r="C282" s="274">
        <v>44950</v>
      </c>
      <c r="D282" s="507">
        <f>YEAR(Tabla14[[#This Row],[Fecha]])</f>
        <v>2023</v>
      </c>
      <c r="E282" s="496">
        <f>IF(Tabla14[[#This Row],[Fecha]]&gt;0,_xlfn.ISOWEEKNUM(Tabla14[[#This Row],[Fecha]]),0)</f>
        <v>4</v>
      </c>
      <c r="F282" s="269">
        <v>47</v>
      </c>
      <c r="G282" s="268" t="s">
        <v>249</v>
      </c>
      <c r="H282" s="266" t="str">
        <f>_xlfn.XLOOKUP(Tabla14[[#This Row],[Codigo Finca]],Tabla4[Codigo Finca],Tabla4[Nombre Finca],"")</f>
        <v>San Pedro</v>
      </c>
      <c r="I282" s="262">
        <f>_xlfn.XLOOKUP(Tabla14[[#This Row],[Codigo Finca]],Tabla4[Codigo Finca],Tabla4[Precio Caja],0)</f>
        <v>2000</v>
      </c>
      <c r="J282" s="262">
        <f>_xlfn.XLOOKUP(Tabla14[[#This Row],[Codigo Finca]],Tabla4[Codigo Finca],Tabla4[Precio Caja Segunda],0)</f>
        <v>1150</v>
      </c>
      <c r="K282" s="262">
        <f>_xlfn.XLOOKUP(Tabla14[[#This Row],[Codigo Finca]],Tabla4[Codigo Finca],Tabla4[Precio Rechazo],0)</f>
        <v>675</v>
      </c>
      <c r="L282" s="262">
        <f t="shared" si="400"/>
        <v>85</v>
      </c>
      <c r="M282" s="272">
        <f t="shared" si="401"/>
        <v>1.8085106382978724</v>
      </c>
      <c r="N282" s="269"/>
      <c r="O282" s="270"/>
      <c r="P282" s="280">
        <f t="shared" si="402"/>
        <v>0</v>
      </c>
      <c r="Q282" s="263">
        <f t="shared" si="403"/>
        <v>0</v>
      </c>
      <c r="R282" s="322">
        <f t="shared" si="404"/>
        <v>0</v>
      </c>
      <c r="S282" s="269">
        <v>85</v>
      </c>
      <c r="T282" s="268">
        <v>21</v>
      </c>
      <c r="U282" s="251">
        <f t="shared" si="405"/>
        <v>47</v>
      </c>
      <c r="V282" s="263">
        <f t="shared" si="406"/>
        <v>2.2380952380952381</v>
      </c>
      <c r="W282" s="322">
        <f t="shared" si="407"/>
        <v>4476.1904761904761</v>
      </c>
      <c r="X282" s="269"/>
      <c r="Y282" s="268"/>
      <c r="Z282" s="251">
        <f>Tabla14[[#This Row],[Cajas Segunda]]</f>
        <v>0</v>
      </c>
      <c r="AA282" s="263">
        <f t="shared" si="408"/>
        <v>0</v>
      </c>
      <c r="AB282" s="265">
        <f t="shared" si="409"/>
        <v>0</v>
      </c>
      <c r="AC282" s="273"/>
      <c r="AD282" s="271">
        <v>121.26</v>
      </c>
      <c r="AE282" s="271"/>
      <c r="AF282" s="271"/>
      <c r="AG282" s="271">
        <v>21</v>
      </c>
      <c r="AH282" s="251">
        <f t="shared" si="410"/>
        <v>4.8504000000000005</v>
      </c>
      <c r="AI282" s="263">
        <f t="shared" si="411"/>
        <v>0.23097142857142861</v>
      </c>
      <c r="AJ282" s="322">
        <f t="shared" si="412"/>
        <v>155.90571428571431</v>
      </c>
      <c r="AK282" s="264">
        <f>Tabla14[[#This Row],[Cajas por Personas]]</f>
        <v>0</v>
      </c>
      <c r="AL282" s="267">
        <f>Tabla14[[#This Row],[Valor Precorte Pesona]]</f>
        <v>0</v>
      </c>
      <c r="AM282" s="294">
        <f>Tabla14[[#This Row],[Personas Precorte]]</f>
        <v>0</v>
      </c>
      <c r="AN282" s="308">
        <f>Tabla14[[#This Row],[Valor Precorte Pesona Precorte]]*Tabla14[[#This Row],[Perzonas Precorte]]</f>
        <v>0</v>
      </c>
      <c r="AO282" s="264">
        <f>Tabla14[[#This Row],[Cajas por Personas2]]</f>
        <v>2.2380952380952381</v>
      </c>
      <c r="AP282" s="267">
        <f>Tabla14[[#This Row],[Valor Embarque Pesona]]</f>
        <v>4476.1904761904761</v>
      </c>
      <c r="AQ282" s="295">
        <f>Tabla14[[#This Row],[Personas Precorte2]]</f>
        <v>21</v>
      </c>
      <c r="AR282" s="296">
        <f>Tabla14[[#This Row],[Valor Embarque Pesona3]]*Tabla14[[#This Row],[Perzona Primera]]</f>
        <v>94000</v>
      </c>
      <c r="AS282" s="264">
        <f>Tabla14[[#This Row],[Columna2]]</f>
        <v>0</v>
      </c>
      <c r="AT282" s="267">
        <f>Tabla14[[#This Row],[Columna1]]</f>
        <v>0</v>
      </c>
      <c r="AU282" s="302">
        <f>Tabla14[[#This Row],[Personas Intervienen]]</f>
        <v>0</v>
      </c>
      <c r="AV282" s="297">
        <f>Tabla14[[#This Row],[Valor Embarque Pesona5]]*Tabla14[[#This Row],[Presonas Segunda]]</f>
        <v>0</v>
      </c>
      <c r="AW282" s="264">
        <f>Tabla14[[#This Row],[Bolsas Por Personas]]</f>
        <v>0.23097142857142861</v>
      </c>
      <c r="AX282" s="267">
        <f>Tabla14[[#This Row],[Valor bolsas Pesona]]</f>
        <v>155.90571428571431</v>
      </c>
      <c r="AY282" s="290">
        <f>Tabla14[[#This Row],[Personas13]]</f>
        <v>21</v>
      </c>
      <c r="AZ282" s="323">
        <f>Tabla14[[#This Row],[Valor bolsas Pesona2]]*Tabla14[[#This Row],[Personas Rechazo]]</f>
        <v>3274.0200000000004</v>
      </c>
      <c r="BA282" s="324">
        <f>+Tabla14[[#This Row],[Total Valor Segunda]]+Tabla14[[#This Row],[Total Valor Primera]]+Tabla14[[#This Row],[Total Valor Precorte]]</f>
        <v>94000</v>
      </c>
      <c r="BB282" s="470">
        <f>Tabla14[[#This Row],[Valor bolsas Pesona2]]+Tabla14[[#This Row],[Valor Embarque Pesona3]]</f>
        <v>4632.0961904761907</v>
      </c>
      <c r="BC282" s="471"/>
      <c r="BD282" s="470">
        <f>Tabla14[[#This Row],[VALOR GANADO]]-Tabla14[[#This Row],[REAJUSTADO]]</f>
        <v>4632.0961904761907</v>
      </c>
      <c r="BE282" s="250">
        <f>Tabla14[[#This Row],[CUANTO SE REAJUSTA]]*Tabla14[[#This Row],[Personas Rechazo]]</f>
        <v>97274.02</v>
      </c>
      <c r="BF282" s="250">
        <f>Tabla14[[#This Row],[REAJUSTADO]]/25000</f>
        <v>0</v>
      </c>
      <c r="BG282" s="302">
        <f>Tabla14[[#This Row],[REAJUSTADO]]*Tabla14[[#This Row],[Personas Rechazo]]</f>
        <v>0</v>
      </c>
      <c r="BH282" s="292" t="str">
        <f>Tabla14[[#This Row],[Finca]]</f>
        <v>San Pedro</v>
      </c>
      <c r="BJ282" s="332">
        <f>Tabla14[[#This Row],[Numero de Ocacionales]]*Tabla14[[#This Row],[REAJUSTADO]]</f>
        <v>0</v>
      </c>
      <c r="BK282" s="332"/>
      <c r="BL282" s="332"/>
      <c r="BM282" s="332">
        <f>+Tabla14[[#This Row],[CUANTO SE REAJUSTA]]*3</f>
        <v>13896.288571428573</v>
      </c>
    </row>
    <row r="283" spans="3:65" x14ac:dyDescent="0.25">
      <c r="C283" s="274">
        <v>44950</v>
      </c>
      <c r="D283" s="507">
        <f>YEAR(Tabla14[[#This Row],[Fecha]])</f>
        <v>2023</v>
      </c>
      <c r="E283" s="313">
        <f>IF(Tabla14[[#This Row],[Fecha]]&gt;0,_xlfn.ISOWEEKNUM(Tabla14[[#This Row],[Fecha]]),0)</f>
        <v>4</v>
      </c>
      <c r="F283" s="283">
        <f>60-22</f>
        <v>38</v>
      </c>
      <c r="G283" s="275" t="s">
        <v>247</v>
      </c>
      <c r="H283" s="325" t="str">
        <f>_xlfn.XLOOKUP(Tabla14[[#This Row],[Codigo Finca]],Tabla4[Codigo Finca],Tabla4[Nombre Finca],"")</f>
        <v>Uveros</v>
      </c>
      <c r="I283" s="277">
        <f>_xlfn.XLOOKUP(Tabla14[[#This Row],[Codigo Finca]],Tabla4[Codigo Finca],Tabla4[Precio Caja],0)</f>
        <v>1800</v>
      </c>
      <c r="J283" s="277">
        <f>_xlfn.XLOOKUP(Tabla14[[#This Row],[Codigo Finca]],Tabla4[Codigo Finca],Tabla4[Precio Caja Segunda],0)</f>
        <v>1150</v>
      </c>
      <c r="K283" s="277">
        <f>_xlfn.XLOOKUP(Tabla14[[#This Row],[Codigo Finca]],Tabla4[Codigo Finca],Tabla4[Precio Rechazo],0)</f>
        <v>575</v>
      </c>
      <c r="L283" s="277">
        <f t="shared" si="400"/>
        <v>249</v>
      </c>
      <c r="M283" s="278">
        <f t="shared" si="401"/>
        <v>6.5526315789473681</v>
      </c>
      <c r="N283" s="283"/>
      <c r="O283" s="279"/>
      <c r="P283" s="280">
        <f t="shared" si="402"/>
        <v>0</v>
      </c>
      <c r="Q283" s="281">
        <f t="shared" si="403"/>
        <v>0</v>
      </c>
      <c r="R283" s="282">
        <f t="shared" si="404"/>
        <v>0</v>
      </c>
      <c r="S283" s="283">
        <v>249</v>
      </c>
      <c r="T283" s="275">
        <v>4</v>
      </c>
      <c r="U283" s="280">
        <f t="shared" si="405"/>
        <v>38</v>
      </c>
      <c r="V283" s="281">
        <f t="shared" si="406"/>
        <v>9.5</v>
      </c>
      <c r="W283" s="282">
        <f t="shared" si="407"/>
        <v>17100</v>
      </c>
      <c r="X283" s="283"/>
      <c r="Y283" s="275"/>
      <c r="Z283" s="280">
        <f>Tabla14[[#This Row],[Cajas Segunda]]</f>
        <v>0</v>
      </c>
      <c r="AA283" s="281">
        <f t="shared" si="408"/>
        <v>0</v>
      </c>
      <c r="AB283" s="284">
        <f t="shared" si="409"/>
        <v>0</v>
      </c>
      <c r="AC283" s="285"/>
      <c r="AD283" s="286">
        <v>249</v>
      </c>
      <c r="AE283" s="286"/>
      <c r="AF283" s="286"/>
      <c r="AG283" s="286">
        <v>4</v>
      </c>
      <c r="AH283" s="280">
        <f t="shared" si="410"/>
        <v>9.9600000000000009</v>
      </c>
      <c r="AI283" s="281">
        <f t="shared" si="411"/>
        <v>2.4900000000000002</v>
      </c>
      <c r="AJ283" s="282">
        <f t="shared" si="412"/>
        <v>1431.7500000000002</v>
      </c>
      <c r="AK283" s="287">
        <f>Tabla14[[#This Row],[Cajas por Personas]]</f>
        <v>0</v>
      </c>
      <c r="AL283" s="288">
        <f>Tabla14[[#This Row],[Valor Precorte Pesona]]</f>
        <v>0</v>
      </c>
      <c r="AM283" s="294">
        <f>Tabla14[[#This Row],[Personas Precorte]]</f>
        <v>0</v>
      </c>
      <c r="AN283" s="308">
        <f>Tabla14[[#This Row],[Valor Precorte Pesona Precorte]]*Tabla14[[#This Row],[Perzonas Precorte]]</f>
        <v>0</v>
      </c>
      <c r="AO283" s="287">
        <f>Tabla14[[#This Row],[Cajas por Personas2]]</f>
        <v>9.5</v>
      </c>
      <c r="AP283" s="288">
        <f>Tabla14[[#This Row],[Valor Embarque Pesona]]</f>
        <v>17100</v>
      </c>
      <c r="AQ283" s="295">
        <f>Tabla14[[#This Row],[Personas Precorte2]]</f>
        <v>4</v>
      </c>
      <c r="AR283" s="296">
        <f>Tabla14[[#This Row],[Valor Embarque Pesona3]]*Tabla14[[#This Row],[Perzona Primera]]</f>
        <v>68400</v>
      </c>
      <c r="AS283" s="287">
        <f>Tabla14[[#This Row],[Columna2]]</f>
        <v>0</v>
      </c>
      <c r="AT283" s="288">
        <f>Tabla14[[#This Row],[Columna1]]</f>
        <v>0</v>
      </c>
      <c r="AU283" s="302">
        <f>Tabla14[[#This Row],[Personas Intervienen]]</f>
        <v>0</v>
      </c>
      <c r="AV283" s="297">
        <f>Tabla14[[#This Row],[Valor Embarque Pesona5]]*Tabla14[[#This Row],[Presonas Segunda]]</f>
        <v>0</v>
      </c>
      <c r="AW283" s="287">
        <f>Tabla14[[#This Row],[Bolsas Por Personas]]</f>
        <v>2.4900000000000002</v>
      </c>
      <c r="AX283" s="288">
        <f>Tabla14[[#This Row],[Valor bolsas Pesona]]</f>
        <v>1431.7500000000002</v>
      </c>
      <c r="AY283" s="309">
        <f>Tabla14[[#This Row],[Personas13]]</f>
        <v>4</v>
      </c>
      <c r="AZ283" s="310">
        <f>Tabla14[[#This Row],[Valor bolsas Pesona2]]*Tabla14[[#This Row],[Personas Rechazo]]</f>
        <v>5727.0000000000009</v>
      </c>
      <c r="BA283" s="311">
        <f>+Tabla14[[#This Row],[Total Valor Segunda]]+Tabla14[[#This Row],[Total Valor Primera]]+Tabla14[[#This Row],[Total Valor Precorte]]</f>
        <v>68400</v>
      </c>
      <c r="BB283" s="292">
        <f>Tabla14[[#This Row],[Valor bolsas Pesona2]]+Tabla14[[#This Row],[Valor Embarque Pesona3]]</f>
        <v>18531.75</v>
      </c>
      <c r="BC283" s="332">
        <v>30000</v>
      </c>
      <c r="BD283" s="292">
        <f>Tabla14[[#This Row],[VALOR GANADO]]-Tabla14[[#This Row],[REAJUSTADO]]</f>
        <v>-11468.25</v>
      </c>
      <c r="BE283" s="250">
        <f>Tabla14[[#This Row],[CUANTO SE REAJUSTA]]*Tabla14[[#This Row],[Personas Rechazo]]</f>
        <v>-45873</v>
      </c>
      <c r="BF283" s="250">
        <f>Tabla14[[#This Row],[REAJUSTADO]]/25000</f>
        <v>1.2</v>
      </c>
      <c r="BG283" s="302">
        <f>Tabla14[[#This Row],[REAJUSTADO]]*Tabla14[[#This Row],[Personas Rechazo]]</f>
        <v>120000</v>
      </c>
      <c r="BH283" s="292" t="str">
        <f>Tabla14[[#This Row],[Finca]]</f>
        <v>Uveros</v>
      </c>
      <c r="BJ283" s="332">
        <f>Tabla14[[#This Row],[Numero de Ocacionales]]*Tabla14[[#This Row],[REAJUSTADO]]</f>
        <v>0</v>
      </c>
      <c r="BK283" s="332"/>
      <c r="BL283" s="332"/>
      <c r="BM283" s="332">
        <f>+Tabla14[[#This Row],[CUANTO SE REAJUSTA]]*3</f>
        <v>-34404.75</v>
      </c>
    </row>
    <row r="284" spans="3:65" x14ac:dyDescent="0.25">
      <c r="C284" s="274">
        <v>44952</v>
      </c>
      <c r="D284" s="507">
        <f>YEAR(Tabla14[[#This Row],[Fecha]])</f>
        <v>2023</v>
      </c>
      <c r="E284" s="313">
        <f>IF(Tabla14[[#This Row],[Fecha]]&gt;0,_xlfn.ISOWEEKNUM(Tabla14[[#This Row],[Fecha]]),0)</f>
        <v>4</v>
      </c>
      <c r="F284" s="283">
        <v>25</v>
      </c>
      <c r="G284" s="275" t="s">
        <v>248</v>
      </c>
      <c r="H284" s="325" t="str">
        <f>_xlfn.XLOOKUP(Tabla14[[#This Row],[Codigo Finca]],Tabla4[Codigo Finca],Tabla4[Nombre Finca],"")</f>
        <v>Damaquiel</v>
      </c>
      <c r="I284" s="277">
        <f>_xlfn.XLOOKUP(Tabla14[[#This Row],[Codigo Finca]],Tabla4[Codigo Finca],Tabla4[Precio Caja],0)</f>
        <v>1800</v>
      </c>
      <c r="J284" s="277">
        <f>_xlfn.XLOOKUP(Tabla14[[#This Row],[Codigo Finca]],Tabla4[Codigo Finca],Tabla4[Precio Caja Segunda],0)</f>
        <v>1150</v>
      </c>
      <c r="K284" s="277">
        <f>_xlfn.XLOOKUP(Tabla14[[#This Row],[Codigo Finca]],Tabla4[Codigo Finca],Tabla4[Precio Rechazo],0)</f>
        <v>575</v>
      </c>
      <c r="L284" s="277">
        <f t="shared" si="400"/>
        <v>234</v>
      </c>
      <c r="M284" s="278">
        <f t="shared" si="401"/>
        <v>9.36</v>
      </c>
      <c r="N284" s="283"/>
      <c r="O284" s="279"/>
      <c r="P284" s="280">
        <f t="shared" si="402"/>
        <v>0</v>
      </c>
      <c r="Q284" s="281">
        <f t="shared" si="403"/>
        <v>0</v>
      </c>
      <c r="R284" s="282">
        <f t="shared" si="404"/>
        <v>0</v>
      </c>
      <c r="S284" s="283">
        <v>234</v>
      </c>
      <c r="T284" s="275">
        <v>6</v>
      </c>
      <c r="U284" s="280">
        <f t="shared" si="405"/>
        <v>25</v>
      </c>
      <c r="V284" s="281">
        <f t="shared" si="406"/>
        <v>4.166666666666667</v>
      </c>
      <c r="W284" s="282">
        <f t="shared" si="407"/>
        <v>7500</v>
      </c>
      <c r="X284" s="283"/>
      <c r="Y284" s="275"/>
      <c r="Z284" s="280">
        <f>Tabla14[[#This Row],[Cajas Segunda]]</f>
        <v>0</v>
      </c>
      <c r="AA284" s="281">
        <f t="shared" si="408"/>
        <v>0</v>
      </c>
      <c r="AB284" s="284">
        <f t="shared" si="409"/>
        <v>0</v>
      </c>
      <c r="AC284" s="285"/>
      <c r="AD284" s="286">
        <v>344</v>
      </c>
      <c r="AE284" s="286"/>
      <c r="AF284" s="286"/>
      <c r="AG284" s="286">
        <v>6</v>
      </c>
      <c r="AH284" s="280">
        <f t="shared" si="410"/>
        <v>13.76</v>
      </c>
      <c r="AI284" s="281">
        <f t="shared" si="411"/>
        <v>2.2933333333333334</v>
      </c>
      <c r="AJ284" s="282">
        <f t="shared" si="412"/>
        <v>1318.6666666666667</v>
      </c>
      <c r="AK284" s="287">
        <f>Tabla14[[#This Row],[Cajas por Personas]]</f>
        <v>0</v>
      </c>
      <c r="AL284" s="288">
        <f>Tabla14[[#This Row],[Valor Precorte Pesona]]</f>
        <v>0</v>
      </c>
      <c r="AM284" s="294">
        <f>Tabla14[[#This Row],[Personas Precorte]]</f>
        <v>0</v>
      </c>
      <c r="AN284" s="308">
        <f>Tabla14[[#This Row],[Valor Precorte Pesona Precorte]]*Tabla14[[#This Row],[Perzonas Precorte]]</f>
        <v>0</v>
      </c>
      <c r="AO284" s="287">
        <f>Tabla14[[#This Row],[Cajas por Personas2]]</f>
        <v>4.166666666666667</v>
      </c>
      <c r="AP284" s="288">
        <f>Tabla14[[#This Row],[Valor Embarque Pesona]]</f>
        <v>7500</v>
      </c>
      <c r="AQ284" s="295">
        <f>Tabla14[[#This Row],[Personas Precorte2]]</f>
        <v>6</v>
      </c>
      <c r="AR284" s="296">
        <f>Tabla14[[#This Row],[Valor Embarque Pesona3]]*Tabla14[[#This Row],[Perzona Primera]]</f>
        <v>45000</v>
      </c>
      <c r="AS284" s="287">
        <f>Tabla14[[#This Row],[Columna2]]</f>
        <v>0</v>
      </c>
      <c r="AT284" s="288">
        <f>Tabla14[[#This Row],[Columna1]]</f>
        <v>0</v>
      </c>
      <c r="AU284" s="302">
        <f>Tabla14[[#This Row],[Personas Intervienen]]</f>
        <v>0</v>
      </c>
      <c r="AV284" s="297">
        <f>Tabla14[[#This Row],[Valor Embarque Pesona5]]*Tabla14[[#This Row],[Presonas Segunda]]</f>
        <v>0</v>
      </c>
      <c r="AW284" s="287">
        <f>Tabla14[[#This Row],[Bolsas Por Personas]]</f>
        <v>2.2933333333333334</v>
      </c>
      <c r="AX284" s="288">
        <f>Tabla14[[#This Row],[Valor bolsas Pesona]]</f>
        <v>1318.6666666666667</v>
      </c>
      <c r="AY284" s="309">
        <f>Tabla14[[#This Row],[Personas13]]</f>
        <v>6</v>
      </c>
      <c r="AZ284" s="310">
        <f>Tabla14[[#This Row],[Valor bolsas Pesona2]]*Tabla14[[#This Row],[Personas Rechazo]]</f>
        <v>7912</v>
      </c>
      <c r="BA284" s="311">
        <f>+Tabla14[[#This Row],[Total Valor Segunda]]+Tabla14[[#This Row],[Total Valor Primera]]+Tabla14[[#This Row],[Total Valor Precorte]]</f>
        <v>45000</v>
      </c>
      <c r="BB284" s="292">
        <f>Tabla14[[#This Row],[Valor bolsas Pesona2]]+Tabla14[[#This Row],[Valor Embarque Pesona3]]</f>
        <v>8818.6666666666661</v>
      </c>
      <c r="BC284" s="332">
        <v>30000</v>
      </c>
      <c r="BD284" s="292">
        <f>Tabla14[[#This Row],[VALOR GANADO]]-Tabla14[[#This Row],[REAJUSTADO]]</f>
        <v>-21181.333333333336</v>
      </c>
      <c r="BE284" s="250">
        <f>Tabla14[[#This Row],[CUANTO SE REAJUSTA]]*Tabla14[[#This Row],[Personas Rechazo]]</f>
        <v>-127088.00000000001</v>
      </c>
      <c r="BF284" s="250">
        <f>Tabla14[[#This Row],[REAJUSTADO]]/25000</f>
        <v>1.2</v>
      </c>
      <c r="BG284" s="302">
        <f>Tabla14[[#This Row],[REAJUSTADO]]*Tabla14[[#This Row],[Personas Rechazo]]</f>
        <v>180000</v>
      </c>
      <c r="BH284" s="292" t="str">
        <f>Tabla14[[#This Row],[Finca]]</f>
        <v>Damaquiel</v>
      </c>
      <c r="BJ284" s="332">
        <f>Tabla14[[#This Row],[Numero de Ocacionales]]*Tabla14[[#This Row],[REAJUSTADO]]</f>
        <v>0</v>
      </c>
      <c r="BK284" s="332"/>
      <c r="BL284" s="332"/>
      <c r="BM284" s="332">
        <f>+Tabla14[[#This Row],[CUANTO SE REAJUSTA]]*3</f>
        <v>-63544.000000000007</v>
      </c>
    </row>
    <row r="285" spans="3:65" x14ac:dyDescent="0.25">
      <c r="C285" s="274">
        <v>44952</v>
      </c>
      <c r="D285" s="507">
        <f>YEAR(Tabla14[[#This Row],[Fecha]])</f>
        <v>2023</v>
      </c>
      <c r="E285" s="313">
        <f>IF(Tabla14[[#This Row],[Fecha]]&gt;0,_xlfn.ISOWEEKNUM(Tabla14[[#This Row],[Fecha]]),0)</f>
        <v>4</v>
      </c>
      <c r="F285" s="283">
        <v>222</v>
      </c>
      <c r="G285" s="275" t="s">
        <v>251</v>
      </c>
      <c r="H285" s="325" t="str">
        <f>_xlfn.XLOOKUP(Tabla14[[#This Row],[Codigo Finca]],Tabla4[Codigo Finca],Tabla4[Nombre Finca],"")</f>
        <v>Pedrito</v>
      </c>
      <c r="I285" s="277">
        <f>_xlfn.XLOOKUP(Tabla14[[#This Row],[Codigo Finca]],Tabla4[Codigo Finca],Tabla4[Precio Caja],0)</f>
        <v>1800</v>
      </c>
      <c r="J285" s="277">
        <f>_xlfn.XLOOKUP(Tabla14[[#This Row],[Codigo Finca]],Tabla4[Codigo Finca],Tabla4[Precio Caja Segunda],0)</f>
        <v>1150</v>
      </c>
      <c r="K285" s="277">
        <f>_xlfn.XLOOKUP(Tabla14[[#This Row],[Codigo Finca]],Tabla4[Codigo Finca],Tabla4[Precio Rechazo],0)</f>
        <v>575</v>
      </c>
      <c r="L285" s="277">
        <f t="shared" si="400"/>
        <v>1330</v>
      </c>
      <c r="M285" s="278">
        <f t="shared" si="401"/>
        <v>5.9909909909909906</v>
      </c>
      <c r="N285" s="283"/>
      <c r="O285" s="279"/>
      <c r="P285" s="280">
        <f t="shared" si="402"/>
        <v>0</v>
      </c>
      <c r="Q285" s="281">
        <f t="shared" si="403"/>
        <v>0</v>
      </c>
      <c r="R285" s="282">
        <f t="shared" si="404"/>
        <v>0</v>
      </c>
      <c r="S285" s="283">
        <v>1330</v>
      </c>
      <c r="T285" s="275">
        <v>15</v>
      </c>
      <c r="U285" s="280">
        <f t="shared" si="405"/>
        <v>222</v>
      </c>
      <c r="V285" s="281">
        <f t="shared" si="406"/>
        <v>14.8</v>
      </c>
      <c r="W285" s="282">
        <f t="shared" si="407"/>
        <v>26640</v>
      </c>
      <c r="X285" s="283"/>
      <c r="Y285" s="275"/>
      <c r="Z285" s="280">
        <f>Tabla14[[#This Row],[Cajas Segunda]]</f>
        <v>0</v>
      </c>
      <c r="AA285" s="281">
        <f t="shared" si="408"/>
        <v>0</v>
      </c>
      <c r="AB285" s="284">
        <f t="shared" si="409"/>
        <v>0</v>
      </c>
      <c r="AC285" s="285"/>
      <c r="AD285" s="286">
        <v>2774</v>
      </c>
      <c r="AE285" s="286"/>
      <c r="AF285" s="286"/>
      <c r="AG285" s="286">
        <v>15</v>
      </c>
      <c r="AH285" s="280">
        <f t="shared" si="410"/>
        <v>110.96</v>
      </c>
      <c r="AI285" s="281">
        <f t="shared" si="411"/>
        <v>7.3973333333333331</v>
      </c>
      <c r="AJ285" s="282">
        <f t="shared" si="412"/>
        <v>4253.4666666666662</v>
      </c>
      <c r="AK285" s="287">
        <f>Tabla14[[#This Row],[Cajas por Personas]]</f>
        <v>0</v>
      </c>
      <c r="AL285" s="288">
        <f>Tabla14[[#This Row],[Valor Precorte Pesona]]</f>
        <v>0</v>
      </c>
      <c r="AM285" s="294">
        <f>Tabla14[[#This Row],[Personas Precorte]]</f>
        <v>0</v>
      </c>
      <c r="AN285" s="308">
        <f>Tabla14[[#This Row],[Valor Precorte Pesona Precorte]]*Tabla14[[#This Row],[Perzonas Precorte]]</f>
        <v>0</v>
      </c>
      <c r="AO285" s="287">
        <f>Tabla14[[#This Row],[Cajas por Personas2]]</f>
        <v>14.8</v>
      </c>
      <c r="AP285" s="288">
        <f>Tabla14[[#This Row],[Valor Embarque Pesona]]</f>
        <v>26640</v>
      </c>
      <c r="AQ285" s="295">
        <f>Tabla14[[#This Row],[Personas Precorte2]]</f>
        <v>15</v>
      </c>
      <c r="AR285" s="296">
        <f>Tabla14[[#This Row],[Valor Embarque Pesona3]]*Tabla14[[#This Row],[Perzona Primera]]</f>
        <v>399600</v>
      </c>
      <c r="AS285" s="287">
        <f>Tabla14[[#This Row],[Columna2]]</f>
        <v>0</v>
      </c>
      <c r="AT285" s="288">
        <f>Tabla14[[#This Row],[Columna1]]</f>
        <v>0</v>
      </c>
      <c r="AU285" s="302">
        <f>Tabla14[[#This Row],[Personas Intervienen]]</f>
        <v>0</v>
      </c>
      <c r="AV285" s="297">
        <f>Tabla14[[#This Row],[Valor Embarque Pesona5]]*Tabla14[[#This Row],[Presonas Segunda]]</f>
        <v>0</v>
      </c>
      <c r="AW285" s="287">
        <f>Tabla14[[#This Row],[Bolsas Por Personas]]</f>
        <v>7.3973333333333331</v>
      </c>
      <c r="AX285" s="288">
        <f>Tabla14[[#This Row],[Valor bolsas Pesona]]</f>
        <v>4253.4666666666662</v>
      </c>
      <c r="AY285" s="309">
        <f>Tabla14[[#This Row],[Personas13]]</f>
        <v>15</v>
      </c>
      <c r="AZ285" s="310">
        <f>Tabla14[[#This Row],[Valor bolsas Pesona2]]*Tabla14[[#This Row],[Personas Rechazo]]</f>
        <v>63801.999999999993</v>
      </c>
      <c r="BA285" s="311">
        <f>+Tabla14[[#This Row],[Total Valor Segunda]]+Tabla14[[#This Row],[Total Valor Primera]]+Tabla14[[#This Row],[Total Valor Precorte]]</f>
        <v>399600</v>
      </c>
      <c r="BB285" s="292">
        <f>Tabla14[[#This Row],[Valor bolsas Pesona2]]+Tabla14[[#This Row],[Valor Embarque Pesona3]]</f>
        <v>30893.466666666667</v>
      </c>
      <c r="BC285" s="332">
        <v>30000</v>
      </c>
      <c r="BD285" s="292">
        <f>Tabla14[[#This Row],[VALOR GANADO]]-Tabla14[[#This Row],[REAJUSTADO]]</f>
        <v>893.46666666666715</v>
      </c>
      <c r="BE285" s="250">
        <f>Tabla14[[#This Row],[CUANTO SE REAJUSTA]]*Tabla14[[#This Row],[Personas Rechazo]]</f>
        <v>13402.000000000007</v>
      </c>
      <c r="BF285" s="250">
        <f>Tabla14[[#This Row],[REAJUSTADO]]/25000</f>
        <v>1.2</v>
      </c>
      <c r="BG285" s="302">
        <f>Tabla14[[#This Row],[REAJUSTADO]]*Tabla14[[#This Row],[Personas Rechazo]]</f>
        <v>450000</v>
      </c>
      <c r="BH285" s="292" t="str">
        <f>Tabla14[[#This Row],[Finca]]</f>
        <v>Pedrito</v>
      </c>
      <c r="BJ285" s="332">
        <f>Tabla14[[#This Row],[Numero de Ocacionales]]*Tabla14[[#This Row],[REAJUSTADO]]</f>
        <v>0</v>
      </c>
      <c r="BK285" s="332"/>
      <c r="BL285" s="332"/>
      <c r="BM285" s="332">
        <f>+Tabla14[[#This Row],[CUANTO SE REAJUSTA]]*3</f>
        <v>2680.4000000000015</v>
      </c>
    </row>
    <row r="286" spans="3:65" x14ac:dyDescent="0.25">
      <c r="C286" s="274">
        <v>44957</v>
      </c>
      <c r="D286" s="507">
        <f>YEAR(Tabla14[[#This Row],[Fecha]])</f>
        <v>2023</v>
      </c>
      <c r="E286" s="495">
        <f>IF(Tabla14[[#This Row],[Fecha]]&gt;0,_xlfn.ISOWEEKNUM(Tabla14[[#This Row],[Fecha]]),0)</f>
        <v>5</v>
      </c>
      <c r="F286" s="283">
        <f>616-38</f>
        <v>578</v>
      </c>
      <c r="G286" s="275" t="s">
        <v>250</v>
      </c>
      <c r="H286" s="325" t="str">
        <f>_xlfn.XLOOKUP(Tabla14[[#This Row],[Codigo Finca]],Tabla4[Codigo Finca],Tabla4[Nombre Finca],"")</f>
        <v>San Pedro</v>
      </c>
      <c r="I286" s="277">
        <f>_xlfn.XLOOKUP(Tabla14[[#This Row],[Codigo Finca]],Tabla4[Codigo Finca],Tabla4[Precio Caja],0)</f>
        <v>1800</v>
      </c>
      <c r="J286" s="277">
        <f>_xlfn.XLOOKUP(Tabla14[[#This Row],[Codigo Finca]],Tabla4[Codigo Finca],Tabla4[Precio Caja Segunda],0)</f>
        <v>1150</v>
      </c>
      <c r="K286" s="277">
        <f>_xlfn.XLOOKUP(Tabla14[[#This Row],[Codigo Finca]],Tabla4[Codigo Finca],Tabla4[Precio Rechazo],0)</f>
        <v>575</v>
      </c>
      <c r="L286" s="277">
        <f t="shared" si="400"/>
        <v>1808</v>
      </c>
      <c r="M286" s="278">
        <f t="shared" si="401"/>
        <v>3.1280276816608996</v>
      </c>
      <c r="N286" s="283"/>
      <c r="O286" s="279"/>
      <c r="P286" s="280">
        <f t="shared" si="402"/>
        <v>0</v>
      </c>
      <c r="Q286" s="281">
        <f t="shared" si="403"/>
        <v>0</v>
      </c>
      <c r="R286" s="282">
        <f t="shared" si="404"/>
        <v>0</v>
      </c>
      <c r="S286" s="283">
        <v>1808</v>
      </c>
      <c r="T286" s="275">
        <v>21</v>
      </c>
      <c r="U286" s="280">
        <f t="shared" si="405"/>
        <v>578</v>
      </c>
      <c r="V286" s="281">
        <f t="shared" si="406"/>
        <v>27.523809523809526</v>
      </c>
      <c r="W286" s="282">
        <f t="shared" si="407"/>
        <v>49542.857142857145</v>
      </c>
      <c r="X286" s="283"/>
      <c r="Y286" s="275"/>
      <c r="Z286" s="280">
        <f>Tabla14[[#This Row],[Cajas Segunda]]</f>
        <v>0</v>
      </c>
      <c r="AA286" s="281">
        <f t="shared" si="408"/>
        <v>0</v>
      </c>
      <c r="AB286" s="284">
        <f t="shared" si="409"/>
        <v>0</v>
      </c>
      <c r="AC286" s="285"/>
      <c r="AD286" s="286">
        <v>2102.7600000000002</v>
      </c>
      <c r="AE286" s="286"/>
      <c r="AF286" s="286"/>
      <c r="AG286" s="286">
        <v>21</v>
      </c>
      <c r="AH286" s="280">
        <f t="shared" si="410"/>
        <v>84.110400000000013</v>
      </c>
      <c r="AI286" s="281">
        <f t="shared" si="411"/>
        <v>4.0052571428571433</v>
      </c>
      <c r="AJ286" s="282">
        <f t="shared" si="412"/>
        <v>2303.0228571428574</v>
      </c>
      <c r="AK286" s="287">
        <f>Tabla14[[#This Row],[Cajas por Personas]]</f>
        <v>0</v>
      </c>
      <c r="AL286" s="288">
        <f>Tabla14[[#This Row],[Valor Precorte Pesona]]</f>
        <v>0</v>
      </c>
      <c r="AM286" s="294">
        <f>Tabla14[[#This Row],[Personas Precorte]]</f>
        <v>0</v>
      </c>
      <c r="AN286" s="308">
        <f>Tabla14[[#This Row],[Valor Precorte Pesona Precorte]]*Tabla14[[#This Row],[Perzonas Precorte]]</f>
        <v>0</v>
      </c>
      <c r="AO286" s="287">
        <f>Tabla14[[#This Row],[Cajas por Personas2]]</f>
        <v>27.523809523809526</v>
      </c>
      <c r="AP286" s="288">
        <f>Tabla14[[#This Row],[Valor Embarque Pesona]]</f>
        <v>49542.857142857145</v>
      </c>
      <c r="AQ286" s="295">
        <f>Tabla14[[#This Row],[Personas Precorte2]]</f>
        <v>21</v>
      </c>
      <c r="AR286" s="296">
        <f>Tabla14[[#This Row],[Valor Embarque Pesona3]]*Tabla14[[#This Row],[Perzona Primera]]</f>
        <v>1040400</v>
      </c>
      <c r="AS286" s="287">
        <f>Tabla14[[#This Row],[Columna2]]</f>
        <v>0</v>
      </c>
      <c r="AT286" s="288">
        <f>Tabla14[[#This Row],[Columna1]]</f>
        <v>0</v>
      </c>
      <c r="AU286" s="302">
        <f>Tabla14[[#This Row],[Personas Intervienen]]</f>
        <v>0</v>
      </c>
      <c r="AV286" s="297">
        <f>Tabla14[[#This Row],[Valor Embarque Pesona5]]*Tabla14[[#This Row],[Presonas Segunda]]</f>
        <v>0</v>
      </c>
      <c r="AW286" s="287">
        <f>Tabla14[[#This Row],[Bolsas Por Personas]]</f>
        <v>4.0052571428571433</v>
      </c>
      <c r="AX286" s="288">
        <f>Tabla14[[#This Row],[Valor bolsas Pesona]]</f>
        <v>2303.0228571428574</v>
      </c>
      <c r="AY286" s="309">
        <f>Tabla14[[#This Row],[Personas13]]</f>
        <v>21</v>
      </c>
      <c r="AZ286" s="310">
        <f>Tabla14[[#This Row],[Valor bolsas Pesona2]]*Tabla14[[#This Row],[Personas Rechazo]]</f>
        <v>48363.48</v>
      </c>
      <c r="BA286" s="311">
        <f>+Tabla14[[#This Row],[Total Valor Segunda]]+Tabla14[[#This Row],[Total Valor Primera]]+Tabla14[[#This Row],[Total Valor Precorte]]</f>
        <v>1040400</v>
      </c>
      <c r="BB286" s="470">
        <f>Tabla14[[#This Row],[Valor bolsas Pesona2]]+Tabla14[[#This Row],[Valor Embarque Pesona3]]</f>
        <v>51845.880000000005</v>
      </c>
      <c r="BC286" s="471">
        <v>55650</v>
      </c>
      <c r="BD286" s="470">
        <f>Tabla14[[#This Row],[VALOR GANADO]]-Tabla14[[#This Row],[REAJUSTADO]]</f>
        <v>-3804.1199999999953</v>
      </c>
      <c r="BE286" s="250">
        <f>Tabla14[[#This Row],[CUANTO SE REAJUSTA]]*Tabla14[[#This Row],[Personas Rechazo]]</f>
        <v>-79886.519999999902</v>
      </c>
      <c r="BF286" s="250">
        <f>Tabla14[[#This Row],[REAJUSTADO]]/25000</f>
        <v>2.226</v>
      </c>
      <c r="BG286" s="302">
        <f>Tabla14[[#This Row],[REAJUSTADO]]*Tabla14[[#This Row],[Personas Rechazo]]</f>
        <v>1168650</v>
      </c>
      <c r="BH286" s="292" t="str">
        <f>Tabla14[[#This Row],[Finca]]</f>
        <v>San Pedro</v>
      </c>
      <c r="BJ286" s="332">
        <f>Tabla14[[#This Row],[Numero de Ocacionales]]*Tabla14[[#This Row],[REAJUSTADO]]</f>
        <v>0</v>
      </c>
      <c r="BK286" s="332"/>
      <c r="BL286" s="332"/>
      <c r="BM286" s="332">
        <f>+Tabla14[[#This Row],[CUANTO SE REAJUSTA]]*3</f>
        <v>-11412.359999999986</v>
      </c>
    </row>
    <row r="287" spans="3:65" x14ac:dyDescent="0.25">
      <c r="C287" s="274">
        <v>44957</v>
      </c>
      <c r="D287" s="507">
        <f>YEAR(Tabla14[[#This Row],[Fecha]])</f>
        <v>2023</v>
      </c>
      <c r="E287" s="495">
        <f>IF(Tabla14[[#This Row],[Fecha]]&gt;0,_xlfn.ISOWEEKNUM(Tabla14[[#This Row],[Fecha]]),0)</f>
        <v>5</v>
      </c>
      <c r="F287" s="283">
        <v>38</v>
      </c>
      <c r="G287" s="275" t="s">
        <v>249</v>
      </c>
      <c r="H287" s="325" t="str">
        <f>_xlfn.XLOOKUP(Tabla14[[#This Row],[Codigo Finca]],Tabla4[Codigo Finca],Tabla4[Nombre Finca],"")</f>
        <v>San Pedro</v>
      </c>
      <c r="I287" s="277">
        <f>_xlfn.XLOOKUP(Tabla14[[#This Row],[Codigo Finca]],Tabla4[Codigo Finca],Tabla4[Precio Caja],0)</f>
        <v>2000</v>
      </c>
      <c r="J287" s="277">
        <f>_xlfn.XLOOKUP(Tabla14[[#This Row],[Codigo Finca]],Tabla4[Codigo Finca],Tabla4[Precio Caja Segunda],0)</f>
        <v>1150</v>
      </c>
      <c r="K287" s="277">
        <f>_xlfn.XLOOKUP(Tabla14[[#This Row],[Codigo Finca]],Tabla4[Codigo Finca],Tabla4[Precio Rechazo],0)</f>
        <v>675</v>
      </c>
      <c r="L287" s="277">
        <f t="shared" si="400"/>
        <v>120</v>
      </c>
      <c r="M287" s="278">
        <f t="shared" si="401"/>
        <v>3.1578947368421053</v>
      </c>
      <c r="N287" s="283"/>
      <c r="O287" s="279"/>
      <c r="P287" s="280">
        <f t="shared" si="402"/>
        <v>0</v>
      </c>
      <c r="Q287" s="281">
        <f t="shared" si="403"/>
        <v>0</v>
      </c>
      <c r="R287" s="282">
        <f t="shared" si="404"/>
        <v>0</v>
      </c>
      <c r="S287" s="283">
        <f>23+30+34+33</f>
        <v>120</v>
      </c>
      <c r="T287" s="275">
        <v>21</v>
      </c>
      <c r="U287" s="280">
        <f t="shared" si="405"/>
        <v>38</v>
      </c>
      <c r="V287" s="281">
        <f t="shared" si="406"/>
        <v>1.8095238095238095</v>
      </c>
      <c r="W287" s="282">
        <f t="shared" si="407"/>
        <v>3619.0476190476193</v>
      </c>
      <c r="X287" s="283"/>
      <c r="Y287" s="275"/>
      <c r="Z287" s="280">
        <f>Tabla14[[#This Row],[Cajas Segunda]]</f>
        <v>0</v>
      </c>
      <c r="AA287" s="281">
        <f t="shared" si="408"/>
        <v>0</v>
      </c>
      <c r="AB287" s="284">
        <f t="shared" si="409"/>
        <v>0</v>
      </c>
      <c r="AC287" s="285"/>
      <c r="AD287" s="286">
        <v>138.24</v>
      </c>
      <c r="AE287" s="286"/>
      <c r="AF287" s="286"/>
      <c r="AG287" s="286">
        <v>21</v>
      </c>
      <c r="AH287" s="280">
        <f t="shared" si="410"/>
        <v>5.5296000000000003</v>
      </c>
      <c r="AI287" s="281">
        <f t="shared" si="411"/>
        <v>0.26331428571428572</v>
      </c>
      <c r="AJ287" s="282">
        <f t="shared" si="412"/>
        <v>177.73714285714286</v>
      </c>
      <c r="AK287" s="287">
        <f>Tabla14[[#This Row],[Cajas por Personas]]</f>
        <v>0</v>
      </c>
      <c r="AL287" s="288">
        <f>Tabla14[[#This Row],[Valor Precorte Pesona]]</f>
        <v>0</v>
      </c>
      <c r="AM287" s="294">
        <f>Tabla14[[#This Row],[Personas Precorte]]</f>
        <v>0</v>
      </c>
      <c r="AN287" s="308">
        <f>Tabla14[[#This Row],[Valor Precorte Pesona Precorte]]*Tabla14[[#This Row],[Perzonas Precorte]]</f>
        <v>0</v>
      </c>
      <c r="AO287" s="287">
        <f>Tabla14[[#This Row],[Cajas por Personas2]]</f>
        <v>1.8095238095238095</v>
      </c>
      <c r="AP287" s="288">
        <f>Tabla14[[#This Row],[Valor Embarque Pesona]]</f>
        <v>3619.0476190476193</v>
      </c>
      <c r="AQ287" s="295">
        <f>Tabla14[[#This Row],[Personas Precorte2]]</f>
        <v>21</v>
      </c>
      <c r="AR287" s="296">
        <f>Tabla14[[#This Row],[Valor Embarque Pesona3]]*Tabla14[[#This Row],[Perzona Primera]]</f>
        <v>76000</v>
      </c>
      <c r="AS287" s="287">
        <f>Tabla14[[#This Row],[Columna2]]</f>
        <v>0</v>
      </c>
      <c r="AT287" s="288">
        <f>Tabla14[[#This Row],[Columna1]]</f>
        <v>0</v>
      </c>
      <c r="AU287" s="302">
        <f>Tabla14[[#This Row],[Personas Intervienen]]</f>
        <v>0</v>
      </c>
      <c r="AV287" s="297">
        <f>Tabla14[[#This Row],[Valor Embarque Pesona5]]*Tabla14[[#This Row],[Presonas Segunda]]</f>
        <v>0</v>
      </c>
      <c r="AW287" s="287">
        <f>Tabla14[[#This Row],[Bolsas Por Personas]]</f>
        <v>0.26331428571428572</v>
      </c>
      <c r="AX287" s="288">
        <f>Tabla14[[#This Row],[Valor bolsas Pesona]]</f>
        <v>177.73714285714286</v>
      </c>
      <c r="AY287" s="309">
        <f>Tabla14[[#This Row],[Personas13]]</f>
        <v>21</v>
      </c>
      <c r="AZ287" s="310">
        <f>Tabla14[[#This Row],[Valor bolsas Pesona2]]*Tabla14[[#This Row],[Personas Rechazo]]</f>
        <v>3732.48</v>
      </c>
      <c r="BA287" s="311">
        <f>+Tabla14[[#This Row],[Total Valor Segunda]]+Tabla14[[#This Row],[Total Valor Primera]]+Tabla14[[#This Row],[Total Valor Precorte]]</f>
        <v>76000</v>
      </c>
      <c r="BB287" s="470">
        <f>Tabla14[[#This Row],[Valor bolsas Pesona2]]+Tabla14[[#This Row],[Valor Embarque Pesona3]]</f>
        <v>3796.784761904762</v>
      </c>
      <c r="BC287" s="471"/>
      <c r="BD287" s="470">
        <f>Tabla14[[#This Row],[VALOR GANADO]]-Tabla14[[#This Row],[REAJUSTADO]]</f>
        <v>3796.784761904762</v>
      </c>
      <c r="BE287" s="250">
        <f>Tabla14[[#This Row],[CUANTO SE REAJUSTA]]*Tabla14[[#This Row],[Personas Rechazo]]</f>
        <v>79732.479999999996</v>
      </c>
      <c r="BF287" s="250">
        <f>Tabla14[[#This Row],[REAJUSTADO]]/25000</f>
        <v>0</v>
      </c>
      <c r="BG287" s="302">
        <f>Tabla14[[#This Row],[REAJUSTADO]]*Tabla14[[#This Row],[Personas Rechazo]]</f>
        <v>0</v>
      </c>
      <c r="BH287" s="292" t="str">
        <f>Tabla14[[#This Row],[Finca]]</f>
        <v>San Pedro</v>
      </c>
      <c r="BJ287" s="332">
        <f>Tabla14[[#This Row],[Numero de Ocacionales]]*Tabla14[[#This Row],[REAJUSTADO]]</f>
        <v>0</v>
      </c>
      <c r="BK287" s="332"/>
      <c r="BL287" s="332"/>
      <c r="BM287" s="332">
        <f>+Tabla14[[#This Row],[CUANTO SE REAJUSTA]]*3</f>
        <v>11390.354285714286</v>
      </c>
    </row>
    <row r="288" spans="3:65" x14ac:dyDescent="0.25">
      <c r="C288" s="274">
        <v>44957</v>
      </c>
      <c r="D288" s="507">
        <f>YEAR(Tabla14[[#This Row],[Fecha]])</f>
        <v>2023</v>
      </c>
      <c r="E288" s="313">
        <f>IF(Tabla14[[#This Row],[Fecha]]&gt;0,_xlfn.ISOWEEKNUM(Tabla14[[#This Row],[Fecha]]),0)</f>
        <v>5</v>
      </c>
      <c r="F288" s="283">
        <v>50</v>
      </c>
      <c r="G288" s="275" t="s">
        <v>247</v>
      </c>
      <c r="H288" s="325" t="str">
        <f>_xlfn.XLOOKUP(Tabla14[[#This Row],[Codigo Finca]],Tabla4[Codigo Finca],Tabla4[Nombre Finca],"")</f>
        <v>Uveros</v>
      </c>
      <c r="I288" s="277">
        <f>_xlfn.XLOOKUP(Tabla14[[#This Row],[Codigo Finca]],Tabla4[Codigo Finca],Tabla4[Precio Caja],0)</f>
        <v>1800</v>
      </c>
      <c r="J288" s="277">
        <f>_xlfn.XLOOKUP(Tabla14[[#This Row],[Codigo Finca]],Tabla4[Codigo Finca],Tabla4[Precio Caja Segunda],0)</f>
        <v>1150</v>
      </c>
      <c r="K288" s="277">
        <f>_xlfn.XLOOKUP(Tabla14[[#This Row],[Codigo Finca]],Tabla4[Codigo Finca],Tabla4[Precio Rechazo],0)</f>
        <v>575</v>
      </c>
      <c r="L288" s="277">
        <f t="shared" si="400"/>
        <v>244</v>
      </c>
      <c r="M288" s="278">
        <f t="shared" si="401"/>
        <v>4.88</v>
      </c>
      <c r="N288" s="283"/>
      <c r="O288" s="279"/>
      <c r="P288" s="280">
        <f t="shared" si="402"/>
        <v>0</v>
      </c>
      <c r="Q288" s="281">
        <f t="shared" si="403"/>
        <v>0</v>
      </c>
      <c r="R288" s="282">
        <f t="shared" si="404"/>
        <v>0</v>
      </c>
      <c r="S288" s="283">
        <v>244</v>
      </c>
      <c r="T288" s="275">
        <v>4</v>
      </c>
      <c r="U288" s="280">
        <f t="shared" si="405"/>
        <v>50</v>
      </c>
      <c r="V288" s="281">
        <f t="shared" si="406"/>
        <v>12.5</v>
      </c>
      <c r="W288" s="282">
        <f t="shared" si="407"/>
        <v>22500</v>
      </c>
      <c r="X288" s="283"/>
      <c r="Y288" s="275"/>
      <c r="Z288" s="280">
        <f>Tabla14[[#This Row],[Cajas Segunda]]</f>
        <v>0</v>
      </c>
      <c r="AA288" s="281">
        <f t="shared" si="408"/>
        <v>0</v>
      </c>
      <c r="AB288" s="284">
        <f t="shared" si="409"/>
        <v>0</v>
      </c>
      <c r="AC288" s="285"/>
      <c r="AD288" s="286">
        <v>376</v>
      </c>
      <c r="AE288" s="286"/>
      <c r="AF288" s="286"/>
      <c r="AG288" s="286">
        <v>4</v>
      </c>
      <c r="AH288" s="280">
        <f t="shared" si="410"/>
        <v>15.04</v>
      </c>
      <c r="AI288" s="281">
        <f t="shared" si="411"/>
        <v>3.76</v>
      </c>
      <c r="AJ288" s="282">
        <f t="shared" si="412"/>
        <v>2162</v>
      </c>
      <c r="AK288" s="287">
        <f>Tabla14[[#This Row],[Cajas por Personas]]</f>
        <v>0</v>
      </c>
      <c r="AL288" s="288">
        <f>Tabla14[[#This Row],[Valor Precorte Pesona]]</f>
        <v>0</v>
      </c>
      <c r="AM288" s="294">
        <f>Tabla14[[#This Row],[Personas Precorte]]</f>
        <v>0</v>
      </c>
      <c r="AN288" s="308">
        <f>Tabla14[[#This Row],[Valor Precorte Pesona Precorte]]*Tabla14[[#This Row],[Perzonas Precorte]]</f>
        <v>0</v>
      </c>
      <c r="AO288" s="287">
        <f>Tabla14[[#This Row],[Cajas por Personas2]]</f>
        <v>12.5</v>
      </c>
      <c r="AP288" s="288">
        <f>Tabla14[[#This Row],[Valor Embarque Pesona]]</f>
        <v>22500</v>
      </c>
      <c r="AQ288" s="295">
        <f>Tabla14[[#This Row],[Personas Precorte2]]</f>
        <v>4</v>
      </c>
      <c r="AR288" s="296">
        <f>Tabla14[[#This Row],[Valor Embarque Pesona3]]*Tabla14[[#This Row],[Perzona Primera]]</f>
        <v>90000</v>
      </c>
      <c r="AS288" s="287">
        <f>Tabla14[[#This Row],[Columna2]]</f>
        <v>0</v>
      </c>
      <c r="AT288" s="288">
        <f>Tabla14[[#This Row],[Columna1]]</f>
        <v>0</v>
      </c>
      <c r="AU288" s="302">
        <f>Tabla14[[#This Row],[Personas Intervienen]]</f>
        <v>0</v>
      </c>
      <c r="AV288" s="297">
        <f>Tabla14[[#This Row],[Valor Embarque Pesona5]]*Tabla14[[#This Row],[Presonas Segunda]]</f>
        <v>0</v>
      </c>
      <c r="AW288" s="287">
        <f>Tabla14[[#This Row],[Bolsas Por Personas]]</f>
        <v>3.76</v>
      </c>
      <c r="AX288" s="288">
        <f>Tabla14[[#This Row],[Valor bolsas Pesona]]</f>
        <v>2162</v>
      </c>
      <c r="AY288" s="309">
        <f>Tabla14[[#This Row],[Personas13]]</f>
        <v>4</v>
      </c>
      <c r="AZ288" s="310">
        <f>Tabla14[[#This Row],[Valor bolsas Pesona2]]*Tabla14[[#This Row],[Personas Rechazo]]</f>
        <v>8648</v>
      </c>
      <c r="BA288" s="311">
        <f>+Tabla14[[#This Row],[Total Valor Segunda]]+Tabla14[[#This Row],[Total Valor Primera]]+Tabla14[[#This Row],[Total Valor Precorte]]</f>
        <v>90000</v>
      </c>
      <c r="BB288" s="292">
        <f>Tabla14[[#This Row],[Valor bolsas Pesona2]]+Tabla14[[#This Row],[Valor Embarque Pesona3]]</f>
        <v>24662</v>
      </c>
      <c r="BC288" s="332">
        <v>30000</v>
      </c>
      <c r="BD288" s="292">
        <f>Tabla14[[#This Row],[VALOR GANADO]]-Tabla14[[#This Row],[REAJUSTADO]]</f>
        <v>-5338</v>
      </c>
      <c r="BE288" s="250">
        <f>Tabla14[[#This Row],[CUANTO SE REAJUSTA]]*Tabla14[[#This Row],[Personas Rechazo]]</f>
        <v>-21352</v>
      </c>
      <c r="BF288" s="250">
        <f>Tabla14[[#This Row],[REAJUSTADO]]/25000</f>
        <v>1.2</v>
      </c>
      <c r="BG288" s="302">
        <f>Tabla14[[#This Row],[REAJUSTADO]]*Tabla14[[#This Row],[Personas Rechazo]]</f>
        <v>120000</v>
      </c>
      <c r="BH288" s="292" t="str">
        <f>Tabla14[[#This Row],[Finca]]</f>
        <v>Uveros</v>
      </c>
      <c r="BJ288" s="332">
        <f>Tabla14[[#This Row],[Numero de Ocacionales]]*Tabla14[[#This Row],[REAJUSTADO]]</f>
        <v>0</v>
      </c>
      <c r="BK288" s="332"/>
      <c r="BL288" s="332"/>
      <c r="BM288" s="332">
        <f>+Tabla14[[#This Row],[CUANTO SE REAJUSTA]]*3</f>
        <v>-16014</v>
      </c>
    </row>
    <row r="289" spans="3:65" x14ac:dyDescent="0.25">
      <c r="C289" s="274">
        <v>44960</v>
      </c>
      <c r="D289" s="507">
        <f>YEAR(Tabla14[[#This Row],[Fecha]])</f>
        <v>2023</v>
      </c>
      <c r="E289" s="313">
        <f>IF(Tabla14[[#This Row],[Fecha]]&gt;0,_xlfn.ISOWEEKNUM(Tabla14[[#This Row],[Fecha]]),0)</f>
        <v>5</v>
      </c>
      <c r="F289" s="283">
        <v>50</v>
      </c>
      <c r="G289" s="275" t="s">
        <v>155</v>
      </c>
      <c r="H289" s="325" t="str">
        <f>_xlfn.XLOOKUP(Tabla14[[#This Row],[Codigo Finca]],Tabla4[Codigo Finca],Tabla4[Nombre Finca],"")</f>
        <v>Damaquiel</v>
      </c>
      <c r="I289" s="277">
        <f>_xlfn.XLOOKUP(Tabla14[[#This Row],[Codigo Finca]],Tabla4[Codigo Finca],Tabla4[Precio Caja],0)</f>
        <v>1500</v>
      </c>
      <c r="J289" s="277">
        <f>_xlfn.XLOOKUP(Tabla14[[#This Row],[Codigo Finca]],Tabla4[Codigo Finca],Tabla4[Precio Caja Segunda],0)</f>
        <v>1000</v>
      </c>
      <c r="K289" s="277">
        <f>_xlfn.XLOOKUP(Tabla14[[#This Row],[Codigo Finca]],Tabla4[Codigo Finca],Tabla4[Precio Rechazo],0)</f>
        <v>500</v>
      </c>
      <c r="L289" s="277">
        <f t="shared" si="400"/>
        <v>315</v>
      </c>
      <c r="M289" s="278">
        <f t="shared" si="401"/>
        <v>6.3</v>
      </c>
      <c r="N289" s="283"/>
      <c r="O289" s="279"/>
      <c r="P289" s="280">
        <f t="shared" si="402"/>
        <v>0</v>
      </c>
      <c r="Q289" s="281">
        <f t="shared" si="403"/>
        <v>0</v>
      </c>
      <c r="R289" s="282">
        <f t="shared" si="404"/>
        <v>0</v>
      </c>
      <c r="S289" s="283">
        <v>315</v>
      </c>
      <c r="T289" s="275">
        <v>6</v>
      </c>
      <c r="U289" s="280">
        <f t="shared" si="405"/>
        <v>50</v>
      </c>
      <c r="V289" s="281">
        <f t="shared" si="406"/>
        <v>8.3333333333333339</v>
      </c>
      <c r="W289" s="282">
        <f t="shared" si="407"/>
        <v>12500</v>
      </c>
      <c r="X289" s="283"/>
      <c r="Y289" s="275"/>
      <c r="Z289" s="280">
        <f>Tabla14[[#This Row],[Cajas Segunda]]</f>
        <v>0</v>
      </c>
      <c r="AA289" s="281">
        <f t="shared" si="408"/>
        <v>0</v>
      </c>
      <c r="AB289" s="284">
        <f t="shared" si="409"/>
        <v>0</v>
      </c>
      <c r="AC289" s="285"/>
      <c r="AD289" s="286">
        <f>513+92</f>
        <v>605</v>
      </c>
      <c r="AE289" s="286"/>
      <c r="AF289" s="286"/>
      <c r="AG289" s="286">
        <v>6</v>
      </c>
      <c r="AH289" s="280">
        <f t="shared" si="410"/>
        <v>24.2</v>
      </c>
      <c r="AI289" s="281">
        <f t="shared" si="411"/>
        <v>4.0333333333333332</v>
      </c>
      <c r="AJ289" s="282">
        <f t="shared" si="412"/>
        <v>2016.6666666666665</v>
      </c>
      <c r="AK289" s="287">
        <f>Tabla14[[#This Row],[Cajas por Personas]]</f>
        <v>0</v>
      </c>
      <c r="AL289" s="288">
        <f>Tabla14[[#This Row],[Valor Precorte Pesona]]</f>
        <v>0</v>
      </c>
      <c r="AM289" s="294">
        <f>Tabla14[[#This Row],[Personas Precorte]]</f>
        <v>0</v>
      </c>
      <c r="AN289" s="308">
        <f>Tabla14[[#This Row],[Valor Precorte Pesona Precorte]]*Tabla14[[#This Row],[Perzonas Precorte]]</f>
        <v>0</v>
      </c>
      <c r="AO289" s="287">
        <f>Tabla14[[#This Row],[Cajas por Personas2]]</f>
        <v>8.3333333333333339</v>
      </c>
      <c r="AP289" s="288">
        <f>Tabla14[[#This Row],[Valor Embarque Pesona]]</f>
        <v>12500</v>
      </c>
      <c r="AQ289" s="295">
        <f>Tabla14[[#This Row],[Personas Precorte2]]</f>
        <v>6</v>
      </c>
      <c r="AR289" s="296">
        <f>Tabla14[[#This Row],[Valor Embarque Pesona3]]*Tabla14[[#This Row],[Perzona Primera]]</f>
        <v>75000</v>
      </c>
      <c r="AS289" s="287">
        <f>Tabla14[[#This Row],[Columna2]]</f>
        <v>0</v>
      </c>
      <c r="AT289" s="288">
        <f>Tabla14[[#This Row],[Columna1]]</f>
        <v>0</v>
      </c>
      <c r="AU289" s="302">
        <f>Tabla14[[#This Row],[Personas Intervienen]]</f>
        <v>0</v>
      </c>
      <c r="AV289" s="297">
        <f>Tabla14[[#This Row],[Valor Embarque Pesona5]]*Tabla14[[#This Row],[Presonas Segunda]]</f>
        <v>0</v>
      </c>
      <c r="AW289" s="287">
        <f>Tabla14[[#This Row],[Bolsas Por Personas]]</f>
        <v>4.0333333333333332</v>
      </c>
      <c r="AX289" s="288">
        <f>Tabla14[[#This Row],[Valor bolsas Pesona]]</f>
        <v>2016.6666666666665</v>
      </c>
      <c r="AY289" s="309">
        <f>Tabla14[[#This Row],[Personas13]]</f>
        <v>6</v>
      </c>
      <c r="AZ289" s="310">
        <f>Tabla14[[#This Row],[Valor bolsas Pesona2]]*Tabla14[[#This Row],[Personas Rechazo]]</f>
        <v>12100</v>
      </c>
      <c r="BA289" s="311">
        <f>+Tabla14[[#This Row],[Total Valor Segunda]]+Tabla14[[#This Row],[Total Valor Primera]]+Tabla14[[#This Row],[Total Valor Precorte]]</f>
        <v>75000</v>
      </c>
      <c r="BB289" s="292">
        <f>Tabla14[[#This Row],[Valor bolsas Pesona2]]+Tabla14[[#This Row],[Valor Embarque Pesona3]]</f>
        <v>14516.666666666666</v>
      </c>
      <c r="BC289" s="332">
        <v>30000</v>
      </c>
      <c r="BD289" s="292">
        <f>Tabla14[[#This Row],[VALOR GANADO]]-Tabla14[[#This Row],[REAJUSTADO]]</f>
        <v>-15483.333333333334</v>
      </c>
      <c r="BE289" s="250">
        <f>Tabla14[[#This Row],[CUANTO SE REAJUSTA]]*Tabla14[[#This Row],[Personas Rechazo]]</f>
        <v>-92900</v>
      </c>
      <c r="BF289" s="250">
        <f>Tabla14[[#This Row],[REAJUSTADO]]/25000</f>
        <v>1.2</v>
      </c>
      <c r="BG289" s="302">
        <f>Tabla14[[#This Row],[REAJUSTADO]]*Tabla14[[#This Row],[Personas Rechazo]]</f>
        <v>180000</v>
      </c>
      <c r="BH289" s="292" t="str">
        <f>Tabla14[[#This Row],[Finca]]</f>
        <v>Damaquiel</v>
      </c>
      <c r="BJ289" s="332">
        <f>Tabla14[[#This Row],[Numero de Ocacionales]]*Tabla14[[#This Row],[REAJUSTADO]]</f>
        <v>0</v>
      </c>
      <c r="BK289" s="332"/>
      <c r="BL289" s="332"/>
      <c r="BM289" s="332">
        <f>+Tabla14[[#This Row],[CUANTO SE REAJUSTA]]*3</f>
        <v>-46450</v>
      </c>
    </row>
    <row r="290" spans="3:65" x14ac:dyDescent="0.25">
      <c r="C290" s="274">
        <v>44964</v>
      </c>
      <c r="D290" s="507">
        <f>YEAR(Tabla14[[#This Row],[Fecha]])</f>
        <v>2023</v>
      </c>
      <c r="E290" s="495">
        <f>IF(Tabla14[[#This Row],[Fecha]]&gt;0,_xlfn.ISOWEEKNUM(Tabla14[[#This Row],[Fecha]]),0)</f>
        <v>6</v>
      </c>
      <c r="F290" s="283">
        <v>607</v>
      </c>
      <c r="G290" s="275" t="s">
        <v>250</v>
      </c>
      <c r="H290" s="325" t="str">
        <f>_xlfn.XLOOKUP(Tabla14[[#This Row],[Codigo Finca]],Tabla4[Codigo Finca],Tabla4[Nombre Finca],"")</f>
        <v>San Pedro</v>
      </c>
      <c r="I290" s="277">
        <f>_xlfn.XLOOKUP(Tabla14[[#This Row],[Codigo Finca]],Tabla4[Codigo Finca],Tabla4[Precio Caja],0)</f>
        <v>1800</v>
      </c>
      <c r="J290" s="277">
        <f>_xlfn.XLOOKUP(Tabla14[[#This Row],[Codigo Finca]],Tabla4[Codigo Finca],Tabla4[Precio Caja Segunda],0)</f>
        <v>1150</v>
      </c>
      <c r="K290" s="277">
        <f>_xlfn.XLOOKUP(Tabla14[[#This Row],[Codigo Finca]],Tabla4[Codigo Finca],Tabla4[Precio Rechazo],0)</f>
        <v>575</v>
      </c>
      <c r="L290" s="277">
        <f t="shared" si="400"/>
        <v>1808</v>
      </c>
      <c r="M290" s="278">
        <f t="shared" si="401"/>
        <v>2.9785831960461286</v>
      </c>
      <c r="N290" s="283"/>
      <c r="O290" s="279"/>
      <c r="P290" s="280">
        <f t="shared" si="402"/>
        <v>0</v>
      </c>
      <c r="Q290" s="281">
        <f t="shared" si="403"/>
        <v>0</v>
      </c>
      <c r="R290" s="282">
        <f t="shared" si="404"/>
        <v>0</v>
      </c>
      <c r="S290" s="283">
        <v>1808</v>
      </c>
      <c r="T290" s="275">
        <v>20</v>
      </c>
      <c r="U290" s="280">
        <f t="shared" si="405"/>
        <v>607</v>
      </c>
      <c r="V290" s="281">
        <f t="shared" si="406"/>
        <v>30.35</v>
      </c>
      <c r="W290" s="282">
        <f t="shared" si="407"/>
        <v>54630</v>
      </c>
      <c r="X290" s="283"/>
      <c r="Y290" s="275"/>
      <c r="Z290" s="280">
        <f>Tabla14[[#This Row],[Cajas Segunda]]</f>
        <v>0</v>
      </c>
      <c r="AA290" s="281">
        <f t="shared" si="408"/>
        <v>0</v>
      </c>
      <c r="AB290" s="284">
        <f t="shared" si="409"/>
        <v>0</v>
      </c>
      <c r="AC290" s="285"/>
      <c r="AD290" s="286">
        <v>2290.4499999999998</v>
      </c>
      <c r="AE290" s="286"/>
      <c r="AF290" s="286"/>
      <c r="AG290" s="286">
        <v>20</v>
      </c>
      <c r="AH290" s="280">
        <f t="shared" si="410"/>
        <v>91.617999999999995</v>
      </c>
      <c r="AI290" s="281">
        <f t="shared" si="411"/>
        <v>4.5808999999999997</v>
      </c>
      <c r="AJ290" s="282">
        <f t="shared" si="412"/>
        <v>2634.0174999999999</v>
      </c>
      <c r="AK290" s="287">
        <f>Tabla14[[#This Row],[Cajas por Personas]]</f>
        <v>0</v>
      </c>
      <c r="AL290" s="288">
        <f>Tabla14[[#This Row],[Valor Precorte Pesona]]</f>
        <v>0</v>
      </c>
      <c r="AM290" s="294">
        <f>Tabla14[[#This Row],[Personas Precorte]]</f>
        <v>0</v>
      </c>
      <c r="AN290" s="308">
        <f>Tabla14[[#This Row],[Valor Precorte Pesona Precorte]]*Tabla14[[#This Row],[Perzonas Precorte]]</f>
        <v>0</v>
      </c>
      <c r="AO290" s="287">
        <f>Tabla14[[#This Row],[Cajas por Personas2]]</f>
        <v>30.35</v>
      </c>
      <c r="AP290" s="288">
        <f>Tabla14[[#This Row],[Valor Embarque Pesona]]</f>
        <v>54630</v>
      </c>
      <c r="AQ290" s="295">
        <f>Tabla14[[#This Row],[Personas Precorte2]]</f>
        <v>20</v>
      </c>
      <c r="AR290" s="296">
        <f>Tabla14[[#This Row],[Valor Embarque Pesona3]]*Tabla14[[#This Row],[Perzona Primera]]</f>
        <v>1092600</v>
      </c>
      <c r="AS290" s="287">
        <f>Tabla14[[#This Row],[Columna2]]</f>
        <v>0</v>
      </c>
      <c r="AT290" s="288">
        <f>Tabla14[[#This Row],[Columna1]]</f>
        <v>0</v>
      </c>
      <c r="AU290" s="302">
        <f>Tabla14[[#This Row],[Personas Intervienen]]</f>
        <v>0</v>
      </c>
      <c r="AV290" s="297">
        <f>Tabla14[[#This Row],[Valor Embarque Pesona5]]*Tabla14[[#This Row],[Presonas Segunda]]</f>
        <v>0</v>
      </c>
      <c r="AW290" s="287">
        <f>Tabla14[[#This Row],[Bolsas Por Personas]]</f>
        <v>4.5808999999999997</v>
      </c>
      <c r="AX290" s="288">
        <f>Tabla14[[#This Row],[Valor bolsas Pesona]]</f>
        <v>2634.0174999999999</v>
      </c>
      <c r="AY290" s="309">
        <f>Tabla14[[#This Row],[Personas13]]</f>
        <v>20</v>
      </c>
      <c r="AZ290" s="310">
        <f>Tabla14[[#This Row],[Valor bolsas Pesona2]]*Tabla14[[#This Row],[Personas Rechazo]]</f>
        <v>52680.35</v>
      </c>
      <c r="BA290" s="311">
        <f>+Tabla14[[#This Row],[Total Valor Segunda]]+Tabla14[[#This Row],[Total Valor Primera]]+Tabla14[[#This Row],[Total Valor Precorte]]</f>
        <v>1092600</v>
      </c>
      <c r="BB290" s="292">
        <f>Tabla14[[#This Row],[Valor bolsas Pesona2]]+Tabla14[[#This Row],[Valor Embarque Pesona3]]</f>
        <v>57264.017500000002</v>
      </c>
      <c r="BC290" s="332">
        <v>57300</v>
      </c>
      <c r="BD290" s="292">
        <f>Tabla14[[#This Row],[VALOR GANADO]]-Tabla14[[#This Row],[REAJUSTADO]]</f>
        <v>-35.982499999998254</v>
      </c>
      <c r="BE290" s="250">
        <f>Tabla14[[#This Row],[CUANTO SE REAJUSTA]]*Tabla14[[#This Row],[Personas Rechazo]]</f>
        <v>-719.64999999996508</v>
      </c>
      <c r="BF290" s="250">
        <f>Tabla14[[#This Row],[REAJUSTADO]]/25000</f>
        <v>2.2919999999999998</v>
      </c>
      <c r="BG290" s="302">
        <f>Tabla14[[#This Row],[REAJUSTADO]]*Tabla14[[#This Row],[Personas Rechazo]]</f>
        <v>1146000</v>
      </c>
      <c r="BH290" s="292" t="str">
        <f>Tabla14[[#This Row],[Finca]]</f>
        <v>San Pedro</v>
      </c>
      <c r="BJ290" s="332">
        <f>Tabla14[[#This Row],[Numero de Ocacionales]]*Tabla14[[#This Row],[REAJUSTADO]]</f>
        <v>0</v>
      </c>
      <c r="BK290" s="332"/>
      <c r="BL290" s="332"/>
      <c r="BM290" s="332">
        <f>+Tabla14[[#This Row],[CUANTO SE REAJUSTA]]*3</f>
        <v>-107.94749999999476</v>
      </c>
    </row>
    <row r="291" spans="3:65" x14ac:dyDescent="0.25">
      <c r="C291" s="274">
        <v>44964</v>
      </c>
      <c r="D291" s="507">
        <f>YEAR(Tabla14[[#This Row],[Fecha]])</f>
        <v>2023</v>
      </c>
      <c r="E291" s="313">
        <f>IF(Tabla14[[#This Row],[Fecha]]&gt;0,_xlfn.ISOWEEKNUM(Tabla14[[#This Row],[Fecha]]),0)</f>
        <v>6</v>
      </c>
      <c r="F291" s="283">
        <v>42</v>
      </c>
      <c r="G291" s="275" t="s">
        <v>247</v>
      </c>
      <c r="H291" s="325" t="str">
        <f>_xlfn.XLOOKUP(Tabla14[[#This Row],[Codigo Finca]],Tabla4[Codigo Finca],Tabla4[Nombre Finca],"")</f>
        <v>Uveros</v>
      </c>
      <c r="I291" s="277">
        <f>_xlfn.XLOOKUP(Tabla14[[#This Row],[Codigo Finca]],Tabla4[Codigo Finca],Tabla4[Precio Caja],0)</f>
        <v>1800</v>
      </c>
      <c r="J291" s="277">
        <f>_xlfn.XLOOKUP(Tabla14[[#This Row],[Codigo Finca]],Tabla4[Codigo Finca],Tabla4[Precio Caja Segunda],0)</f>
        <v>1150</v>
      </c>
      <c r="K291" s="277">
        <f>_xlfn.XLOOKUP(Tabla14[[#This Row],[Codigo Finca]],Tabla4[Codigo Finca],Tabla4[Precio Rechazo],0)</f>
        <v>575</v>
      </c>
      <c r="L291" s="277">
        <f t="shared" si="400"/>
        <v>223</v>
      </c>
      <c r="M291" s="278">
        <f t="shared" si="401"/>
        <v>5.3095238095238093</v>
      </c>
      <c r="N291" s="283"/>
      <c r="O291" s="279"/>
      <c r="P291" s="280">
        <f t="shared" si="402"/>
        <v>0</v>
      </c>
      <c r="Q291" s="281">
        <f t="shared" si="403"/>
        <v>0</v>
      </c>
      <c r="R291" s="282">
        <f t="shared" si="404"/>
        <v>0</v>
      </c>
      <c r="S291" s="283">
        <v>223</v>
      </c>
      <c r="T291" s="275">
        <v>4</v>
      </c>
      <c r="U291" s="280">
        <f t="shared" si="405"/>
        <v>42</v>
      </c>
      <c r="V291" s="281">
        <f t="shared" si="406"/>
        <v>10.5</v>
      </c>
      <c r="W291" s="282">
        <f t="shared" si="407"/>
        <v>18900</v>
      </c>
      <c r="X291" s="283"/>
      <c r="Y291" s="275"/>
      <c r="Z291" s="280">
        <f>Tabla14[[#This Row],[Cajas Segunda]]</f>
        <v>0</v>
      </c>
      <c r="AA291" s="281">
        <f t="shared" si="408"/>
        <v>0</v>
      </c>
      <c r="AB291" s="284">
        <f t="shared" si="409"/>
        <v>0</v>
      </c>
      <c r="AC291" s="285"/>
      <c r="AD291" s="286">
        <f>8.88*42</f>
        <v>372.96000000000004</v>
      </c>
      <c r="AE291" s="286"/>
      <c r="AF291" s="286"/>
      <c r="AG291" s="286">
        <v>4</v>
      </c>
      <c r="AH291" s="280">
        <f t="shared" si="410"/>
        <v>14.918400000000002</v>
      </c>
      <c r="AI291" s="281">
        <f t="shared" si="411"/>
        <v>3.7296000000000005</v>
      </c>
      <c r="AJ291" s="282">
        <f t="shared" si="412"/>
        <v>2144.5200000000004</v>
      </c>
      <c r="AK291" s="287">
        <f>Tabla14[[#This Row],[Cajas por Personas]]</f>
        <v>0</v>
      </c>
      <c r="AL291" s="288">
        <f>Tabla14[[#This Row],[Valor Precorte Pesona]]</f>
        <v>0</v>
      </c>
      <c r="AM291" s="294">
        <f>Tabla14[[#This Row],[Personas Precorte]]</f>
        <v>0</v>
      </c>
      <c r="AN291" s="308">
        <f>Tabla14[[#This Row],[Valor Precorte Pesona Precorte]]*Tabla14[[#This Row],[Perzonas Precorte]]</f>
        <v>0</v>
      </c>
      <c r="AO291" s="287">
        <f>Tabla14[[#This Row],[Cajas por Personas2]]</f>
        <v>10.5</v>
      </c>
      <c r="AP291" s="288">
        <f>Tabla14[[#This Row],[Valor Embarque Pesona]]</f>
        <v>18900</v>
      </c>
      <c r="AQ291" s="295">
        <f>Tabla14[[#This Row],[Personas Precorte2]]</f>
        <v>4</v>
      </c>
      <c r="AR291" s="296">
        <f>Tabla14[[#This Row],[Valor Embarque Pesona3]]*Tabla14[[#This Row],[Perzona Primera]]</f>
        <v>75600</v>
      </c>
      <c r="AS291" s="287">
        <f>Tabla14[[#This Row],[Columna2]]</f>
        <v>0</v>
      </c>
      <c r="AT291" s="288">
        <f>Tabla14[[#This Row],[Columna1]]</f>
        <v>0</v>
      </c>
      <c r="AU291" s="302">
        <f>Tabla14[[#This Row],[Personas Intervienen]]</f>
        <v>0</v>
      </c>
      <c r="AV291" s="297">
        <f>Tabla14[[#This Row],[Valor Embarque Pesona5]]*Tabla14[[#This Row],[Presonas Segunda]]</f>
        <v>0</v>
      </c>
      <c r="AW291" s="287">
        <f>Tabla14[[#This Row],[Bolsas Por Personas]]</f>
        <v>3.7296000000000005</v>
      </c>
      <c r="AX291" s="288">
        <f>Tabla14[[#This Row],[Valor bolsas Pesona]]</f>
        <v>2144.5200000000004</v>
      </c>
      <c r="AY291" s="309">
        <f>Tabla14[[#This Row],[Personas13]]</f>
        <v>4</v>
      </c>
      <c r="AZ291" s="310">
        <f>Tabla14[[#This Row],[Valor bolsas Pesona2]]*Tabla14[[#This Row],[Personas Rechazo]]</f>
        <v>8578.0800000000017</v>
      </c>
      <c r="BA291" s="311">
        <f>+Tabla14[[#This Row],[Total Valor Segunda]]+Tabla14[[#This Row],[Total Valor Primera]]+Tabla14[[#This Row],[Total Valor Precorte]]</f>
        <v>75600</v>
      </c>
      <c r="BB291" s="292">
        <f>Tabla14[[#This Row],[Valor bolsas Pesona2]]+Tabla14[[#This Row],[Valor Embarque Pesona3]]</f>
        <v>21044.52</v>
      </c>
      <c r="BC291" s="332">
        <v>30000</v>
      </c>
      <c r="BD291" s="292">
        <f>Tabla14[[#This Row],[VALOR GANADO]]-Tabla14[[#This Row],[REAJUSTADO]]</f>
        <v>-8955.48</v>
      </c>
      <c r="BE291" s="250">
        <f>Tabla14[[#This Row],[CUANTO SE REAJUSTA]]*Tabla14[[#This Row],[Personas Rechazo]]</f>
        <v>-35821.919999999998</v>
      </c>
      <c r="BF291" s="250">
        <f>Tabla14[[#This Row],[REAJUSTADO]]/25000</f>
        <v>1.2</v>
      </c>
      <c r="BG291" s="302">
        <f>Tabla14[[#This Row],[REAJUSTADO]]*Tabla14[[#This Row],[Personas Rechazo]]</f>
        <v>120000</v>
      </c>
      <c r="BH291" s="292" t="str">
        <f>Tabla14[[#This Row],[Finca]]</f>
        <v>Uveros</v>
      </c>
      <c r="BJ291" s="332">
        <f>Tabla14[[#This Row],[Numero de Ocacionales]]*Tabla14[[#This Row],[REAJUSTADO]]</f>
        <v>0</v>
      </c>
      <c r="BK291" s="332"/>
      <c r="BL291" s="332"/>
      <c r="BM291" s="332">
        <f>+Tabla14[[#This Row],[CUANTO SE REAJUSTA]]*3</f>
        <v>-26866.44</v>
      </c>
    </row>
    <row r="292" spans="3:65" x14ac:dyDescent="0.25">
      <c r="C292" s="274">
        <v>44965</v>
      </c>
      <c r="D292" s="507">
        <f>YEAR(Tabla14[[#This Row],[Fecha]])</f>
        <v>2023</v>
      </c>
      <c r="E292" s="313">
        <f>IF(Tabla14[[#This Row],[Fecha]]&gt;0,_xlfn.ISOWEEKNUM(Tabla14[[#This Row],[Fecha]]),0)</f>
        <v>6</v>
      </c>
      <c r="F292" s="283">
        <v>307</v>
      </c>
      <c r="G292" s="275" t="s">
        <v>251</v>
      </c>
      <c r="H292" s="325" t="str">
        <f>_xlfn.XLOOKUP(Tabla14[[#This Row],[Codigo Finca]],Tabla4[Codigo Finca],Tabla4[Nombre Finca],"")</f>
        <v>Pedrito</v>
      </c>
      <c r="I292" s="277">
        <f>_xlfn.XLOOKUP(Tabla14[[#This Row],[Codigo Finca]],Tabla4[Codigo Finca],Tabla4[Precio Caja],0)</f>
        <v>1800</v>
      </c>
      <c r="J292" s="277">
        <f>_xlfn.XLOOKUP(Tabla14[[#This Row],[Codigo Finca]],Tabla4[Codigo Finca],Tabla4[Precio Caja Segunda],0)</f>
        <v>1150</v>
      </c>
      <c r="K292" s="277">
        <f>_xlfn.XLOOKUP(Tabla14[[#This Row],[Codigo Finca]],Tabla4[Codigo Finca],Tabla4[Precio Rechazo],0)</f>
        <v>575</v>
      </c>
      <c r="L292" s="277">
        <f t="shared" si="400"/>
        <v>1461</v>
      </c>
      <c r="M292" s="278">
        <f t="shared" si="401"/>
        <v>4.7589576547231269</v>
      </c>
      <c r="N292" s="283"/>
      <c r="O292" s="279"/>
      <c r="P292" s="280">
        <f t="shared" si="402"/>
        <v>0</v>
      </c>
      <c r="Q292" s="281">
        <f t="shared" si="403"/>
        <v>0</v>
      </c>
      <c r="R292" s="282">
        <f t="shared" si="404"/>
        <v>0</v>
      </c>
      <c r="S292" s="283">
        <v>1461</v>
      </c>
      <c r="T292" s="275">
        <v>15</v>
      </c>
      <c r="U292" s="280">
        <f t="shared" si="405"/>
        <v>307</v>
      </c>
      <c r="V292" s="281">
        <f t="shared" si="406"/>
        <v>20.466666666666665</v>
      </c>
      <c r="W292" s="282">
        <f t="shared" si="407"/>
        <v>36840</v>
      </c>
      <c r="X292" s="283"/>
      <c r="Y292" s="275"/>
      <c r="Z292" s="280">
        <f>Tabla14[[#This Row],[Cajas Segunda]]</f>
        <v>0</v>
      </c>
      <c r="AA292" s="281">
        <f t="shared" si="408"/>
        <v>0</v>
      </c>
      <c r="AB292" s="284">
        <f t="shared" si="409"/>
        <v>0</v>
      </c>
      <c r="AC292" s="285"/>
      <c r="AD292" s="286">
        <v>2905</v>
      </c>
      <c r="AE292" s="286"/>
      <c r="AF292" s="286"/>
      <c r="AG292" s="286">
        <v>15</v>
      </c>
      <c r="AH292" s="280">
        <f t="shared" si="410"/>
        <v>116.2</v>
      </c>
      <c r="AI292" s="281">
        <f t="shared" si="411"/>
        <v>7.746666666666667</v>
      </c>
      <c r="AJ292" s="282">
        <f t="shared" si="412"/>
        <v>4454.3333333333339</v>
      </c>
      <c r="AK292" s="287">
        <f>Tabla14[[#This Row],[Cajas por Personas]]</f>
        <v>0</v>
      </c>
      <c r="AL292" s="288">
        <f>Tabla14[[#This Row],[Valor Precorte Pesona]]</f>
        <v>0</v>
      </c>
      <c r="AM292" s="294">
        <f>Tabla14[[#This Row],[Personas Precorte]]</f>
        <v>0</v>
      </c>
      <c r="AN292" s="308">
        <f>Tabla14[[#This Row],[Valor Precorte Pesona Precorte]]*Tabla14[[#This Row],[Perzonas Precorte]]</f>
        <v>0</v>
      </c>
      <c r="AO292" s="287">
        <f>Tabla14[[#This Row],[Cajas por Personas2]]</f>
        <v>20.466666666666665</v>
      </c>
      <c r="AP292" s="288">
        <f>Tabla14[[#This Row],[Valor Embarque Pesona]]</f>
        <v>36840</v>
      </c>
      <c r="AQ292" s="295">
        <f>Tabla14[[#This Row],[Personas Precorte2]]</f>
        <v>15</v>
      </c>
      <c r="AR292" s="296">
        <f>Tabla14[[#This Row],[Valor Embarque Pesona3]]*Tabla14[[#This Row],[Perzona Primera]]</f>
        <v>552600</v>
      </c>
      <c r="AS292" s="287">
        <f>Tabla14[[#This Row],[Columna2]]</f>
        <v>0</v>
      </c>
      <c r="AT292" s="288">
        <f>Tabla14[[#This Row],[Columna1]]</f>
        <v>0</v>
      </c>
      <c r="AU292" s="302">
        <f>Tabla14[[#This Row],[Personas Intervienen]]</f>
        <v>0</v>
      </c>
      <c r="AV292" s="297">
        <f>Tabla14[[#This Row],[Valor Embarque Pesona5]]*Tabla14[[#This Row],[Presonas Segunda]]</f>
        <v>0</v>
      </c>
      <c r="AW292" s="287">
        <f>Tabla14[[#This Row],[Bolsas Por Personas]]</f>
        <v>7.746666666666667</v>
      </c>
      <c r="AX292" s="288">
        <f>Tabla14[[#This Row],[Valor bolsas Pesona]]</f>
        <v>4454.3333333333339</v>
      </c>
      <c r="AY292" s="309">
        <f>Tabla14[[#This Row],[Personas13]]</f>
        <v>15</v>
      </c>
      <c r="AZ292" s="310">
        <f>Tabla14[[#This Row],[Valor bolsas Pesona2]]*Tabla14[[#This Row],[Personas Rechazo]]</f>
        <v>66815.000000000015</v>
      </c>
      <c r="BA292" s="311">
        <f>+Tabla14[[#This Row],[Total Valor Segunda]]+Tabla14[[#This Row],[Total Valor Primera]]+Tabla14[[#This Row],[Total Valor Precorte]]</f>
        <v>552600</v>
      </c>
      <c r="BB292" s="292">
        <f>Tabla14[[#This Row],[Valor bolsas Pesona2]]+Tabla14[[#This Row],[Valor Embarque Pesona3]]</f>
        <v>41294.333333333336</v>
      </c>
      <c r="BC292" s="332">
        <v>41300</v>
      </c>
      <c r="BD292" s="292">
        <f>Tabla14[[#This Row],[VALOR GANADO]]-Tabla14[[#This Row],[REAJUSTADO]]</f>
        <v>-5.6666666666642413</v>
      </c>
      <c r="BE292" s="250">
        <f>Tabla14[[#This Row],[CUANTO SE REAJUSTA]]*Tabla14[[#This Row],[Personas Rechazo]]</f>
        <v>-84.99999999996362</v>
      </c>
      <c r="BF292" s="250">
        <f>Tabla14[[#This Row],[REAJUSTADO]]/25000</f>
        <v>1.6519999999999999</v>
      </c>
      <c r="BG292" s="302">
        <f>Tabla14[[#This Row],[REAJUSTADO]]*Tabla14[[#This Row],[Personas Rechazo]]</f>
        <v>619500</v>
      </c>
      <c r="BH292" s="292" t="str">
        <f>Tabla14[[#This Row],[Finca]]</f>
        <v>Pedrito</v>
      </c>
      <c r="BJ292" s="332">
        <f>Tabla14[[#This Row],[Numero de Ocacionales]]*Tabla14[[#This Row],[REAJUSTADO]]</f>
        <v>0</v>
      </c>
      <c r="BK292" s="332"/>
      <c r="BL292" s="332"/>
      <c r="BM292" s="332">
        <f>+Tabla14[[#This Row],[CUANTO SE REAJUSTA]]*3</f>
        <v>-16.999999999992724</v>
      </c>
    </row>
    <row r="293" spans="3:65" x14ac:dyDescent="0.25">
      <c r="C293" s="274">
        <v>44965</v>
      </c>
      <c r="D293" s="507">
        <f>YEAR(Tabla14[[#This Row],[Fecha]])</f>
        <v>2023</v>
      </c>
      <c r="E293" s="495">
        <f>IF(Tabla14[[#This Row],[Fecha]]&gt;0,_xlfn.ISOWEEKNUM(Tabla14[[#This Row],[Fecha]]),0)</f>
        <v>6</v>
      </c>
      <c r="F293" s="283">
        <v>43</v>
      </c>
      <c r="G293" s="275" t="s">
        <v>249</v>
      </c>
      <c r="H293" s="325" t="str">
        <f>_xlfn.XLOOKUP(Tabla14[[#This Row],[Codigo Finca]],Tabla4[Codigo Finca],Tabla4[Nombre Finca],"")</f>
        <v>San Pedro</v>
      </c>
      <c r="I293" s="277">
        <f>_xlfn.XLOOKUP(Tabla14[[#This Row],[Codigo Finca]],Tabla4[Codigo Finca],Tabla4[Precio Caja],0)</f>
        <v>2000</v>
      </c>
      <c r="J293" s="277">
        <f>_xlfn.XLOOKUP(Tabla14[[#This Row],[Codigo Finca]],Tabla4[Codigo Finca],Tabla4[Precio Caja Segunda],0)</f>
        <v>1150</v>
      </c>
      <c r="K293" s="277">
        <f>_xlfn.XLOOKUP(Tabla14[[#This Row],[Codigo Finca]],Tabla4[Codigo Finca],Tabla4[Precio Rechazo],0)</f>
        <v>675</v>
      </c>
      <c r="L293" s="277">
        <f t="shared" si="400"/>
        <v>129</v>
      </c>
      <c r="M293" s="278">
        <f t="shared" si="401"/>
        <v>3</v>
      </c>
      <c r="N293" s="283"/>
      <c r="O293" s="279"/>
      <c r="P293" s="280">
        <f t="shared" si="402"/>
        <v>0</v>
      </c>
      <c r="Q293" s="281">
        <f t="shared" si="403"/>
        <v>0</v>
      </c>
      <c r="R293" s="282">
        <f t="shared" si="404"/>
        <v>0</v>
      </c>
      <c r="S293" s="283">
        <v>129</v>
      </c>
      <c r="T293" s="275">
        <v>1</v>
      </c>
      <c r="U293" s="280">
        <f t="shared" si="405"/>
        <v>43</v>
      </c>
      <c r="V293" s="281">
        <f t="shared" si="406"/>
        <v>43</v>
      </c>
      <c r="W293" s="282">
        <f t="shared" si="407"/>
        <v>86000</v>
      </c>
      <c r="X293" s="283"/>
      <c r="Y293" s="275"/>
      <c r="Z293" s="280">
        <f>Tabla14[[#This Row],[Cajas Segunda]]</f>
        <v>0</v>
      </c>
      <c r="AA293" s="281">
        <f t="shared" si="408"/>
        <v>0</v>
      </c>
      <c r="AB293" s="284">
        <f t="shared" si="409"/>
        <v>0</v>
      </c>
      <c r="AC293" s="285"/>
      <c r="AD293" s="286">
        <f>139+41</f>
        <v>180</v>
      </c>
      <c r="AE293" s="286"/>
      <c r="AF293" s="286"/>
      <c r="AG293" s="286">
        <v>1</v>
      </c>
      <c r="AH293" s="280">
        <f t="shared" si="410"/>
        <v>7.2</v>
      </c>
      <c r="AI293" s="281">
        <f t="shared" si="411"/>
        <v>7.2</v>
      </c>
      <c r="AJ293" s="282">
        <f t="shared" si="412"/>
        <v>4860</v>
      </c>
      <c r="AK293" s="287">
        <f>Tabla14[[#This Row],[Cajas por Personas]]</f>
        <v>0</v>
      </c>
      <c r="AL293" s="288">
        <f>Tabla14[[#This Row],[Valor Precorte Pesona]]</f>
        <v>0</v>
      </c>
      <c r="AM293" s="294">
        <f>Tabla14[[#This Row],[Personas Precorte]]</f>
        <v>0</v>
      </c>
      <c r="AN293" s="308">
        <f>Tabla14[[#This Row],[Valor Precorte Pesona Precorte]]*Tabla14[[#This Row],[Perzonas Precorte]]</f>
        <v>0</v>
      </c>
      <c r="AO293" s="287">
        <f>Tabla14[[#This Row],[Cajas por Personas2]]</f>
        <v>43</v>
      </c>
      <c r="AP293" s="288">
        <f>Tabla14[[#This Row],[Valor Embarque Pesona]]</f>
        <v>86000</v>
      </c>
      <c r="AQ293" s="295">
        <f>Tabla14[[#This Row],[Personas Precorte2]]</f>
        <v>1</v>
      </c>
      <c r="AR293" s="296">
        <f>Tabla14[[#This Row],[Valor Embarque Pesona3]]*Tabla14[[#This Row],[Perzona Primera]]</f>
        <v>86000</v>
      </c>
      <c r="AS293" s="287">
        <f>Tabla14[[#This Row],[Columna2]]</f>
        <v>0</v>
      </c>
      <c r="AT293" s="288">
        <f>Tabla14[[#This Row],[Columna1]]</f>
        <v>0</v>
      </c>
      <c r="AU293" s="302">
        <f>Tabla14[[#This Row],[Personas Intervienen]]</f>
        <v>0</v>
      </c>
      <c r="AV293" s="297">
        <f>Tabla14[[#This Row],[Valor Embarque Pesona5]]*Tabla14[[#This Row],[Presonas Segunda]]</f>
        <v>0</v>
      </c>
      <c r="AW293" s="287">
        <f>Tabla14[[#This Row],[Bolsas Por Personas]]</f>
        <v>7.2</v>
      </c>
      <c r="AX293" s="288">
        <f>Tabla14[[#This Row],[Valor bolsas Pesona]]</f>
        <v>4860</v>
      </c>
      <c r="AY293" s="309">
        <f>Tabla14[[#This Row],[Personas13]]</f>
        <v>1</v>
      </c>
      <c r="AZ293" s="310">
        <f>Tabla14[[#This Row],[Valor bolsas Pesona2]]*Tabla14[[#This Row],[Personas Rechazo]]</f>
        <v>4860</v>
      </c>
      <c r="BA293" s="311">
        <f>+Tabla14[[#This Row],[Total Valor Segunda]]+Tabla14[[#This Row],[Total Valor Primera]]+Tabla14[[#This Row],[Total Valor Precorte]]</f>
        <v>86000</v>
      </c>
      <c r="BB293" s="292">
        <f>Tabla14[[#This Row],[Valor bolsas Pesona2]]+Tabla14[[#This Row],[Valor Embarque Pesona3]]</f>
        <v>90860</v>
      </c>
      <c r="BC293" s="332">
        <v>90800</v>
      </c>
      <c r="BD293" s="292">
        <f>Tabla14[[#This Row],[VALOR GANADO]]-Tabla14[[#This Row],[REAJUSTADO]]</f>
        <v>60</v>
      </c>
      <c r="BE293" s="250">
        <f>Tabla14[[#This Row],[CUANTO SE REAJUSTA]]*Tabla14[[#This Row],[Personas Rechazo]]</f>
        <v>60</v>
      </c>
      <c r="BF293" s="250">
        <f>Tabla14[[#This Row],[REAJUSTADO]]/25000</f>
        <v>3.6320000000000001</v>
      </c>
      <c r="BG293" s="302">
        <f>Tabla14[[#This Row],[REAJUSTADO]]*Tabla14[[#This Row],[Personas Rechazo]]</f>
        <v>90800</v>
      </c>
      <c r="BH293" s="292" t="str">
        <f>Tabla14[[#This Row],[Finca]]</f>
        <v>San Pedro</v>
      </c>
      <c r="BJ293" s="332">
        <f>Tabla14[[#This Row],[Numero de Ocacionales]]*Tabla14[[#This Row],[REAJUSTADO]]</f>
        <v>0</v>
      </c>
      <c r="BK293" s="332"/>
      <c r="BL293" s="332"/>
      <c r="BM293" s="332">
        <f>+Tabla14[[#This Row],[CUANTO SE REAJUSTA]]*3</f>
        <v>180</v>
      </c>
    </row>
    <row r="294" spans="3:65" x14ac:dyDescent="0.25">
      <c r="C294" s="274">
        <v>44965</v>
      </c>
      <c r="D294" s="507">
        <f>YEAR(Tabla14[[#This Row],[Fecha]])</f>
        <v>2023</v>
      </c>
      <c r="E294" s="313">
        <f>IF(Tabla14[[#This Row],[Fecha]]&gt;0,_xlfn.ISOWEEKNUM(Tabla14[[#This Row],[Fecha]]),0)</f>
        <v>6</v>
      </c>
      <c r="F294" s="283">
        <v>11</v>
      </c>
      <c r="G294" s="275" t="s">
        <v>248</v>
      </c>
      <c r="H294" s="325" t="str">
        <f>_xlfn.XLOOKUP(Tabla14[[#This Row],[Codigo Finca]],Tabla4[Codigo Finca],Tabla4[Nombre Finca],"")</f>
        <v>Damaquiel</v>
      </c>
      <c r="I294" s="277">
        <f>_xlfn.XLOOKUP(Tabla14[[#This Row],[Codigo Finca]],Tabla4[Codigo Finca],Tabla4[Precio Caja],0)</f>
        <v>1800</v>
      </c>
      <c r="J294" s="277">
        <f>_xlfn.XLOOKUP(Tabla14[[#This Row],[Codigo Finca]],Tabla4[Codigo Finca],Tabla4[Precio Caja Segunda],0)</f>
        <v>1150</v>
      </c>
      <c r="K294" s="277">
        <f>_xlfn.XLOOKUP(Tabla14[[#This Row],[Codigo Finca]],Tabla4[Codigo Finca],Tabla4[Precio Rechazo],0)</f>
        <v>575</v>
      </c>
      <c r="L294" s="277">
        <f t="shared" si="400"/>
        <v>189</v>
      </c>
      <c r="M294" s="278">
        <f t="shared" si="401"/>
        <v>17.181818181818183</v>
      </c>
      <c r="N294" s="283"/>
      <c r="O294" s="279"/>
      <c r="P294" s="280">
        <f t="shared" si="402"/>
        <v>0</v>
      </c>
      <c r="Q294" s="281">
        <f t="shared" si="403"/>
        <v>0</v>
      </c>
      <c r="R294" s="282">
        <f t="shared" si="404"/>
        <v>0</v>
      </c>
      <c r="S294" s="283">
        <v>189</v>
      </c>
      <c r="T294" s="275">
        <v>5</v>
      </c>
      <c r="U294" s="280">
        <f t="shared" si="405"/>
        <v>11</v>
      </c>
      <c r="V294" s="281">
        <f t="shared" si="406"/>
        <v>2.2000000000000002</v>
      </c>
      <c r="W294" s="282">
        <f t="shared" si="407"/>
        <v>3960</v>
      </c>
      <c r="X294" s="283"/>
      <c r="Y294" s="275"/>
      <c r="Z294" s="280">
        <f>Tabla14[[#This Row],[Cajas Segunda]]</f>
        <v>0</v>
      </c>
      <c r="AA294" s="281">
        <f t="shared" si="408"/>
        <v>0</v>
      </c>
      <c r="AB294" s="284">
        <f t="shared" si="409"/>
        <v>0</v>
      </c>
      <c r="AC294" s="285"/>
      <c r="AD294" s="286">
        <v>97.67</v>
      </c>
      <c r="AE294" s="286"/>
      <c r="AF294" s="286"/>
      <c r="AG294" s="286">
        <v>5</v>
      </c>
      <c r="AH294" s="280">
        <f t="shared" si="410"/>
        <v>3.9068000000000001</v>
      </c>
      <c r="AI294" s="281">
        <f t="shared" si="411"/>
        <v>0.78136000000000005</v>
      </c>
      <c r="AJ294" s="282">
        <f t="shared" si="412"/>
        <v>449.28200000000004</v>
      </c>
      <c r="AK294" s="287">
        <f>Tabla14[[#This Row],[Cajas por Personas]]</f>
        <v>0</v>
      </c>
      <c r="AL294" s="288">
        <f>Tabla14[[#This Row],[Valor Precorte Pesona]]</f>
        <v>0</v>
      </c>
      <c r="AM294" s="294">
        <f>Tabla14[[#This Row],[Personas Precorte]]</f>
        <v>0</v>
      </c>
      <c r="AN294" s="308">
        <f>Tabla14[[#This Row],[Valor Precorte Pesona Precorte]]*Tabla14[[#This Row],[Perzonas Precorte]]</f>
        <v>0</v>
      </c>
      <c r="AO294" s="287">
        <f>Tabla14[[#This Row],[Cajas por Personas2]]</f>
        <v>2.2000000000000002</v>
      </c>
      <c r="AP294" s="288">
        <f>Tabla14[[#This Row],[Valor Embarque Pesona]]</f>
        <v>3960</v>
      </c>
      <c r="AQ294" s="295">
        <f>Tabla14[[#This Row],[Personas Precorte2]]</f>
        <v>5</v>
      </c>
      <c r="AR294" s="296">
        <f>Tabla14[[#This Row],[Valor Embarque Pesona3]]*Tabla14[[#This Row],[Perzona Primera]]</f>
        <v>19800</v>
      </c>
      <c r="AS294" s="287">
        <f>Tabla14[[#This Row],[Columna2]]</f>
        <v>0</v>
      </c>
      <c r="AT294" s="288">
        <f>Tabla14[[#This Row],[Columna1]]</f>
        <v>0</v>
      </c>
      <c r="AU294" s="302">
        <f>Tabla14[[#This Row],[Personas Intervienen]]</f>
        <v>0</v>
      </c>
      <c r="AV294" s="297">
        <f>Tabla14[[#This Row],[Valor Embarque Pesona5]]*Tabla14[[#This Row],[Presonas Segunda]]</f>
        <v>0</v>
      </c>
      <c r="AW294" s="287">
        <f>Tabla14[[#This Row],[Bolsas Por Personas]]</f>
        <v>0.78136000000000005</v>
      </c>
      <c r="AX294" s="288">
        <f>Tabla14[[#This Row],[Valor bolsas Pesona]]</f>
        <v>449.28200000000004</v>
      </c>
      <c r="AY294" s="309">
        <f>Tabla14[[#This Row],[Personas13]]</f>
        <v>5</v>
      </c>
      <c r="AZ294" s="310">
        <f>Tabla14[[#This Row],[Valor bolsas Pesona2]]*Tabla14[[#This Row],[Personas Rechazo]]</f>
        <v>2246.4100000000003</v>
      </c>
      <c r="BA294" s="311">
        <f>+Tabla14[[#This Row],[Total Valor Segunda]]+Tabla14[[#This Row],[Total Valor Primera]]+Tabla14[[#This Row],[Total Valor Precorte]]</f>
        <v>19800</v>
      </c>
      <c r="BB294" s="292">
        <f>Tabla14[[#This Row],[Valor bolsas Pesona2]]+Tabla14[[#This Row],[Valor Embarque Pesona3]]</f>
        <v>4409.2820000000002</v>
      </c>
      <c r="BC294" s="332">
        <v>30000</v>
      </c>
      <c r="BD294" s="292">
        <f>Tabla14[[#This Row],[VALOR GANADO]]-Tabla14[[#This Row],[REAJUSTADO]]</f>
        <v>-25590.718000000001</v>
      </c>
      <c r="BE294" s="250">
        <f>Tabla14[[#This Row],[CUANTO SE REAJUSTA]]*Tabla14[[#This Row],[Personas Rechazo]]</f>
        <v>-127953.59</v>
      </c>
      <c r="BF294" s="250">
        <f>Tabla14[[#This Row],[REAJUSTADO]]/25000</f>
        <v>1.2</v>
      </c>
      <c r="BG294" s="302">
        <f>Tabla14[[#This Row],[REAJUSTADO]]*Tabla14[[#This Row],[Personas Rechazo]]</f>
        <v>150000</v>
      </c>
      <c r="BH294" s="292" t="str">
        <f>Tabla14[[#This Row],[Finca]]</f>
        <v>Damaquiel</v>
      </c>
      <c r="BJ294" s="332">
        <f>Tabla14[[#This Row],[Numero de Ocacionales]]*Tabla14[[#This Row],[REAJUSTADO]]</f>
        <v>0</v>
      </c>
      <c r="BK294" s="332"/>
      <c r="BL294" s="332"/>
      <c r="BM294" s="332">
        <f>+Tabla14[[#This Row],[CUANTO SE REAJUSTA]]*3</f>
        <v>-76772.15400000001</v>
      </c>
    </row>
    <row r="295" spans="3:65" x14ac:dyDescent="0.25">
      <c r="C295" s="274">
        <v>44970</v>
      </c>
      <c r="D295" s="507">
        <f>YEAR(Tabla14[[#This Row],[Fecha]])</f>
        <v>2023</v>
      </c>
      <c r="E295" s="313">
        <f>IF(Tabla14[[#This Row],[Fecha]]&gt;0,_xlfn.ISOWEEKNUM(Tabla14[[#This Row],[Fecha]]),0)</f>
        <v>7</v>
      </c>
      <c r="F295" s="283">
        <v>460</v>
      </c>
      <c r="G295" s="275" t="s">
        <v>250</v>
      </c>
      <c r="H295" s="325" t="str">
        <f>_xlfn.XLOOKUP(Tabla14[[#This Row],[Codigo Finca]],Tabla4[Codigo Finca],Tabla4[Nombre Finca],"")</f>
        <v>San Pedro</v>
      </c>
      <c r="I295" s="277">
        <f>_xlfn.XLOOKUP(Tabla14[[#This Row],[Codigo Finca]],Tabla4[Codigo Finca],Tabla4[Precio Caja],0)</f>
        <v>1800</v>
      </c>
      <c r="J295" s="277">
        <f>_xlfn.XLOOKUP(Tabla14[[#This Row],[Codigo Finca]],Tabla4[Codigo Finca],Tabla4[Precio Caja Segunda],0)</f>
        <v>1150</v>
      </c>
      <c r="K295" s="277">
        <f>_xlfn.XLOOKUP(Tabla14[[#This Row],[Codigo Finca]],Tabla4[Codigo Finca],Tabla4[Precio Rechazo],0)</f>
        <v>575</v>
      </c>
      <c r="L295" s="277">
        <f t="shared" si="400"/>
        <v>1314</v>
      </c>
      <c r="M295" s="278">
        <f t="shared" si="401"/>
        <v>2.8565217391304349</v>
      </c>
      <c r="N295" s="283"/>
      <c r="O295" s="279"/>
      <c r="P295" s="280">
        <f t="shared" si="402"/>
        <v>0</v>
      </c>
      <c r="Q295" s="281">
        <f t="shared" si="403"/>
        <v>0</v>
      </c>
      <c r="R295" s="282">
        <f t="shared" si="404"/>
        <v>0</v>
      </c>
      <c r="S295" s="283">
        <f>1446-132</f>
        <v>1314</v>
      </c>
      <c r="T295" s="275">
        <v>18</v>
      </c>
      <c r="U295" s="280">
        <f t="shared" si="405"/>
        <v>460</v>
      </c>
      <c r="V295" s="281">
        <f t="shared" si="406"/>
        <v>25.555555555555557</v>
      </c>
      <c r="W295" s="282">
        <f t="shared" si="407"/>
        <v>46000</v>
      </c>
      <c r="X295" s="283"/>
      <c r="Y295" s="275"/>
      <c r="Z295" s="280">
        <f>Tabla14[[#This Row],[Cajas Segunda]]</f>
        <v>0</v>
      </c>
      <c r="AA295" s="281">
        <f t="shared" si="408"/>
        <v>0</v>
      </c>
      <c r="AB295" s="284">
        <f t="shared" si="409"/>
        <v>0</v>
      </c>
      <c r="AC295" s="285"/>
      <c r="AD295" s="286">
        <v>1625</v>
      </c>
      <c r="AE295" s="286"/>
      <c r="AF295" s="286"/>
      <c r="AG295" s="286">
        <v>18</v>
      </c>
      <c r="AH295" s="280">
        <f t="shared" si="410"/>
        <v>65</v>
      </c>
      <c r="AI295" s="281">
        <f t="shared" si="411"/>
        <v>3.6111111111111112</v>
      </c>
      <c r="AJ295" s="282">
        <f t="shared" si="412"/>
        <v>2076.3888888888891</v>
      </c>
      <c r="AK295" s="287">
        <f>Tabla14[[#This Row],[Cajas por Personas]]</f>
        <v>0</v>
      </c>
      <c r="AL295" s="288">
        <f>Tabla14[[#This Row],[Valor Precorte Pesona]]</f>
        <v>0</v>
      </c>
      <c r="AM295" s="294">
        <f>Tabla14[[#This Row],[Personas Precorte]]</f>
        <v>0</v>
      </c>
      <c r="AN295" s="308">
        <f>Tabla14[[#This Row],[Valor Precorte Pesona Precorte]]*Tabla14[[#This Row],[Perzonas Precorte]]</f>
        <v>0</v>
      </c>
      <c r="AO295" s="287">
        <f>Tabla14[[#This Row],[Cajas por Personas2]]</f>
        <v>25.555555555555557</v>
      </c>
      <c r="AP295" s="288">
        <f>Tabla14[[#This Row],[Valor Embarque Pesona]]</f>
        <v>46000</v>
      </c>
      <c r="AQ295" s="295">
        <f>Tabla14[[#This Row],[Personas Precorte2]]</f>
        <v>18</v>
      </c>
      <c r="AR295" s="296">
        <f>Tabla14[[#This Row],[Valor Embarque Pesona3]]*Tabla14[[#This Row],[Perzona Primera]]</f>
        <v>828000</v>
      </c>
      <c r="AS295" s="287">
        <f>Tabla14[[#This Row],[Columna2]]</f>
        <v>0</v>
      </c>
      <c r="AT295" s="288">
        <f>Tabla14[[#This Row],[Columna1]]</f>
        <v>0</v>
      </c>
      <c r="AU295" s="302">
        <f>Tabla14[[#This Row],[Personas Intervienen]]</f>
        <v>0</v>
      </c>
      <c r="AV295" s="297">
        <f>Tabla14[[#This Row],[Valor Embarque Pesona5]]*Tabla14[[#This Row],[Presonas Segunda]]</f>
        <v>0</v>
      </c>
      <c r="AW295" s="287">
        <f>Tabla14[[#This Row],[Bolsas Por Personas]]</f>
        <v>3.6111111111111112</v>
      </c>
      <c r="AX295" s="288">
        <f>Tabla14[[#This Row],[Valor bolsas Pesona]]</f>
        <v>2076.3888888888891</v>
      </c>
      <c r="AY295" s="309">
        <f>Tabla14[[#This Row],[Personas13]]</f>
        <v>18</v>
      </c>
      <c r="AZ295" s="310">
        <f>Tabla14[[#This Row],[Valor bolsas Pesona2]]*Tabla14[[#This Row],[Personas Rechazo]]</f>
        <v>37375.000000000007</v>
      </c>
      <c r="BA295" s="311">
        <f>+Tabla14[[#This Row],[Total Valor Segunda]]+Tabla14[[#This Row],[Total Valor Primera]]+Tabla14[[#This Row],[Total Valor Precorte]]</f>
        <v>828000</v>
      </c>
      <c r="BB295" s="470">
        <f>Tabla14[[#This Row],[Valor bolsas Pesona2]]+Tabla14[[#This Row],[Valor Embarque Pesona3]]</f>
        <v>48076.388888888891</v>
      </c>
      <c r="BC295" s="471">
        <f>+Tabla14[[#This Row],[VALOR GANADO]]+BB296</f>
        <v>53314.888888888891</v>
      </c>
      <c r="BD295" s="470">
        <f>Tabla14[[#This Row],[VALOR GANADO]]-Tabla14[[#This Row],[REAJUSTADO]]</f>
        <v>-5238.5</v>
      </c>
      <c r="BE295" s="250">
        <f>Tabla14[[#This Row],[CUANTO SE REAJUSTA]]*Tabla14[[#This Row],[Personas Rechazo]]</f>
        <v>-94293</v>
      </c>
      <c r="BF295" s="250">
        <f>Tabla14[[#This Row],[REAJUSTADO]]/25000</f>
        <v>2.1325955555555556</v>
      </c>
      <c r="BG295" s="302">
        <f>Tabla14[[#This Row],[REAJUSTADO]]*Tabla14[[#This Row],[Personas Rechazo]]</f>
        <v>959668</v>
      </c>
      <c r="BH295" s="292" t="str">
        <f>Tabla14[[#This Row],[Finca]]</f>
        <v>San Pedro</v>
      </c>
      <c r="BJ295" s="332">
        <f>Tabla14[[#This Row],[Numero de Ocacionales]]*Tabla14[[#This Row],[REAJUSTADO]]</f>
        <v>0</v>
      </c>
      <c r="BK295" s="332"/>
      <c r="BL295" s="332"/>
      <c r="BM295" s="332">
        <f>+Tabla14[[#This Row],[CUANTO SE REAJUSTA]]*3</f>
        <v>-15715.5</v>
      </c>
    </row>
    <row r="296" spans="3:65" x14ac:dyDescent="0.25">
      <c r="C296" s="274">
        <v>44970</v>
      </c>
      <c r="D296" s="507">
        <f>YEAR(Tabla14[[#This Row],[Fecha]])</f>
        <v>2023</v>
      </c>
      <c r="E296" s="313">
        <f>IF(Tabla14[[#This Row],[Fecha]]&gt;0,_xlfn.ISOWEEKNUM(Tabla14[[#This Row],[Fecha]]),0)</f>
        <v>7</v>
      </c>
      <c r="F296" s="283">
        <v>45</v>
      </c>
      <c r="G296" s="275" t="s">
        <v>249</v>
      </c>
      <c r="H296" s="325" t="str">
        <f>_xlfn.XLOOKUP(Tabla14[[#This Row],[Codigo Finca]],Tabla4[Codigo Finca],Tabla4[Nombre Finca],"")</f>
        <v>San Pedro</v>
      </c>
      <c r="I296" s="277">
        <f>_xlfn.XLOOKUP(Tabla14[[#This Row],[Codigo Finca]],Tabla4[Codigo Finca],Tabla4[Precio Caja],0)</f>
        <v>2000</v>
      </c>
      <c r="J296" s="277">
        <f>_xlfn.XLOOKUP(Tabla14[[#This Row],[Codigo Finca]],Tabla4[Codigo Finca],Tabla4[Precio Caja Segunda],0)</f>
        <v>1150</v>
      </c>
      <c r="K296" s="277">
        <f>_xlfn.XLOOKUP(Tabla14[[#This Row],[Codigo Finca]],Tabla4[Codigo Finca],Tabla4[Precio Rechazo],0)</f>
        <v>675</v>
      </c>
      <c r="L296" s="277">
        <f t="shared" si="400"/>
        <v>132</v>
      </c>
      <c r="M296" s="278">
        <f t="shared" si="401"/>
        <v>2.9333333333333331</v>
      </c>
      <c r="N296" s="283"/>
      <c r="O296" s="279"/>
      <c r="P296" s="280">
        <f t="shared" si="402"/>
        <v>0</v>
      </c>
      <c r="Q296" s="281">
        <f t="shared" si="403"/>
        <v>0</v>
      </c>
      <c r="R296" s="282">
        <f t="shared" si="404"/>
        <v>0</v>
      </c>
      <c r="S296" s="283">
        <v>132</v>
      </c>
      <c r="T296" s="275">
        <v>18</v>
      </c>
      <c r="U296" s="280">
        <f t="shared" si="405"/>
        <v>45</v>
      </c>
      <c r="V296" s="281">
        <f t="shared" si="406"/>
        <v>2.5</v>
      </c>
      <c r="W296" s="282">
        <f t="shared" si="407"/>
        <v>5000</v>
      </c>
      <c r="X296" s="283"/>
      <c r="Y296" s="275"/>
      <c r="Z296" s="280">
        <f>Tabla14[[#This Row],[Cajas Segunda]]</f>
        <v>0</v>
      </c>
      <c r="AA296" s="281">
        <f t="shared" si="408"/>
        <v>0</v>
      </c>
      <c r="AB296" s="284">
        <f t="shared" si="409"/>
        <v>0</v>
      </c>
      <c r="AC296" s="285"/>
      <c r="AD296" s="286">
        <v>159</v>
      </c>
      <c r="AE296" s="286"/>
      <c r="AF296" s="286"/>
      <c r="AG296" s="286">
        <v>18</v>
      </c>
      <c r="AH296" s="280">
        <f t="shared" si="410"/>
        <v>6.36</v>
      </c>
      <c r="AI296" s="281">
        <f t="shared" si="411"/>
        <v>0.35333333333333333</v>
      </c>
      <c r="AJ296" s="282">
        <f t="shared" si="412"/>
        <v>238.5</v>
      </c>
      <c r="AK296" s="287">
        <f>Tabla14[[#This Row],[Cajas por Personas]]</f>
        <v>0</v>
      </c>
      <c r="AL296" s="288">
        <f>Tabla14[[#This Row],[Valor Precorte Pesona]]</f>
        <v>0</v>
      </c>
      <c r="AM296" s="294">
        <f>Tabla14[[#This Row],[Personas Precorte]]</f>
        <v>0</v>
      </c>
      <c r="AN296" s="308">
        <f>Tabla14[[#This Row],[Valor Precorte Pesona Precorte]]*Tabla14[[#This Row],[Perzonas Precorte]]</f>
        <v>0</v>
      </c>
      <c r="AO296" s="287">
        <f>Tabla14[[#This Row],[Cajas por Personas2]]</f>
        <v>2.5</v>
      </c>
      <c r="AP296" s="288">
        <f>Tabla14[[#This Row],[Valor Embarque Pesona]]</f>
        <v>5000</v>
      </c>
      <c r="AQ296" s="295">
        <f>Tabla14[[#This Row],[Personas Precorte2]]</f>
        <v>18</v>
      </c>
      <c r="AR296" s="296">
        <f>Tabla14[[#This Row],[Valor Embarque Pesona3]]*Tabla14[[#This Row],[Perzona Primera]]</f>
        <v>90000</v>
      </c>
      <c r="AS296" s="287">
        <f>Tabla14[[#This Row],[Columna2]]</f>
        <v>0</v>
      </c>
      <c r="AT296" s="288">
        <f>Tabla14[[#This Row],[Columna1]]</f>
        <v>0</v>
      </c>
      <c r="AU296" s="302">
        <f>Tabla14[[#This Row],[Personas Intervienen]]</f>
        <v>0</v>
      </c>
      <c r="AV296" s="297">
        <f>Tabla14[[#This Row],[Valor Embarque Pesona5]]*Tabla14[[#This Row],[Presonas Segunda]]</f>
        <v>0</v>
      </c>
      <c r="AW296" s="287">
        <f>Tabla14[[#This Row],[Bolsas Por Personas]]</f>
        <v>0.35333333333333333</v>
      </c>
      <c r="AX296" s="288">
        <f>Tabla14[[#This Row],[Valor bolsas Pesona]]</f>
        <v>238.5</v>
      </c>
      <c r="AY296" s="309">
        <f>Tabla14[[#This Row],[Personas13]]</f>
        <v>18</v>
      </c>
      <c r="AZ296" s="310">
        <f>Tabla14[[#This Row],[Valor bolsas Pesona2]]*Tabla14[[#This Row],[Personas Rechazo]]</f>
        <v>4293</v>
      </c>
      <c r="BA296" s="311">
        <f>+Tabla14[[#This Row],[Total Valor Segunda]]+Tabla14[[#This Row],[Total Valor Primera]]+Tabla14[[#This Row],[Total Valor Precorte]]</f>
        <v>90000</v>
      </c>
      <c r="BB296" s="470">
        <f>Tabla14[[#This Row],[Valor bolsas Pesona2]]+Tabla14[[#This Row],[Valor Embarque Pesona3]]</f>
        <v>5238.5</v>
      </c>
      <c r="BC296" s="471"/>
      <c r="BD296" s="470">
        <f>Tabla14[[#This Row],[VALOR GANADO]]-Tabla14[[#This Row],[REAJUSTADO]]</f>
        <v>5238.5</v>
      </c>
      <c r="BE296" s="250">
        <f>Tabla14[[#This Row],[CUANTO SE REAJUSTA]]*Tabla14[[#This Row],[Personas Rechazo]]</f>
        <v>94293</v>
      </c>
      <c r="BF296" s="250">
        <f>Tabla14[[#This Row],[REAJUSTADO]]/25000</f>
        <v>0</v>
      </c>
      <c r="BG296" s="302">
        <f>Tabla14[[#This Row],[REAJUSTADO]]*Tabla14[[#This Row],[Personas Rechazo]]</f>
        <v>0</v>
      </c>
      <c r="BH296" s="292" t="str">
        <f>Tabla14[[#This Row],[Finca]]</f>
        <v>San Pedro</v>
      </c>
      <c r="BJ296" s="332">
        <f>Tabla14[[#This Row],[Numero de Ocacionales]]*Tabla14[[#This Row],[REAJUSTADO]]</f>
        <v>0</v>
      </c>
      <c r="BK296" s="332"/>
      <c r="BL296" s="332"/>
      <c r="BM296" s="332">
        <f>+Tabla14[[#This Row],[CUANTO SE REAJUSTA]]*3</f>
        <v>15715.5</v>
      </c>
    </row>
    <row r="297" spans="3:65" x14ac:dyDescent="0.25">
      <c r="C297" s="274">
        <v>44970</v>
      </c>
      <c r="D297" s="507">
        <f>YEAR(Tabla14[[#This Row],[Fecha]])</f>
        <v>2023</v>
      </c>
      <c r="E297" s="313">
        <f>IF(Tabla14[[#This Row],[Fecha]]&gt;0,_xlfn.ISOWEEKNUM(Tabla14[[#This Row],[Fecha]]),0)</f>
        <v>7</v>
      </c>
      <c r="F297" s="283">
        <v>64</v>
      </c>
      <c r="G297" s="275" t="s">
        <v>247</v>
      </c>
      <c r="H297" s="325" t="str">
        <f>_xlfn.XLOOKUP(Tabla14[[#This Row],[Codigo Finca]],Tabla4[Codigo Finca],Tabla4[Nombre Finca],"")</f>
        <v>Uveros</v>
      </c>
      <c r="I297" s="277">
        <f>_xlfn.XLOOKUP(Tabla14[[#This Row],[Codigo Finca]],Tabla4[Codigo Finca],Tabla4[Precio Caja],0)</f>
        <v>1800</v>
      </c>
      <c r="J297" s="277">
        <f>_xlfn.XLOOKUP(Tabla14[[#This Row],[Codigo Finca]],Tabla4[Codigo Finca],Tabla4[Precio Caja Segunda],0)</f>
        <v>1150</v>
      </c>
      <c r="K297" s="277">
        <f>_xlfn.XLOOKUP(Tabla14[[#This Row],[Codigo Finca]],Tabla4[Codigo Finca],Tabla4[Precio Rechazo],0)</f>
        <v>575</v>
      </c>
      <c r="L297" s="277">
        <f t="shared" si="400"/>
        <v>315</v>
      </c>
      <c r="M297" s="278">
        <f t="shared" si="401"/>
        <v>4.921875</v>
      </c>
      <c r="N297" s="283"/>
      <c r="O297" s="279"/>
      <c r="P297" s="280">
        <f t="shared" si="402"/>
        <v>0</v>
      </c>
      <c r="Q297" s="281">
        <f t="shared" si="403"/>
        <v>0</v>
      </c>
      <c r="R297" s="282">
        <f t="shared" si="404"/>
        <v>0</v>
      </c>
      <c r="S297" s="283">
        <v>315</v>
      </c>
      <c r="T297" s="275">
        <v>4</v>
      </c>
      <c r="U297" s="280">
        <f t="shared" si="405"/>
        <v>64</v>
      </c>
      <c r="V297" s="281">
        <f t="shared" si="406"/>
        <v>16</v>
      </c>
      <c r="W297" s="282">
        <f t="shared" si="407"/>
        <v>28800</v>
      </c>
      <c r="X297" s="283"/>
      <c r="Y297" s="275"/>
      <c r="Z297" s="280">
        <f>Tabla14[[#This Row],[Cajas Segunda]]</f>
        <v>0</v>
      </c>
      <c r="AA297" s="281">
        <f t="shared" si="408"/>
        <v>0</v>
      </c>
      <c r="AB297" s="284">
        <f t="shared" si="409"/>
        <v>0</v>
      </c>
      <c r="AC297" s="285"/>
      <c r="AD297" s="286">
        <v>315</v>
      </c>
      <c r="AE297" s="286"/>
      <c r="AF297" s="286"/>
      <c r="AG297" s="286">
        <v>4</v>
      </c>
      <c r="AH297" s="280">
        <f t="shared" si="410"/>
        <v>12.6</v>
      </c>
      <c r="AI297" s="281">
        <f t="shared" si="411"/>
        <v>3.15</v>
      </c>
      <c r="AJ297" s="282">
        <f t="shared" si="412"/>
        <v>1811.25</v>
      </c>
      <c r="AK297" s="287">
        <f>Tabla14[[#This Row],[Cajas por Personas]]</f>
        <v>0</v>
      </c>
      <c r="AL297" s="288">
        <f>Tabla14[[#This Row],[Valor Precorte Pesona]]</f>
        <v>0</v>
      </c>
      <c r="AM297" s="294">
        <f>Tabla14[[#This Row],[Personas Precorte]]</f>
        <v>0</v>
      </c>
      <c r="AN297" s="308">
        <f>Tabla14[[#This Row],[Valor Precorte Pesona Precorte]]*Tabla14[[#This Row],[Perzonas Precorte]]</f>
        <v>0</v>
      </c>
      <c r="AO297" s="287">
        <f>Tabla14[[#This Row],[Cajas por Personas2]]</f>
        <v>16</v>
      </c>
      <c r="AP297" s="288">
        <f>Tabla14[[#This Row],[Valor Embarque Pesona]]</f>
        <v>28800</v>
      </c>
      <c r="AQ297" s="295">
        <f>Tabla14[[#This Row],[Personas Precorte2]]</f>
        <v>4</v>
      </c>
      <c r="AR297" s="296">
        <f>Tabla14[[#This Row],[Valor Embarque Pesona3]]*Tabla14[[#This Row],[Perzona Primera]]</f>
        <v>115200</v>
      </c>
      <c r="AS297" s="287">
        <f>Tabla14[[#This Row],[Columna2]]</f>
        <v>0</v>
      </c>
      <c r="AT297" s="288">
        <f>Tabla14[[#This Row],[Columna1]]</f>
        <v>0</v>
      </c>
      <c r="AU297" s="302">
        <f>Tabla14[[#This Row],[Personas Intervienen]]</f>
        <v>0</v>
      </c>
      <c r="AV297" s="297">
        <f>Tabla14[[#This Row],[Valor Embarque Pesona5]]*Tabla14[[#This Row],[Presonas Segunda]]</f>
        <v>0</v>
      </c>
      <c r="AW297" s="287">
        <f>Tabla14[[#This Row],[Bolsas Por Personas]]</f>
        <v>3.15</v>
      </c>
      <c r="AX297" s="288">
        <f>Tabla14[[#This Row],[Valor bolsas Pesona]]</f>
        <v>1811.25</v>
      </c>
      <c r="AY297" s="309">
        <f>Tabla14[[#This Row],[Personas13]]</f>
        <v>4</v>
      </c>
      <c r="AZ297" s="310">
        <f>Tabla14[[#This Row],[Valor bolsas Pesona2]]*Tabla14[[#This Row],[Personas Rechazo]]</f>
        <v>7245</v>
      </c>
      <c r="BA297" s="311">
        <f>+Tabla14[[#This Row],[Total Valor Segunda]]+Tabla14[[#This Row],[Total Valor Primera]]+Tabla14[[#This Row],[Total Valor Precorte]]</f>
        <v>115200</v>
      </c>
      <c r="BB297" s="292">
        <f>Tabla14[[#This Row],[Valor bolsas Pesona2]]+Tabla14[[#This Row],[Valor Embarque Pesona3]]</f>
        <v>30611.25</v>
      </c>
      <c r="BC297" s="332">
        <v>30000</v>
      </c>
      <c r="BD297" s="292">
        <f>Tabla14[[#This Row],[VALOR GANADO]]-Tabla14[[#This Row],[REAJUSTADO]]</f>
        <v>611.25</v>
      </c>
      <c r="BE297" s="250">
        <f>Tabla14[[#This Row],[CUANTO SE REAJUSTA]]*Tabla14[[#This Row],[Personas Rechazo]]</f>
        <v>2445</v>
      </c>
      <c r="BF297" s="250">
        <f>Tabla14[[#This Row],[REAJUSTADO]]/25000</f>
        <v>1.2</v>
      </c>
      <c r="BG297" s="302">
        <f>Tabla14[[#This Row],[REAJUSTADO]]*Tabla14[[#This Row],[Personas Rechazo]]</f>
        <v>120000</v>
      </c>
      <c r="BH297" s="292" t="str">
        <f>Tabla14[[#This Row],[Finca]]</f>
        <v>Uveros</v>
      </c>
      <c r="BJ297" s="332">
        <f>Tabla14[[#This Row],[Numero de Ocacionales]]*Tabla14[[#This Row],[REAJUSTADO]]</f>
        <v>0</v>
      </c>
      <c r="BK297" s="332"/>
      <c r="BL297" s="332"/>
      <c r="BM297" s="332">
        <f>+Tabla14[[#This Row],[CUANTO SE REAJUSTA]]*3</f>
        <v>1833.75</v>
      </c>
    </row>
    <row r="298" spans="3:65" x14ac:dyDescent="0.25">
      <c r="C298" s="274">
        <v>44971</v>
      </c>
      <c r="D298" s="507">
        <f>YEAR(Tabla14[[#This Row],[Fecha]])</f>
        <v>2023</v>
      </c>
      <c r="E298" s="313">
        <f>IF(Tabla14[[#This Row],[Fecha]]&gt;0,_xlfn.ISOWEEKNUM(Tabla14[[#This Row],[Fecha]]),0)</f>
        <v>7</v>
      </c>
      <c r="F298" s="283">
        <v>148</v>
      </c>
      <c r="G298" s="275" t="s">
        <v>251</v>
      </c>
      <c r="H298" s="325" t="str">
        <f>_xlfn.XLOOKUP(Tabla14[[#This Row],[Codigo Finca]],Tabla4[Codigo Finca],Tabla4[Nombre Finca],"")</f>
        <v>Pedrito</v>
      </c>
      <c r="I298" s="277">
        <f>_xlfn.XLOOKUP(Tabla14[[#This Row],[Codigo Finca]],Tabla4[Codigo Finca],Tabla4[Precio Caja],0)</f>
        <v>1800</v>
      </c>
      <c r="J298" s="277">
        <f>_xlfn.XLOOKUP(Tabla14[[#This Row],[Codigo Finca]],Tabla4[Codigo Finca],Tabla4[Precio Caja Segunda],0)</f>
        <v>1150</v>
      </c>
      <c r="K298" s="277">
        <f>_xlfn.XLOOKUP(Tabla14[[#This Row],[Codigo Finca]],Tabla4[Codigo Finca],Tabla4[Precio Rechazo],0)</f>
        <v>575</v>
      </c>
      <c r="L298" s="277">
        <f t="shared" si="400"/>
        <v>699</v>
      </c>
      <c r="M298" s="278">
        <f t="shared" si="401"/>
        <v>4.7229729729729728</v>
      </c>
      <c r="N298" s="283"/>
      <c r="O298" s="279"/>
      <c r="P298" s="280">
        <f t="shared" si="402"/>
        <v>0</v>
      </c>
      <c r="Q298" s="281">
        <f t="shared" si="403"/>
        <v>0</v>
      </c>
      <c r="R298" s="282">
        <f t="shared" si="404"/>
        <v>0</v>
      </c>
      <c r="S298" s="283">
        <v>699</v>
      </c>
      <c r="T298" s="275">
        <v>14</v>
      </c>
      <c r="U298" s="280">
        <f t="shared" si="405"/>
        <v>148</v>
      </c>
      <c r="V298" s="281">
        <f t="shared" si="406"/>
        <v>10.571428571428571</v>
      </c>
      <c r="W298" s="282">
        <f t="shared" si="407"/>
        <v>19028.571428571428</v>
      </c>
      <c r="X298" s="283"/>
      <c r="Y298" s="275"/>
      <c r="Z298" s="280">
        <f>Tabla14[[#This Row],[Cajas Segunda]]</f>
        <v>0</v>
      </c>
      <c r="AA298" s="281">
        <f t="shared" si="408"/>
        <v>0</v>
      </c>
      <c r="AB298" s="284">
        <f t="shared" si="409"/>
        <v>0</v>
      </c>
      <c r="AC298" s="285">
        <v>91</v>
      </c>
      <c r="AD298" s="286"/>
      <c r="AE298" s="286"/>
      <c r="AF298" s="286"/>
      <c r="AG298" s="286">
        <v>14</v>
      </c>
      <c r="AH298" s="280">
        <f t="shared" si="410"/>
        <v>91</v>
      </c>
      <c r="AI298" s="281">
        <f t="shared" si="411"/>
        <v>6.5</v>
      </c>
      <c r="AJ298" s="282">
        <f t="shared" si="412"/>
        <v>3737.5</v>
      </c>
      <c r="AK298" s="287">
        <f>Tabla14[[#This Row],[Cajas por Personas]]</f>
        <v>0</v>
      </c>
      <c r="AL298" s="288">
        <f>Tabla14[[#This Row],[Valor Precorte Pesona]]</f>
        <v>0</v>
      </c>
      <c r="AM298" s="294">
        <f>Tabla14[[#This Row],[Personas Precorte]]</f>
        <v>0</v>
      </c>
      <c r="AN298" s="308">
        <f>Tabla14[[#This Row],[Valor Precorte Pesona Precorte]]*Tabla14[[#This Row],[Perzonas Precorte]]</f>
        <v>0</v>
      </c>
      <c r="AO298" s="287">
        <f>Tabla14[[#This Row],[Cajas por Personas2]]</f>
        <v>10.571428571428571</v>
      </c>
      <c r="AP298" s="288">
        <f>Tabla14[[#This Row],[Valor Embarque Pesona]]</f>
        <v>19028.571428571428</v>
      </c>
      <c r="AQ298" s="295">
        <f>Tabla14[[#This Row],[Personas Precorte2]]</f>
        <v>14</v>
      </c>
      <c r="AR298" s="296">
        <f>Tabla14[[#This Row],[Valor Embarque Pesona3]]*Tabla14[[#This Row],[Perzona Primera]]</f>
        <v>266400</v>
      </c>
      <c r="AS298" s="287">
        <f>Tabla14[[#This Row],[Columna2]]</f>
        <v>0</v>
      </c>
      <c r="AT298" s="288">
        <f>Tabla14[[#This Row],[Columna1]]</f>
        <v>0</v>
      </c>
      <c r="AU298" s="302">
        <f>Tabla14[[#This Row],[Personas Intervienen]]</f>
        <v>0</v>
      </c>
      <c r="AV298" s="297">
        <f>Tabla14[[#This Row],[Valor Embarque Pesona5]]*Tabla14[[#This Row],[Presonas Segunda]]</f>
        <v>0</v>
      </c>
      <c r="AW298" s="287">
        <f>Tabla14[[#This Row],[Bolsas Por Personas]]</f>
        <v>6.5</v>
      </c>
      <c r="AX298" s="288">
        <f>Tabla14[[#This Row],[Valor bolsas Pesona]]</f>
        <v>3737.5</v>
      </c>
      <c r="AY298" s="309">
        <f>Tabla14[[#This Row],[Personas13]]</f>
        <v>14</v>
      </c>
      <c r="AZ298" s="310">
        <f>Tabla14[[#This Row],[Valor bolsas Pesona2]]*Tabla14[[#This Row],[Personas Rechazo]]</f>
        <v>52325</v>
      </c>
      <c r="BA298" s="311">
        <f>+Tabla14[[#This Row],[Total Valor Segunda]]+Tabla14[[#This Row],[Total Valor Primera]]+Tabla14[[#This Row],[Total Valor Precorte]]</f>
        <v>266400</v>
      </c>
      <c r="BB298" s="292">
        <f>Tabla14[[#This Row],[Valor bolsas Pesona2]]+Tabla14[[#This Row],[Valor Embarque Pesona3]]</f>
        <v>22766.071428571428</v>
      </c>
      <c r="BC298" s="332">
        <v>30000</v>
      </c>
      <c r="BD298" s="292">
        <f>Tabla14[[#This Row],[VALOR GANADO]]-Tabla14[[#This Row],[REAJUSTADO]]</f>
        <v>-7233.9285714285725</v>
      </c>
      <c r="BE298" s="250">
        <f>Tabla14[[#This Row],[CUANTO SE REAJUSTA]]*Tabla14[[#This Row],[Personas Rechazo]]</f>
        <v>-101275.00000000001</v>
      </c>
      <c r="BF298" s="250">
        <f>Tabla14[[#This Row],[REAJUSTADO]]/25000</f>
        <v>1.2</v>
      </c>
      <c r="BG298" s="302">
        <f>Tabla14[[#This Row],[REAJUSTADO]]*Tabla14[[#This Row],[Personas Rechazo]]</f>
        <v>420000</v>
      </c>
      <c r="BH298" s="292" t="str">
        <f>Tabla14[[#This Row],[Finca]]</f>
        <v>Pedrito</v>
      </c>
      <c r="BJ298" s="332">
        <f>Tabla14[[#This Row],[Numero de Ocacionales]]*Tabla14[[#This Row],[REAJUSTADO]]</f>
        <v>0</v>
      </c>
      <c r="BK298" s="332"/>
      <c r="BL298" s="332"/>
      <c r="BM298" s="332">
        <f>+Tabla14[[#This Row],[CUANTO SE REAJUSTA]]*3</f>
        <v>-21701.785714285717</v>
      </c>
    </row>
    <row r="299" spans="3:65" x14ac:dyDescent="0.25">
      <c r="C299" s="274">
        <v>44971</v>
      </c>
      <c r="D299" s="507">
        <f>YEAR(Tabla14[[#This Row],[Fecha]])</f>
        <v>2023</v>
      </c>
      <c r="E299" s="313">
        <f>IF(Tabla14[[#This Row],[Fecha]]&gt;0,_xlfn.ISOWEEKNUM(Tabla14[[#This Row],[Fecha]]),0)</f>
        <v>7</v>
      </c>
      <c r="F299" s="283">
        <v>43</v>
      </c>
      <c r="G299" s="275" t="s">
        <v>248</v>
      </c>
      <c r="H299" s="325" t="str">
        <f>_xlfn.XLOOKUP(Tabla14[[#This Row],[Codigo Finca]],Tabla4[Codigo Finca],Tabla4[Nombre Finca],"")</f>
        <v>Damaquiel</v>
      </c>
      <c r="I299" s="277">
        <f>_xlfn.XLOOKUP(Tabla14[[#This Row],[Codigo Finca]],Tabla4[Codigo Finca],Tabla4[Precio Caja],0)</f>
        <v>1800</v>
      </c>
      <c r="J299" s="277">
        <f>_xlfn.XLOOKUP(Tabla14[[#This Row],[Codigo Finca]],Tabla4[Codigo Finca],Tabla4[Precio Caja Segunda],0)</f>
        <v>1150</v>
      </c>
      <c r="K299" s="277">
        <f>_xlfn.XLOOKUP(Tabla14[[#This Row],[Codigo Finca]],Tabla4[Codigo Finca],Tabla4[Precio Rechazo],0)</f>
        <v>575</v>
      </c>
      <c r="L299" s="277">
        <f t="shared" si="400"/>
        <v>320</v>
      </c>
      <c r="M299" s="278">
        <f t="shared" si="401"/>
        <v>7.441860465116279</v>
      </c>
      <c r="N299" s="283"/>
      <c r="O299" s="279"/>
      <c r="P299" s="280">
        <f t="shared" si="402"/>
        <v>0</v>
      </c>
      <c r="Q299" s="281">
        <f t="shared" si="403"/>
        <v>0</v>
      </c>
      <c r="R299" s="282">
        <f t="shared" si="404"/>
        <v>0</v>
      </c>
      <c r="S299" s="283">
        <v>320</v>
      </c>
      <c r="T299" s="275">
        <v>5</v>
      </c>
      <c r="U299" s="280">
        <f t="shared" si="405"/>
        <v>43</v>
      </c>
      <c r="V299" s="281">
        <f t="shared" si="406"/>
        <v>8.6</v>
      </c>
      <c r="W299" s="282">
        <f t="shared" si="407"/>
        <v>15480</v>
      </c>
      <c r="X299" s="283"/>
      <c r="Y299" s="275"/>
      <c r="Z299" s="280">
        <f>Tabla14[[#This Row],[Cajas Segunda]]</f>
        <v>0</v>
      </c>
      <c r="AA299" s="281">
        <f t="shared" si="408"/>
        <v>0</v>
      </c>
      <c r="AB299" s="284">
        <f t="shared" si="409"/>
        <v>0</v>
      </c>
      <c r="AC299" s="285"/>
      <c r="AD299" s="286">
        <v>452</v>
      </c>
      <c r="AE299" s="286"/>
      <c r="AF299" s="286"/>
      <c r="AG299" s="286">
        <v>5</v>
      </c>
      <c r="AH299" s="280">
        <f t="shared" si="410"/>
        <v>18.079999999999998</v>
      </c>
      <c r="AI299" s="281">
        <f t="shared" si="411"/>
        <v>3.6159999999999997</v>
      </c>
      <c r="AJ299" s="282">
        <f t="shared" si="412"/>
        <v>2079.1999999999998</v>
      </c>
      <c r="AK299" s="287">
        <f>Tabla14[[#This Row],[Cajas por Personas]]</f>
        <v>0</v>
      </c>
      <c r="AL299" s="288">
        <f>Tabla14[[#This Row],[Valor Precorte Pesona]]</f>
        <v>0</v>
      </c>
      <c r="AM299" s="294">
        <f>Tabla14[[#This Row],[Personas Precorte]]</f>
        <v>0</v>
      </c>
      <c r="AN299" s="308">
        <f>Tabla14[[#This Row],[Valor Precorte Pesona Precorte]]*Tabla14[[#This Row],[Perzonas Precorte]]</f>
        <v>0</v>
      </c>
      <c r="AO299" s="287">
        <f>Tabla14[[#This Row],[Cajas por Personas2]]</f>
        <v>8.6</v>
      </c>
      <c r="AP299" s="288">
        <f>Tabla14[[#This Row],[Valor Embarque Pesona]]</f>
        <v>15480</v>
      </c>
      <c r="AQ299" s="295">
        <f>Tabla14[[#This Row],[Personas Precorte2]]</f>
        <v>5</v>
      </c>
      <c r="AR299" s="296">
        <f>Tabla14[[#This Row],[Valor Embarque Pesona3]]*Tabla14[[#This Row],[Perzona Primera]]</f>
        <v>77400</v>
      </c>
      <c r="AS299" s="287">
        <f>Tabla14[[#This Row],[Columna2]]</f>
        <v>0</v>
      </c>
      <c r="AT299" s="288">
        <f>Tabla14[[#This Row],[Columna1]]</f>
        <v>0</v>
      </c>
      <c r="AU299" s="302">
        <f>Tabla14[[#This Row],[Personas Intervienen]]</f>
        <v>0</v>
      </c>
      <c r="AV299" s="297">
        <f>Tabla14[[#This Row],[Valor Embarque Pesona5]]*Tabla14[[#This Row],[Presonas Segunda]]</f>
        <v>0</v>
      </c>
      <c r="AW299" s="287">
        <f>Tabla14[[#This Row],[Bolsas Por Personas]]</f>
        <v>3.6159999999999997</v>
      </c>
      <c r="AX299" s="288">
        <f>Tabla14[[#This Row],[Valor bolsas Pesona]]</f>
        <v>2079.1999999999998</v>
      </c>
      <c r="AY299" s="309">
        <f>Tabla14[[#This Row],[Personas13]]</f>
        <v>5</v>
      </c>
      <c r="AZ299" s="310">
        <f>Tabla14[[#This Row],[Valor bolsas Pesona2]]*Tabla14[[#This Row],[Personas Rechazo]]</f>
        <v>10396</v>
      </c>
      <c r="BA299" s="311">
        <f>+Tabla14[[#This Row],[Total Valor Segunda]]+Tabla14[[#This Row],[Total Valor Primera]]+Tabla14[[#This Row],[Total Valor Precorte]]</f>
        <v>77400</v>
      </c>
      <c r="BB299" s="292">
        <f>Tabla14[[#This Row],[Valor bolsas Pesona2]]+Tabla14[[#This Row],[Valor Embarque Pesona3]]</f>
        <v>17559.2</v>
      </c>
      <c r="BC299" s="332">
        <v>30000</v>
      </c>
      <c r="BD299" s="292">
        <f>Tabla14[[#This Row],[VALOR GANADO]]-Tabla14[[#This Row],[REAJUSTADO]]</f>
        <v>-12440.8</v>
      </c>
      <c r="BE299" s="250">
        <f>Tabla14[[#This Row],[CUANTO SE REAJUSTA]]*Tabla14[[#This Row],[Personas Rechazo]]</f>
        <v>-62204</v>
      </c>
      <c r="BF299" s="250">
        <f>Tabla14[[#This Row],[REAJUSTADO]]/25000</f>
        <v>1.2</v>
      </c>
      <c r="BG299" s="302">
        <f>Tabla14[[#This Row],[REAJUSTADO]]*Tabla14[[#This Row],[Personas Rechazo]]</f>
        <v>150000</v>
      </c>
      <c r="BH299" s="292" t="str">
        <f>Tabla14[[#This Row],[Finca]]</f>
        <v>Damaquiel</v>
      </c>
      <c r="BJ299" s="332">
        <f>Tabla14[[#This Row],[Numero de Ocacionales]]*Tabla14[[#This Row],[REAJUSTADO]]</f>
        <v>0</v>
      </c>
      <c r="BK299" s="332"/>
      <c r="BL299" s="332"/>
      <c r="BM299" s="332">
        <f>+Tabla14[[#This Row],[CUANTO SE REAJUSTA]]*3</f>
        <v>-37322.399999999994</v>
      </c>
    </row>
    <row r="300" spans="3:65" x14ac:dyDescent="0.25">
      <c r="C300" s="274">
        <v>44977</v>
      </c>
      <c r="D300" s="507">
        <f>YEAR(Tabla14[[#This Row],[Fecha]])</f>
        <v>2023</v>
      </c>
      <c r="E300" s="313">
        <f>IF(Tabla14[[#This Row],[Fecha]]&gt;0,_xlfn.ISOWEEKNUM(Tabla14[[#This Row],[Fecha]]),0)</f>
        <v>8</v>
      </c>
      <c r="F300" s="283">
        <v>499</v>
      </c>
      <c r="G300" s="275" t="s">
        <v>250</v>
      </c>
      <c r="H300" s="325" t="str">
        <f>_xlfn.XLOOKUP(Tabla14[[#This Row],[Codigo Finca]],Tabla4[Codigo Finca],Tabla4[Nombre Finca],"")</f>
        <v>San Pedro</v>
      </c>
      <c r="I300" s="277">
        <f>_xlfn.XLOOKUP(Tabla14[[#This Row],[Codigo Finca]],Tabla4[Codigo Finca],Tabla4[Precio Caja],0)</f>
        <v>1800</v>
      </c>
      <c r="J300" s="277">
        <f>_xlfn.XLOOKUP(Tabla14[[#This Row],[Codigo Finca]],Tabla4[Codigo Finca],Tabla4[Precio Caja Segunda],0)</f>
        <v>1150</v>
      </c>
      <c r="K300" s="277">
        <f>_xlfn.XLOOKUP(Tabla14[[#This Row],[Codigo Finca]],Tabla4[Codigo Finca],Tabla4[Precio Rechazo],0)</f>
        <v>575</v>
      </c>
      <c r="L300" s="277">
        <f t="shared" si="400"/>
        <v>1536</v>
      </c>
      <c r="M300" s="278">
        <f t="shared" si="401"/>
        <v>3.0781563126252505</v>
      </c>
      <c r="N300" s="283"/>
      <c r="O300" s="279"/>
      <c r="P300" s="280">
        <f t="shared" si="402"/>
        <v>0</v>
      </c>
      <c r="Q300" s="281">
        <f t="shared" si="403"/>
        <v>0</v>
      </c>
      <c r="R300" s="282">
        <f t="shared" si="404"/>
        <v>0</v>
      </c>
      <c r="S300" s="283">
        <f>1691-155</f>
        <v>1536</v>
      </c>
      <c r="T300" s="275">
        <v>16</v>
      </c>
      <c r="U300" s="280">
        <f t="shared" si="405"/>
        <v>499</v>
      </c>
      <c r="V300" s="281">
        <f t="shared" si="406"/>
        <v>31.1875</v>
      </c>
      <c r="W300" s="282">
        <f t="shared" si="407"/>
        <v>56137.5</v>
      </c>
      <c r="X300" s="283"/>
      <c r="Y300" s="275"/>
      <c r="Z300" s="280">
        <f>Tabla14[[#This Row],[Cajas Segunda]]</f>
        <v>0</v>
      </c>
      <c r="AA300" s="281">
        <f t="shared" si="408"/>
        <v>0</v>
      </c>
      <c r="AB300" s="284">
        <f t="shared" si="409"/>
        <v>0</v>
      </c>
      <c r="AC300" s="285"/>
      <c r="AD300" s="286">
        <f>1725.17+141.73</f>
        <v>1866.9</v>
      </c>
      <c r="AE300" s="286"/>
      <c r="AF300" s="286"/>
      <c r="AG300" s="286">
        <v>16</v>
      </c>
      <c r="AH300" s="280">
        <f t="shared" si="410"/>
        <v>74.676000000000002</v>
      </c>
      <c r="AI300" s="281">
        <f t="shared" si="411"/>
        <v>4.6672500000000001</v>
      </c>
      <c r="AJ300" s="282">
        <f t="shared" si="412"/>
        <v>2683.6687500000003</v>
      </c>
      <c r="AK300" s="287">
        <f>Tabla14[[#This Row],[Cajas por Personas]]</f>
        <v>0</v>
      </c>
      <c r="AL300" s="288">
        <f>Tabla14[[#This Row],[Valor Precorte Pesona]]</f>
        <v>0</v>
      </c>
      <c r="AM300" s="294">
        <f>Tabla14[[#This Row],[Personas Precorte]]</f>
        <v>0</v>
      </c>
      <c r="AN300" s="308">
        <f>Tabla14[[#This Row],[Valor Precorte Pesona Precorte]]*Tabla14[[#This Row],[Perzonas Precorte]]</f>
        <v>0</v>
      </c>
      <c r="AO300" s="287">
        <f>Tabla14[[#This Row],[Cajas por Personas2]]</f>
        <v>31.1875</v>
      </c>
      <c r="AP300" s="288">
        <f>Tabla14[[#This Row],[Valor Embarque Pesona]]</f>
        <v>56137.5</v>
      </c>
      <c r="AQ300" s="295">
        <f>Tabla14[[#This Row],[Personas Precorte2]]</f>
        <v>16</v>
      </c>
      <c r="AR300" s="296">
        <f>Tabla14[[#This Row],[Valor Embarque Pesona3]]*Tabla14[[#This Row],[Perzona Primera]]</f>
        <v>898200</v>
      </c>
      <c r="AS300" s="287">
        <f>Tabla14[[#This Row],[Columna2]]</f>
        <v>0</v>
      </c>
      <c r="AT300" s="288">
        <f>Tabla14[[#This Row],[Columna1]]</f>
        <v>0</v>
      </c>
      <c r="AU300" s="302">
        <f>Tabla14[[#This Row],[Personas Intervienen]]</f>
        <v>0</v>
      </c>
      <c r="AV300" s="297">
        <f>Tabla14[[#This Row],[Valor Embarque Pesona5]]*Tabla14[[#This Row],[Presonas Segunda]]</f>
        <v>0</v>
      </c>
      <c r="AW300" s="287">
        <f>Tabla14[[#This Row],[Bolsas Por Personas]]</f>
        <v>4.6672500000000001</v>
      </c>
      <c r="AX300" s="288">
        <f>Tabla14[[#This Row],[Valor bolsas Pesona]]</f>
        <v>2683.6687500000003</v>
      </c>
      <c r="AY300" s="309">
        <f>Tabla14[[#This Row],[Personas13]]</f>
        <v>16</v>
      </c>
      <c r="AZ300" s="310">
        <f>Tabla14[[#This Row],[Valor bolsas Pesona2]]*Tabla14[[#This Row],[Personas Rechazo]]</f>
        <v>42938.700000000004</v>
      </c>
      <c r="BA300" s="311">
        <f>+Tabla14[[#This Row],[Total Valor Segunda]]+Tabla14[[#This Row],[Total Valor Primera]]+Tabla14[[#This Row],[Total Valor Precorte]]</f>
        <v>898200</v>
      </c>
      <c r="BB300" s="451">
        <f>Tabla14[[#This Row],[Valor bolsas Pesona2]]+Tabla14[[#This Row],[Valor Embarque Pesona3]]</f>
        <v>58821.168749999997</v>
      </c>
      <c r="BC300" s="452">
        <v>64200</v>
      </c>
      <c r="BD300" s="451">
        <f>Tabla14[[#This Row],[VALOR GANADO]]-Tabla14[[#This Row],[REAJUSTADO]]</f>
        <v>-5378.8312500000029</v>
      </c>
      <c r="BE300" s="250">
        <f>Tabla14[[#This Row],[CUANTO SE REAJUSTA]]*Tabla14[[#This Row],[Personas Rechazo]]</f>
        <v>-86061.300000000047</v>
      </c>
      <c r="BF300" s="250">
        <f>Tabla14[[#This Row],[REAJUSTADO]]/25000</f>
        <v>2.5680000000000001</v>
      </c>
      <c r="BG300" s="302">
        <f>Tabla14[[#This Row],[REAJUSTADO]]*Tabla14[[#This Row],[Personas Rechazo]]</f>
        <v>1027200</v>
      </c>
      <c r="BH300" s="292" t="str">
        <f>Tabla14[[#This Row],[Finca]]</f>
        <v>San Pedro</v>
      </c>
      <c r="BJ300" s="332">
        <f>Tabla14[[#This Row],[Numero de Ocacionales]]*Tabla14[[#This Row],[REAJUSTADO]]</f>
        <v>0</v>
      </c>
      <c r="BK300" s="332"/>
      <c r="BL300" s="332"/>
      <c r="BM300" s="332">
        <f>+Tabla14[[#This Row],[CUANTO SE REAJUSTA]]*3</f>
        <v>-16136.493750000009</v>
      </c>
    </row>
    <row r="301" spans="3:65" x14ac:dyDescent="0.25">
      <c r="C301" s="274">
        <v>44977</v>
      </c>
      <c r="D301" s="507">
        <f>YEAR(Tabla14[[#This Row],[Fecha]])</f>
        <v>2023</v>
      </c>
      <c r="E301" s="313">
        <f>IF(Tabla14[[#This Row],[Fecha]]&gt;0,_xlfn.ISOWEEKNUM(Tabla14[[#This Row],[Fecha]]),0)</f>
        <v>8</v>
      </c>
      <c r="F301" s="283">
        <v>41</v>
      </c>
      <c r="G301" s="275" t="s">
        <v>249</v>
      </c>
      <c r="H301" s="325" t="str">
        <f>_xlfn.XLOOKUP(Tabla14[[#This Row],[Codigo Finca]],Tabla4[Codigo Finca],Tabla4[Nombre Finca],"")</f>
        <v>San Pedro</v>
      </c>
      <c r="I301" s="277">
        <f>_xlfn.XLOOKUP(Tabla14[[#This Row],[Codigo Finca]],Tabla4[Codigo Finca],Tabla4[Precio Caja],0)</f>
        <v>2000</v>
      </c>
      <c r="J301" s="277">
        <f>_xlfn.XLOOKUP(Tabla14[[#This Row],[Codigo Finca]],Tabla4[Codigo Finca],Tabla4[Precio Caja Segunda],0)</f>
        <v>1150</v>
      </c>
      <c r="K301" s="277">
        <f>_xlfn.XLOOKUP(Tabla14[[#This Row],[Codigo Finca]],Tabla4[Codigo Finca],Tabla4[Precio Rechazo],0)</f>
        <v>675</v>
      </c>
      <c r="L301" s="277">
        <f t="shared" si="400"/>
        <v>155</v>
      </c>
      <c r="M301" s="278">
        <f t="shared" si="401"/>
        <v>3.7804878048780486</v>
      </c>
      <c r="N301" s="283"/>
      <c r="O301" s="279"/>
      <c r="P301" s="280">
        <f t="shared" si="402"/>
        <v>0</v>
      </c>
      <c r="Q301" s="281">
        <f t="shared" si="403"/>
        <v>0</v>
      </c>
      <c r="R301" s="282">
        <f t="shared" si="404"/>
        <v>0</v>
      </c>
      <c r="S301" s="283">
        <v>155</v>
      </c>
      <c r="T301" s="275">
        <v>16</v>
      </c>
      <c r="U301" s="280">
        <f t="shared" si="405"/>
        <v>41</v>
      </c>
      <c r="V301" s="281">
        <f t="shared" si="406"/>
        <v>2.5625</v>
      </c>
      <c r="W301" s="282">
        <f t="shared" si="407"/>
        <v>5125</v>
      </c>
      <c r="X301" s="283"/>
      <c r="Y301" s="275"/>
      <c r="Z301" s="280">
        <f>Tabla14[[#This Row],[Cajas Segunda]]</f>
        <v>0</v>
      </c>
      <c r="AA301" s="281">
        <f t="shared" si="408"/>
        <v>0</v>
      </c>
      <c r="AB301" s="284">
        <f t="shared" si="409"/>
        <v>0</v>
      </c>
      <c r="AC301" s="285"/>
      <c r="AD301" s="286">
        <v>150</v>
      </c>
      <c r="AE301" s="286"/>
      <c r="AF301" s="286"/>
      <c r="AG301" s="286">
        <v>16</v>
      </c>
      <c r="AH301" s="280">
        <f t="shared" si="410"/>
        <v>6</v>
      </c>
      <c r="AI301" s="281">
        <f t="shared" si="411"/>
        <v>0.375</v>
      </c>
      <c r="AJ301" s="282">
        <f t="shared" si="412"/>
        <v>253.125</v>
      </c>
      <c r="AK301" s="287">
        <f>Tabla14[[#This Row],[Cajas por Personas]]</f>
        <v>0</v>
      </c>
      <c r="AL301" s="288">
        <f>Tabla14[[#This Row],[Valor Precorte Pesona]]</f>
        <v>0</v>
      </c>
      <c r="AM301" s="294">
        <f>Tabla14[[#This Row],[Personas Precorte]]</f>
        <v>0</v>
      </c>
      <c r="AN301" s="308">
        <f>Tabla14[[#This Row],[Valor Precorte Pesona Precorte]]*Tabla14[[#This Row],[Perzonas Precorte]]</f>
        <v>0</v>
      </c>
      <c r="AO301" s="287">
        <f>Tabla14[[#This Row],[Cajas por Personas2]]</f>
        <v>2.5625</v>
      </c>
      <c r="AP301" s="288">
        <f>Tabla14[[#This Row],[Valor Embarque Pesona]]</f>
        <v>5125</v>
      </c>
      <c r="AQ301" s="295">
        <f>Tabla14[[#This Row],[Personas Precorte2]]</f>
        <v>16</v>
      </c>
      <c r="AR301" s="296">
        <f>Tabla14[[#This Row],[Valor Embarque Pesona3]]*Tabla14[[#This Row],[Perzona Primera]]</f>
        <v>82000</v>
      </c>
      <c r="AS301" s="287">
        <f>Tabla14[[#This Row],[Columna2]]</f>
        <v>0</v>
      </c>
      <c r="AT301" s="288">
        <f>Tabla14[[#This Row],[Columna1]]</f>
        <v>0</v>
      </c>
      <c r="AU301" s="302">
        <f>Tabla14[[#This Row],[Personas Intervienen]]</f>
        <v>0</v>
      </c>
      <c r="AV301" s="297">
        <f>Tabla14[[#This Row],[Valor Embarque Pesona5]]*Tabla14[[#This Row],[Presonas Segunda]]</f>
        <v>0</v>
      </c>
      <c r="AW301" s="287">
        <f>Tabla14[[#This Row],[Bolsas Por Personas]]</f>
        <v>0.375</v>
      </c>
      <c r="AX301" s="288">
        <f>Tabla14[[#This Row],[Valor bolsas Pesona]]</f>
        <v>253.125</v>
      </c>
      <c r="AY301" s="309">
        <f>Tabla14[[#This Row],[Personas13]]</f>
        <v>16</v>
      </c>
      <c r="AZ301" s="310">
        <f>Tabla14[[#This Row],[Valor bolsas Pesona2]]*Tabla14[[#This Row],[Personas Rechazo]]</f>
        <v>4050</v>
      </c>
      <c r="BA301" s="311">
        <f>+Tabla14[[#This Row],[Total Valor Segunda]]+Tabla14[[#This Row],[Total Valor Primera]]+Tabla14[[#This Row],[Total Valor Precorte]]</f>
        <v>82000</v>
      </c>
      <c r="BB301" s="451">
        <f>Tabla14[[#This Row],[Valor bolsas Pesona2]]+Tabla14[[#This Row],[Valor Embarque Pesona3]]</f>
        <v>5378.125</v>
      </c>
      <c r="BC301" s="452"/>
      <c r="BD301" s="451">
        <f>Tabla14[[#This Row],[VALOR GANADO]]-Tabla14[[#This Row],[REAJUSTADO]]</f>
        <v>5378.125</v>
      </c>
      <c r="BE301" s="250">
        <f>Tabla14[[#This Row],[CUANTO SE REAJUSTA]]*Tabla14[[#This Row],[Personas Rechazo]]</f>
        <v>86050</v>
      </c>
      <c r="BF301" s="250">
        <f>Tabla14[[#This Row],[REAJUSTADO]]/25000</f>
        <v>0</v>
      </c>
      <c r="BG301" s="302">
        <f>Tabla14[[#This Row],[REAJUSTADO]]*Tabla14[[#This Row],[Personas Rechazo]]</f>
        <v>0</v>
      </c>
      <c r="BH301" s="292" t="str">
        <f>Tabla14[[#This Row],[Finca]]</f>
        <v>San Pedro</v>
      </c>
      <c r="BJ301" s="332">
        <f>Tabla14[[#This Row],[Numero de Ocacionales]]*Tabla14[[#This Row],[REAJUSTADO]]</f>
        <v>0</v>
      </c>
      <c r="BK301" s="332"/>
      <c r="BL301" s="332"/>
      <c r="BM301" s="332">
        <f>+Tabla14[[#This Row],[CUANTO SE REAJUSTA]]*3</f>
        <v>16134.375</v>
      </c>
    </row>
    <row r="302" spans="3:65" x14ac:dyDescent="0.25">
      <c r="C302" s="274">
        <v>44977</v>
      </c>
      <c r="D302" s="507">
        <f>YEAR(Tabla14[[#This Row],[Fecha]])</f>
        <v>2023</v>
      </c>
      <c r="E302" s="313">
        <f>IF(Tabla14[[#This Row],[Fecha]]&gt;0,_xlfn.ISOWEEKNUM(Tabla14[[#This Row],[Fecha]]),0)</f>
        <v>8</v>
      </c>
      <c r="F302" s="283">
        <v>63</v>
      </c>
      <c r="G302" s="275" t="s">
        <v>247</v>
      </c>
      <c r="H302" s="325" t="str">
        <f>_xlfn.XLOOKUP(Tabla14[[#This Row],[Codigo Finca]],Tabla4[Codigo Finca],Tabla4[Nombre Finca],"")</f>
        <v>Uveros</v>
      </c>
      <c r="I302" s="277">
        <f>_xlfn.XLOOKUP(Tabla14[[#This Row],[Codigo Finca]],Tabla4[Codigo Finca],Tabla4[Precio Caja],0)</f>
        <v>1800</v>
      </c>
      <c r="J302" s="277">
        <f>_xlfn.XLOOKUP(Tabla14[[#This Row],[Codigo Finca]],Tabla4[Codigo Finca],Tabla4[Precio Caja Segunda],0)</f>
        <v>1150</v>
      </c>
      <c r="K302" s="277">
        <f>_xlfn.XLOOKUP(Tabla14[[#This Row],[Codigo Finca]],Tabla4[Codigo Finca],Tabla4[Precio Rechazo],0)</f>
        <v>575</v>
      </c>
      <c r="L302" s="277">
        <f t="shared" si="400"/>
        <v>307</v>
      </c>
      <c r="M302" s="278">
        <f t="shared" si="401"/>
        <v>4.8730158730158726</v>
      </c>
      <c r="N302" s="283"/>
      <c r="O302" s="279"/>
      <c r="P302" s="280">
        <f t="shared" si="402"/>
        <v>0</v>
      </c>
      <c r="Q302" s="281">
        <f t="shared" si="403"/>
        <v>0</v>
      </c>
      <c r="R302" s="282">
        <f t="shared" si="404"/>
        <v>0</v>
      </c>
      <c r="S302" s="283">
        <v>307</v>
      </c>
      <c r="T302" s="275">
        <v>4</v>
      </c>
      <c r="U302" s="280">
        <f t="shared" si="405"/>
        <v>63</v>
      </c>
      <c r="V302" s="281">
        <f t="shared" si="406"/>
        <v>15.75</v>
      </c>
      <c r="W302" s="282">
        <f t="shared" si="407"/>
        <v>28350</v>
      </c>
      <c r="X302" s="283"/>
      <c r="Y302" s="275"/>
      <c r="Z302" s="280">
        <f>Tabla14[[#This Row],[Cajas Segunda]]</f>
        <v>0</v>
      </c>
      <c r="AA302" s="281">
        <f t="shared" si="408"/>
        <v>0</v>
      </c>
      <c r="AB302" s="284">
        <f t="shared" si="409"/>
        <v>0</v>
      </c>
      <c r="AC302" s="285"/>
      <c r="AD302" s="286">
        <f>125+350</f>
        <v>475</v>
      </c>
      <c r="AE302" s="286"/>
      <c r="AF302" s="286"/>
      <c r="AG302" s="286">
        <v>4</v>
      </c>
      <c r="AH302" s="280">
        <f t="shared" si="410"/>
        <v>19</v>
      </c>
      <c r="AI302" s="281">
        <f t="shared" si="411"/>
        <v>4.75</v>
      </c>
      <c r="AJ302" s="282">
        <f t="shared" si="412"/>
        <v>2731.25</v>
      </c>
      <c r="AK302" s="287">
        <f>Tabla14[[#This Row],[Cajas por Personas]]</f>
        <v>0</v>
      </c>
      <c r="AL302" s="288">
        <f>Tabla14[[#This Row],[Valor Precorte Pesona]]</f>
        <v>0</v>
      </c>
      <c r="AM302" s="294">
        <f>Tabla14[[#This Row],[Personas Precorte]]</f>
        <v>0</v>
      </c>
      <c r="AN302" s="308">
        <f>Tabla14[[#This Row],[Valor Precorte Pesona Precorte]]*Tabla14[[#This Row],[Perzonas Precorte]]</f>
        <v>0</v>
      </c>
      <c r="AO302" s="287">
        <f>Tabla14[[#This Row],[Cajas por Personas2]]</f>
        <v>15.75</v>
      </c>
      <c r="AP302" s="288">
        <f>Tabla14[[#This Row],[Valor Embarque Pesona]]</f>
        <v>28350</v>
      </c>
      <c r="AQ302" s="295">
        <f>Tabla14[[#This Row],[Personas Precorte2]]</f>
        <v>4</v>
      </c>
      <c r="AR302" s="296">
        <f>Tabla14[[#This Row],[Valor Embarque Pesona3]]*Tabla14[[#This Row],[Perzona Primera]]</f>
        <v>113400</v>
      </c>
      <c r="AS302" s="287">
        <f>Tabla14[[#This Row],[Columna2]]</f>
        <v>0</v>
      </c>
      <c r="AT302" s="288">
        <f>Tabla14[[#This Row],[Columna1]]</f>
        <v>0</v>
      </c>
      <c r="AU302" s="302">
        <f>Tabla14[[#This Row],[Personas Intervienen]]</f>
        <v>0</v>
      </c>
      <c r="AV302" s="297">
        <f>Tabla14[[#This Row],[Valor Embarque Pesona5]]*Tabla14[[#This Row],[Presonas Segunda]]</f>
        <v>0</v>
      </c>
      <c r="AW302" s="287">
        <f>Tabla14[[#This Row],[Bolsas Por Personas]]</f>
        <v>4.75</v>
      </c>
      <c r="AX302" s="288">
        <f>Tabla14[[#This Row],[Valor bolsas Pesona]]</f>
        <v>2731.25</v>
      </c>
      <c r="AY302" s="309">
        <f>Tabla14[[#This Row],[Personas13]]</f>
        <v>4</v>
      </c>
      <c r="AZ302" s="310">
        <f>Tabla14[[#This Row],[Valor bolsas Pesona2]]*Tabla14[[#This Row],[Personas Rechazo]]</f>
        <v>10925</v>
      </c>
      <c r="BA302" s="311">
        <f>+Tabla14[[#This Row],[Total Valor Segunda]]+Tabla14[[#This Row],[Total Valor Primera]]+Tabla14[[#This Row],[Total Valor Precorte]]</f>
        <v>113400</v>
      </c>
      <c r="BB302" s="292">
        <f>Tabla14[[#This Row],[Valor bolsas Pesona2]]+Tabla14[[#This Row],[Valor Embarque Pesona3]]</f>
        <v>31081.25</v>
      </c>
      <c r="BC302" s="332">
        <v>30000</v>
      </c>
      <c r="BD302" s="292">
        <f>Tabla14[[#This Row],[VALOR GANADO]]-Tabla14[[#This Row],[REAJUSTADO]]</f>
        <v>1081.25</v>
      </c>
      <c r="BE302" s="250">
        <f>Tabla14[[#This Row],[CUANTO SE REAJUSTA]]*Tabla14[[#This Row],[Personas Rechazo]]</f>
        <v>4325</v>
      </c>
      <c r="BF302" s="250">
        <f>Tabla14[[#This Row],[REAJUSTADO]]/25000</f>
        <v>1.2</v>
      </c>
      <c r="BG302" s="302">
        <f>Tabla14[[#This Row],[REAJUSTADO]]*Tabla14[[#This Row],[Personas Rechazo]]</f>
        <v>120000</v>
      </c>
      <c r="BH302" s="292" t="str">
        <f>Tabla14[[#This Row],[Finca]]</f>
        <v>Uveros</v>
      </c>
      <c r="BJ302" s="332">
        <f>Tabla14[[#This Row],[Numero de Ocacionales]]*Tabla14[[#This Row],[REAJUSTADO]]</f>
        <v>0</v>
      </c>
      <c r="BK302" s="332"/>
      <c r="BL302" s="332"/>
      <c r="BM302" s="332">
        <f>+Tabla14[[#This Row],[CUANTO SE REAJUSTA]]*3</f>
        <v>3243.75</v>
      </c>
    </row>
    <row r="303" spans="3:65" x14ac:dyDescent="0.25">
      <c r="C303" s="274">
        <v>44978</v>
      </c>
      <c r="D303" s="507">
        <f>YEAR(Tabla14[[#This Row],[Fecha]])</f>
        <v>2023</v>
      </c>
      <c r="E303" s="313">
        <f>IF(Tabla14[[#This Row],[Fecha]]&gt;0,_xlfn.ISOWEEKNUM(Tabla14[[#This Row],[Fecha]]),0)</f>
        <v>8</v>
      </c>
      <c r="F303" s="283">
        <v>159</v>
      </c>
      <c r="G303" s="275" t="s">
        <v>251</v>
      </c>
      <c r="H303" s="325" t="str">
        <f>_xlfn.XLOOKUP(Tabla14[[#This Row],[Codigo Finca]],Tabla4[Codigo Finca],Tabla4[Nombre Finca],"")</f>
        <v>Pedrito</v>
      </c>
      <c r="I303" s="277">
        <f>_xlfn.XLOOKUP(Tabla14[[#This Row],[Codigo Finca]],Tabla4[Codigo Finca],Tabla4[Precio Caja],0)</f>
        <v>1800</v>
      </c>
      <c r="J303" s="277">
        <f>_xlfn.XLOOKUP(Tabla14[[#This Row],[Codigo Finca]],Tabla4[Codigo Finca],Tabla4[Precio Caja Segunda],0)</f>
        <v>1150</v>
      </c>
      <c r="K303" s="277">
        <f>_xlfn.XLOOKUP(Tabla14[[#This Row],[Codigo Finca]],Tabla4[Codigo Finca],Tabla4[Precio Rechazo],0)</f>
        <v>575</v>
      </c>
      <c r="L303" s="277">
        <f t="shared" si="400"/>
        <v>707</v>
      </c>
      <c r="M303" s="278">
        <f t="shared" si="401"/>
        <v>4.4465408805031448</v>
      </c>
      <c r="N303" s="283"/>
      <c r="O303" s="279"/>
      <c r="P303" s="280">
        <f t="shared" si="402"/>
        <v>0</v>
      </c>
      <c r="Q303" s="281">
        <f t="shared" si="403"/>
        <v>0</v>
      </c>
      <c r="R303" s="282">
        <f t="shared" si="404"/>
        <v>0</v>
      </c>
      <c r="S303" s="283">
        <f>261+43+30+38+47+47+39+59+38+39+40+26</f>
        <v>707</v>
      </c>
      <c r="T303" s="275">
        <v>11</v>
      </c>
      <c r="U303" s="280">
        <f t="shared" si="405"/>
        <v>159</v>
      </c>
      <c r="V303" s="281">
        <f t="shared" si="406"/>
        <v>14.454545454545455</v>
      </c>
      <c r="W303" s="282">
        <f t="shared" si="407"/>
        <v>26018.18181818182</v>
      </c>
      <c r="X303" s="283"/>
      <c r="Y303" s="275"/>
      <c r="Z303" s="280">
        <f>Tabla14[[#This Row],[Cajas Segunda]]</f>
        <v>0</v>
      </c>
      <c r="AA303" s="281">
        <f t="shared" si="408"/>
        <v>0</v>
      </c>
      <c r="AB303" s="284">
        <f t="shared" si="409"/>
        <v>0</v>
      </c>
      <c r="AC303" s="285"/>
      <c r="AD303" s="286">
        <v>1850</v>
      </c>
      <c r="AE303" s="286"/>
      <c r="AF303" s="286"/>
      <c r="AG303" s="286">
        <v>11</v>
      </c>
      <c r="AH303" s="280">
        <f t="shared" si="410"/>
        <v>74</v>
      </c>
      <c r="AI303" s="281">
        <f t="shared" si="411"/>
        <v>6.7272727272727275</v>
      </c>
      <c r="AJ303" s="282">
        <f t="shared" si="412"/>
        <v>3868.1818181818185</v>
      </c>
      <c r="AK303" s="287">
        <f>Tabla14[[#This Row],[Cajas por Personas]]</f>
        <v>0</v>
      </c>
      <c r="AL303" s="288">
        <f>Tabla14[[#This Row],[Valor Precorte Pesona]]</f>
        <v>0</v>
      </c>
      <c r="AM303" s="294">
        <f>Tabla14[[#This Row],[Personas Precorte]]</f>
        <v>0</v>
      </c>
      <c r="AN303" s="308">
        <f>Tabla14[[#This Row],[Valor Precorte Pesona Precorte]]*Tabla14[[#This Row],[Perzonas Precorte]]</f>
        <v>0</v>
      </c>
      <c r="AO303" s="287">
        <f>Tabla14[[#This Row],[Cajas por Personas2]]</f>
        <v>14.454545454545455</v>
      </c>
      <c r="AP303" s="288">
        <f>Tabla14[[#This Row],[Valor Embarque Pesona]]</f>
        <v>26018.18181818182</v>
      </c>
      <c r="AQ303" s="295">
        <f>Tabla14[[#This Row],[Personas Precorte2]]</f>
        <v>11</v>
      </c>
      <c r="AR303" s="296">
        <f>Tabla14[[#This Row],[Valor Embarque Pesona3]]*Tabla14[[#This Row],[Perzona Primera]]</f>
        <v>286200</v>
      </c>
      <c r="AS303" s="287">
        <f>Tabla14[[#This Row],[Columna2]]</f>
        <v>0</v>
      </c>
      <c r="AT303" s="288">
        <f>Tabla14[[#This Row],[Columna1]]</f>
        <v>0</v>
      </c>
      <c r="AU303" s="302">
        <f>Tabla14[[#This Row],[Personas Intervienen]]</f>
        <v>0</v>
      </c>
      <c r="AV303" s="297">
        <f>Tabla14[[#This Row],[Valor Embarque Pesona5]]*Tabla14[[#This Row],[Presonas Segunda]]</f>
        <v>0</v>
      </c>
      <c r="AW303" s="287">
        <f>Tabla14[[#This Row],[Bolsas Por Personas]]</f>
        <v>6.7272727272727275</v>
      </c>
      <c r="AX303" s="288">
        <f>Tabla14[[#This Row],[Valor bolsas Pesona]]</f>
        <v>3868.1818181818185</v>
      </c>
      <c r="AY303" s="309">
        <f>Tabla14[[#This Row],[Personas13]]</f>
        <v>11</v>
      </c>
      <c r="AZ303" s="310">
        <f>Tabla14[[#This Row],[Valor bolsas Pesona2]]*Tabla14[[#This Row],[Personas Rechazo]]</f>
        <v>42550</v>
      </c>
      <c r="BA303" s="311">
        <f>+Tabla14[[#This Row],[Total Valor Segunda]]+Tabla14[[#This Row],[Total Valor Primera]]+Tabla14[[#This Row],[Total Valor Precorte]]</f>
        <v>286200</v>
      </c>
      <c r="BB303" s="292">
        <f>Tabla14[[#This Row],[Valor bolsas Pesona2]]+Tabla14[[#This Row],[Valor Embarque Pesona3]]</f>
        <v>29886.36363636364</v>
      </c>
      <c r="BC303" s="332">
        <v>30000</v>
      </c>
      <c r="BD303" s="292">
        <f>Tabla14[[#This Row],[VALOR GANADO]]-Tabla14[[#This Row],[REAJUSTADO]]</f>
        <v>-113.63636363636033</v>
      </c>
      <c r="BE303" s="250">
        <f>Tabla14[[#This Row],[CUANTO SE REAJUSTA]]*Tabla14[[#This Row],[Personas Rechazo]]</f>
        <v>-1249.9999999999636</v>
      </c>
      <c r="BF303" s="250">
        <f>Tabla14[[#This Row],[REAJUSTADO]]/25000</f>
        <v>1.2</v>
      </c>
      <c r="BG303" s="302">
        <f>Tabla14[[#This Row],[REAJUSTADO]]*Tabla14[[#This Row],[Personas Rechazo]]</f>
        <v>330000</v>
      </c>
      <c r="BH303" s="292" t="str">
        <f>Tabla14[[#This Row],[Finca]]</f>
        <v>Pedrito</v>
      </c>
      <c r="BJ303" s="332">
        <f>Tabla14[[#This Row],[Numero de Ocacionales]]*Tabla14[[#This Row],[REAJUSTADO]]</f>
        <v>0</v>
      </c>
      <c r="BK303" s="332"/>
      <c r="BL303" s="332"/>
      <c r="BM303" s="332">
        <f>+Tabla14[[#This Row],[CUANTO SE REAJUSTA]]*3</f>
        <v>-340.90909090908099</v>
      </c>
    </row>
    <row r="304" spans="3:65" x14ac:dyDescent="0.25">
      <c r="C304" s="274">
        <v>44978</v>
      </c>
      <c r="D304" s="507">
        <f>YEAR(Tabla14[[#This Row],[Fecha]])</f>
        <v>2023</v>
      </c>
      <c r="E304" s="313">
        <f>IF(Tabla14[[#This Row],[Fecha]]&gt;0,_xlfn.ISOWEEKNUM(Tabla14[[#This Row],[Fecha]]),0)</f>
        <v>8</v>
      </c>
      <c r="F304" s="283">
        <v>38</v>
      </c>
      <c r="G304" s="275" t="s">
        <v>248</v>
      </c>
      <c r="H304" s="325" t="str">
        <f>_xlfn.XLOOKUP(Tabla14[[#This Row],[Codigo Finca]],Tabla4[Codigo Finca],Tabla4[Nombre Finca],"")</f>
        <v>Damaquiel</v>
      </c>
      <c r="I304" s="277">
        <f>_xlfn.XLOOKUP(Tabla14[[#This Row],[Codigo Finca]],Tabla4[Codigo Finca],Tabla4[Precio Caja],0)</f>
        <v>1800</v>
      </c>
      <c r="J304" s="277">
        <f>_xlfn.XLOOKUP(Tabla14[[#This Row],[Codigo Finca]],Tabla4[Codigo Finca],Tabla4[Precio Caja Segunda],0)</f>
        <v>1150</v>
      </c>
      <c r="K304" s="277">
        <f>_xlfn.XLOOKUP(Tabla14[[#This Row],[Codigo Finca]],Tabla4[Codigo Finca],Tabla4[Precio Rechazo],0)</f>
        <v>575</v>
      </c>
      <c r="L304" s="277">
        <f t="shared" si="400"/>
        <v>308</v>
      </c>
      <c r="M304" s="278">
        <f t="shared" si="401"/>
        <v>8.1052631578947363</v>
      </c>
      <c r="N304" s="283"/>
      <c r="O304" s="279"/>
      <c r="P304" s="280">
        <f t="shared" si="402"/>
        <v>0</v>
      </c>
      <c r="Q304" s="281">
        <f t="shared" si="403"/>
        <v>0</v>
      </c>
      <c r="R304" s="282">
        <f t="shared" si="404"/>
        <v>0</v>
      </c>
      <c r="S304" s="283">
        <v>308</v>
      </c>
      <c r="T304" s="275">
        <v>4</v>
      </c>
      <c r="U304" s="280">
        <f t="shared" si="405"/>
        <v>38</v>
      </c>
      <c r="V304" s="281">
        <f t="shared" si="406"/>
        <v>9.5</v>
      </c>
      <c r="W304" s="282">
        <f t="shared" si="407"/>
        <v>17100</v>
      </c>
      <c r="X304" s="283"/>
      <c r="Y304" s="275"/>
      <c r="Z304" s="280">
        <f>Tabla14[[#This Row],[Cajas Segunda]]</f>
        <v>0</v>
      </c>
      <c r="AA304" s="281">
        <f t="shared" si="408"/>
        <v>0</v>
      </c>
      <c r="AB304" s="284">
        <f t="shared" si="409"/>
        <v>0</v>
      </c>
      <c r="AC304" s="285"/>
      <c r="AD304" s="286">
        <f>300+450</f>
        <v>750</v>
      </c>
      <c r="AE304" s="286"/>
      <c r="AF304" s="286"/>
      <c r="AG304" s="286">
        <v>4</v>
      </c>
      <c r="AH304" s="280">
        <f t="shared" si="410"/>
        <v>30</v>
      </c>
      <c r="AI304" s="281">
        <f t="shared" si="411"/>
        <v>7.5</v>
      </c>
      <c r="AJ304" s="282">
        <f t="shared" si="412"/>
        <v>4312.5</v>
      </c>
      <c r="AK304" s="287">
        <f>Tabla14[[#This Row],[Cajas por Personas]]</f>
        <v>0</v>
      </c>
      <c r="AL304" s="288">
        <f>Tabla14[[#This Row],[Valor Precorte Pesona]]</f>
        <v>0</v>
      </c>
      <c r="AM304" s="294">
        <f>Tabla14[[#This Row],[Personas Precorte]]</f>
        <v>0</v>
      </c>
      <c r="AN304" s="308">
        <f>Tabla14[[#This Row],[Valor Precorte Pesona Precorte]]*Tabla14[[#This Row],[Perzonas Precorte]]</f>
        <v>0</v>
      </c>
      <c r="AO304" s="287">
        <f>Tabla14[[#This Row],[Cajas por Personas2]]</f>
        <v>9.5</v>
      </c>
      <c r="AP304" s="288">
        <f>Tabla14[[#This Row],[Valor Embarque Pesona]]</f>
        <v>17100</v>
      </c>
      <c r="AQ304" s="295">
        <f>Tabla14[[#This Row],[Personas Precorte2]]</f>
        <v>4</v>
      </c>
      <c r="AR304" s="296">
        <f>Tabla14[[#This Row],[Valor Embarque Pesona3]]*Tabla14[[#This Row],[Perzona Primera]]</f>
        <v>68400</v>
      </c>
      <c r="AS304" s="287">
        <f>Tabla14[[#This Row],[Columna2]]</f>
        <v>0</v>
      </c>
      <c r="AT304" s="288">
        <f>Tabla14[[#This Row],[Columna1]]</f>
        <v>0</v>
      </c>
      <c r="AU304" s="302">
        <f>Tabla14[[#This Row],[Personas Intervienen]]</f>
        <v>0</v>
      </c>
      <c r="AV304" s="297">
        <f>Tabla14[[#This Row],[Valor Embarque Pesona5]]*Tabla14[[#This Row],[Presonas Segunda]]</f>
        <v>0</v>
      </c>
      <c r="AW304" s="287">
        <f>Tabla14[[#This Row],[Bolsas Por Personas]]</f>
        <v>7.5</v>
      </c>
      <c r="AX304" s="288">
        <f>Tabla14[[#This Row],[Valor bolsas Pesona]]</f>
        <v>4312.5</v>
      </c>
      <c r="AY304" s="309">
        <f>Tabla14[[#This Row],[Personas13]]</f>
        <v>4</v>
      </c>
      <c r="AZ304" s="310">
        <f>Tabla14[[#This Row],[Valor bolsas Pesona2]]*Tabla14[[#This Row],[Personas Rechazo]]</f>
        <v>17250</v>
      </c>
      <c r="BA304" s="311">
        <f>+Tabla14[[#This Row],[Total Valor Segunda]]+Tabla14[[#This Row],[Total Valor Primera]]+Tabla14[[#This Row],[Total Valor Precorte]]</f>
        <v>68400</v>
      </c>
      <c r="BB304" s="292">
        <f>Tabla14[[#This Row],[Valor bolsas Pesona2]]+Tabla14[[#This Row],[Valor Embarque Pesona3]]</f>
        <v>21412.5</v>
      </c>
      <c r="BC304" s="332">
        <v>30000</v>
      </c>
      <c r="BD304" s="292">
        <f>Tabla14[[#This Row],[VALOR GANADO]]-Tabla14[[#This Row],[REAJUSTADO]]</f>
        <v>-8587.5</v>
      </c>
      <c r="BE304" s="250">
        <f>Tabla14[[#This Row],[CUANTO SE REAJUSTA]]*Tabla14[[#This Row],[Personas Rechazo]]</f>
        <v>-34350</v>
      </c>
      <c r="BF304" s="250">
        <f>Tabla14[[#This Row],[REAJUSTADO]]/25000</f>
        <v>1.2</v>
      </c>
      <c r="BG304" s="302">
        <f>Tabla14[[#This Row],[REAJUSTADO]]*Tabla14[[#This Row],[Personas Rechazo]]</f>
        <v>120000</v>
      </c>
      <c r="BH304" s="292" t="str">
        <f>Tabla14[[#This Row],[Finca]]</f>
        <v>Damaquiel</v>
      </c>
      <c r="BJ304" s="332">
        <f>Tabla14[[#This Row],[Numero de Ocacionales]]*Tabla14[[#This Row],[REAJUSTADO]]</f>
        <v>0</v>
      </c>
      <c r="BK304" s="332"/>
      <c r="BL304" s="332"/>
      <c r="BM304" s="332">
        <f>+Tabla14[[#This Row],[CUANTO SE REAJUSTA]]*3</f>
        <v>-25762.5</v>
      </c>
    </row>
    <row r="305" spans="3:65" x14ac:dyDescent="0.25">
      <c r="C305" s="274">
        <v>44984</v>
      </c>
      <c r="D305" s="507">
        <f>YEAR(Tabla14[[#This Row],[Fecha]])</f>
        <v>2023</v>
      </c>
      <c r="E305" s="313">
        <f>IF(Tabla14[[#This Row],[Fecha]]&gt;0,_xlfn.ISOWEEKNUM(Tabla14[[#This Row],[Fecha]]),0)</f>
        <v>9</v>
      </c>
      <c r="F305" s="283">
        <f>604-41</f>
        <v>563</v>
      </c>
      <c r="G305" s="275" t="s">
        <v>250</v>
      </c>
      <c r="H305" s="325" t="str">
        <f>_xlfn.XLOOKUP(Tabla14[[#This Row],[Codigo Finca]],Tabla4[Codigo Finca],Tabla4[Nombre Finca],"")</f>
        <v>San Pedro</v>
      </c>
      <c r="I305" s="277">
        <f>_xlfn.XLOOKUP(Tabla14[[#This Row],[Codigo Finca]],Tabla4[Codigo Finca],Tabla4[Precio Caja],0)</f>
        <v>1800</v>
      </c>
      <c r="J305" s="277">
        <f>_xlfn.XLOOKUP(Tabla14[[#This Row],[Codigo Finca]],Tabla4[Codigo Finca],Tabla4[Precio Caja Segunda],0)</f>
        <v>1150</v>
      </c>
      <c r="K305" s="277">
        <f>_xlfn.XLOOKUP(Tabla14[[#This Row],[Codigo Finca]],Tabla4[Codigo Finca],Tabla4[Precio Rechazo],0)</f>
        <v>575</v>
      </c>
      <c r="L305" s="277">
        <f t="shared" si="400"/>
        <v>1668</v>
      </c>
      <c r="M305" s="278">
        <f t="shared" si="401"/>
        <v>2.9626998223801064</v>
      </c>
      <c r="N305" s="283"/>
      <c r="O305" s="279"/>
      <c r="P305" s="280">
        <f t="shared" si="402"/>
        <v>0</v>
      </c>
      <c r="Q305" s="281">
        <f t="shared" si="403"/>
        <v>0</v>
      </c>
      <c r="R305" s="282">
        <f t="shared" si="404"/>
        <v>0</v>
      </c>
      <c r="S305" s="283">
        <f>1782-114</f>
        <v>1668</v>
      </c>
      <c r="T305" s="275">
        <v>17</v>
      </c>
      <c r="U305" s="280">
        <f t="shared" si="405"/>
        <v>563</v>
      </c>
      <c r="V305" s="281">
        <f t="shared" si="406"/>
        <v>33.117647058823529</v>
      </c>
      <c r="W305" s="282">
        <f t="shared" si="407"/>
        <v>59611.76470588235</v>
      </c>
      <c r="X305" s="283"/>
      <c r="Y305" s="275"/>
      <c r="Z305" s="280">
        <f>Tabla14[[#This Row],[Cajas Segunda]]</f>
        <v>0</v>
      </c>
      <c r="AA305" s="281">
        <f t="shared" si="408"/>
        <v>0</v>
      </c>
      <c r="AB305" s="284">
        <f t="shared" si="409"/>
        <v>0</v>
      </c>
      <c r="AC305" s="285"/>
      <c r="AD305" s="286">
        <v>1880.45</v>
      </c>
      <c r="AE305" s="286"/>
      <c r="AF305" s="286"/>
      <c r="AG305" s="286">
        <v>17</v>
      </c>
      <c r="AH305" s="280">
        <f t="shared" si="410"/>
        <v>75.218000000000004</v>
      </c>
      <c r="AI305" s="281">
        <f t="shared" si="411"/>
        <v>4.4245882352941175</v>
      </c>
      <c r="AJ305" s="282">
        <f t="shared" si="412"/>
        <v>2544.1382352941177</v>
      </c>
      <c r="AK305" s="287">
        <f>Tabla14[[#This Row],[Cajas por Personas]]</f>
        <v>0</v>
      </c>
      <c r="AL305" s="288">
        <f>Tabla14[[#This Row],[Valor Precorte Pesona]]</f>
        <v>0</v>
      </c>
      <c r="AM305" s="294">
        <f>Tabla14[[#This Row],[Personas Precorte]]</f>
        <v>0</v>
      </c>
      <c r="AN305" s="308">
        <f>Tabla14[[#This Row],[Valor Precorte Pesona Precorte]]*Tabla14[[#This Row],[Perzonas Precorte]]</f>
        <v>0</v>
      </c>
      <c r="AO305" s="287">
        <f>Tabla14[[#This Row],[Cajas por Personas2]]</f>
        <v>33.117647058823529</v>
      </c>
      <c r="AP305" s="288">
        <f>Tabla14[[#This Row],[Valor Embarque Pesona]]</f>
        <v>59611.76470588235</v>
      </c>
      <c r="AQ305" s="295">
        <f>Tabla14[[#This Row],[Personas Precorte2]]</f>
        <v>17</v>
      </c>
      <c r="AR305" s="296">
        <f>Tabla14[[#This Row],[Valor Embarque Pesona3]]*Tabla14[[#This Row],[Perzona Primera]]</f>
        <v>1013400</v>
      </c>
      <c r="AS305" s="287">
        <f>Tabla14[[#This Row],[Columna2]]</f>
        <v>0</v>
      </c>
      <c r="AT305" s="288">
        <f>Tabla14[[#This Row],[Columna1]]</f>
        <v>0</v>
      </c>
      <c r="AU305" s="302">
        <f>Tabla14[[#This Row],[Personas Intervienen]]</f>
        <v>0</v>
      </c>
      <c r="AV305" s="297">
        <f>Tabla14[[#This Row],[Valor Embarque Pesona5]]*Tabla14[[#This Row],[Presonas Segunda]]</f>
        <v>0</v>
      </c>
      <c r="AW305" s="287">
        <f>Tabla14[[#This Row],[Bolsas Por Personas]]</f>
        <v>4.4245882352941175</v>
      </c>
      <c r="AX305" s="288">
        <f>Tabla14[[#This Row],[Valor bolsas Pesona]]</f>
        <v>2544.1382352941177</v>
      </c>
      <c r="AY305" s="309">
        <f>Tabla14[[#This Row],[Personas13]]</f>
        <v>17</v>
      </c>
      <c r="AZ305" s="310">
        <f>Tabla14[[#This Row],[Valor bolsas Pesona2]]*Tabla14[[#This Row],[Personas Rechazo]]</f>
        <v>43250.35</v>
      </c>
      <c r="BA305" s="311">
        <f>+Tabla14[[#This Row],[Total Valor Segunda]]+Tabla14[[#This Row],[Total Valor Primera]]+Tabla14[[#This Row],[Total Valor Precorte]]</f>
        <v>1013400</v>
      </c>
      <c r="BB305" s="292">
        <f>Tabla14[[#This Row],[Valor bolsas Pesona2]]+Tabla14[[#This Row],[Valor Embarque Pesona3]]</f>
        <v>62155.902941176464</v>
      </c>
      <c r="BC305" s="332">
        <v>66980</v>
      </c>
      <c r="BD305" s="292">
        <f>Tabla14[[#This Row],[VALOR GANADO]]-Tabla14[[#This Row],[REAJUSTADO]]</f>
        <v>-4824.0970588235359</v>
      </c>
      <c r="BE305" s="250">
        <f>Tabla14[[#This Row],[CUANTO SE REAJUSTA]]*Tabla14[[#This Row],[Personas Rechazo]]</f>
        <v>-82009.650000000111</v>
      </c>
      <c r="BF305" s="250">
        <f>Tabla14[[#This Row],[REAJUSTADO]]/25000</f>
        <v>2.6791999999999998</v>
      </c>
      <c r="BG305" s="302">
        <f>Tabla14[[#This Row],[REAJUSTADO]]*Tabla14[[#This Row],[Personas Rechazo]]</f>
        <v>1138660</v>
      </c>
      <c r="BH305" s="292" t="str">
        <f>Tabla14[[#This Row],[Finca]]</f>
        <v>San Pedro</v>
      </c>
      <c r="BJ305" s="332">
        <f>Tabla14[[#This Row],[Numero de Ocacionales]]*Tabla14[[#This Row],[REAJUSTADO]]</f>
        <v>0</v>
      </c>
      <c r="BK305" s="332"/>
      <c r="BL305" s="332"/>
      <c r="BM305" s="332">
        <f>+Tabla14[[#This Row],[CUANTO SE REAJUSTA]]*3</f>
        <v>-14472.291176470608</v>
      </c>
    </row>
    <row r="306" spans="3:65" x14ac:dyDescent="0.25">
      <c r="C306" s="274">
        <v>44984</v>
      </c>
      <c r="D306" s="507">
        <f>YEAR(Tabla14[[#This Row],[Fecha]])</f>
        <v>2023</v>
      </c>
      <c r="E306" s="313">
        <f>IF(Tabla14[[#This Row],[Fecha]]&gt;0,_xlfn.ISOWEEKNUM(Tabla14[[#This Row],[Fecha]]),0)</f>
        <v>9</v>
      </c>
      <c r="F306" s="283">
        <v>41</v>
      </c>
      <c r="G306" s="275" t="s">
        <v>249</v>
      </c>
      <c r="H306" s="325" t="str">
        <f>_xlfn.XLOOKUP(Tabla14[[#This Row],[Codigo Finca]],Tabla4[Codigo Finca],Tabla4[Nombre Finca],"")</f>
        <v>San Pedro</v>
      </c>
      <c r="I306" s="277">
        <f>_xlfn.XLOOKUP(Tabla14[[#This Row],[Codigo Finca]],Tabla4[Codigo Finca],Tabla4[Precio Caja],0)</f>
        <v>2000</v>
      </c>
      <c r="J306" s="277">
        <f>_xlfn.XLOOKUP(Tabla14[[#This Row],[Codigo Finca]],Tabla4[Codigo Finca],Tabla4[Precio Caja Segunda],0)</f>
        <v>1150</v>
      </c>
      <c r="K306" s="277">
        <f>_xlfn.XLOOKUP(Tabla14[[#This Row],[Codigo Finca]],Tabla4[Codigo Finca],Tabla4[Precio Rechazo],0)</f>
        <v>675</v>
      </c>
      <c r="L306" s="277">
        <f t="shared" si="400"/>
        <v>114</v>
      </c>
      <c r="M306" s="278">
        <f t="shared" si="401"/>
        <v>2.7804878048780486</v>
      </c>
      <c r="N306" s="283"/>
      <c r="O306" s="279"/>
      <c r="P306" s="280">
        <f t="shared" si="402"/>
        <v>0</v>
      </c>
      <c r="Q306" s="281">
        <f t="shared" si="403"/>
        <v>0</v>
      </c>
      <c r="R306" s="282">
        <f t="shared" si="404"/>
        <v>0</v>
      </c>
      <c r="S306" s="283">
        <v>114</v>
      </c>
      <c r="T306" s="275">
        <v>17</v>
      </c>
      <c r="U306" s="280">
        <f t="shared" si="405"/>
        <v>41</v>
      </c>
      <c r="V306" s="281">
        <f t="shared" si="406"/>
        <v>2.4117647058823528</v>
      </c>
      <c r="W306" s="282">
        <f t="shared" si="407"/>
        <v>4823.5294117647063</v>
      </c>
      <c r="X306" s="283"/>
      <c r="Y306" s="275"/>
      <c r="Z306" s="280">
        <f>Tabla14[[#This Row],[Cajas Segunda]]</f>
        <v>0</v>
      </c>
      <c r="AA306" s="281">
        <f t="shared" si="408"/>
        <v>0</v>
      </c>
      <c r="AB306" s="284">
        <f t="shared" si="409"/>
        <v>0</v>
      </c>
      <c r="AC306" s="285"/>
      <c r="AD306" s="286"/>
      <c r="AE306" s="286"/>
      <c r="AF306" s="286"/>
      <c r="AG306" s="286">
        <v>17</v>
      </c>
      <c r="AH306" s="280">
        <f t="shared" si="410"/>
        <v>0</v>
      </c>
      <c r="AI306" s="281">
        <f t="shared" si="411"/>
        <v>0</v>
      </c>
      <c r="AJ306" s="282">
        <f t="shared" si="412"/>
        <v>0</v>
      </c>
      <c r="AK306" s="287">
        <f>Tabla14[[#This Row],[Cajas por Personas]]</f>
        <v>0</v>
      </c>
      <c r="AL306" s="288">
        <f>Tabla14[[#This Row],[Valor Precorte Pesona]]</f>
        <v>0</v>
      </c>
      <c r="AM306" s="294">
        <f>Tabla14[[#This Row],[Personas Precorte]]</f>
        <v>0</v>
      </c>
      <c r="AN306" s="308">
        <f>Tabla14[[#This Row],[Valor Precorte Pesona Precorte]]*Tabla14[[#This Row],[Perzonas Precorte]]</f>
        <v>0</v>
      </c>
      <c r="AO306" s="287">
        <f>Tabla14[[#This Row],[Cajas por Personas2]]</f>
        <v>2.4117647058823528</v>
      </c>
      <c r="AP306" s="288">
        <f>Tabla14[[#This Row],[Valor Embarque Pesona]]</f>
        <v>4823.5294117647063</v>
      </c>
      <c r="AQ306" s="295">
        <f>Tabla14[[#This Row],[Personas Precorte2]]</f>
        <v>17</v>
      </c>
      <c r="AR306" s="296">
        <f>Tabla14[[#This Row],[Valor Embarque Pesona3]]*Tabla14[[#This Row],[Perzona Primera]]</f>
        <v>82000</v>
      </c>
      <c r="AS306" s="287">
        <f>Tabla14[[#This Row],[Columna2]]</f>
        <v>0</v>
      </c>
      <c r="AT306" s="288">
        <f>Tabla14[[#This Row],[Columna1]]</f>
        <v>0</v>
      </c>
      <c r="AU306" s="302">
        <f>Tabla14[[#This Row],[Personas Intervienen]]</f>
        <v>0</v>
      </c>
      <c r="AV306" s="297">
        <f>Tabla14[[#This Row],[Valor Embarque Pesona5]]*Tabla14[[#This Row],[Presonas Segunda]]</f>
        <v>0</v>
      </c>
      <c r="AW306" s="287">
        <f>Tabla14[[#This Row],[Bolsas Por Personas]]</f>
        <v>0</v>
      </c>
      <c r="AX306" s="288">
        <f>Tabla14[[#This Row],[Valor bolsas Pesona]]</f>
        <v>0</v>
      </c>
      <c r="AY306" s="309">
        <f>Tabla14[[#This Row],[Personas13]]</f>
        <v>17</v>
      </c>
      <c r="AZ306" s="310">
        <f>Tabla14[[#This Row],[Valor bolsas Pesona2]]*Tabla14[[#This Row],[Personas Rechazo]]</f>
        <v>0</v>
      </c>
      <c r="BA306" s="311">
        <f>+Tabla14[[#This Row],[Total Valor Segunda]]+Tabla14[[#This Row],[Total Valor Primera]]+Tabla14[[#This Row],[Total Valor Precorte]]</f>
        <v>82000</v>
      </c>
      <c r="BB306" s="292">
        <f>Tabla14[[#This Row],[Valor bolsas Pesona2]]+Tabla14[[#This Row],[Valor Embarque Pesona3]]</f>
        <v>4823.5294117647063</v>
      </c>
      <c r="BD306" s="292">
        <f>Tabla14[[#This Row],[VALOR GANADO]]-Tabla14[[#This Row],[REAJUSTADO]]</f>
        <v>4823.5294117647063</v>
      </c>
      <c r="BE306" s="250">
        <f>Tabla14[[#This Row],[CUANTO SE REAJUSTA]]*Tabla14[[#This Row],[Personas Rechazo]]</f>
        <v>82000</v>
      </c>
      <c r="BF306" s="250">
        <f>Tabla14[[#This Row],[REAJUSTADO]]/25000</f>
        <v>0</v>
      </c>
      <c r="BG306" s="302">
        <f>Tabla14[[#This Row],[REAJUSTADO]]*Tabla14[[#This Row],[Personas Rechazo]]</f>
        <v>0</v>
      </c>
      <c r="BH306" s="292" t="str">
        <f>Tabla14[[#This Row],[Finca]]</f>
        <v>San Pedro</v>
      </c>
      <c r="BJ306" s="332">
        <f>Tabla14[[#This Row],[Numero de Ocacionales]]*Tabla14[[#This Row],[REAJUSTADO]]</f>
        <v>0</v>
      </c>
      <c r="BK306" s="332"/>
      <c r="BL306" s="332"/>
      <c r="BM306" s="332">
        <f>+Tabla14[[#This Row],[CUANTO SE REAJUSTA]]*3</f>
        <v>14470.588235294119</v>
      </c>
    </row>
    <row r="307" spans="3:65" x14ac:dyDescent="0.25">
      <c r="C307" s="274">
        <v>44984</v>
      </c>
      <c r="D307" s="507">
        <f>YEAR(Tabla14[[#This Row],[Fecha]])</f>
        <v>2023</v>
      </c>
      <c r="E307" s="313">
        <f>IF(Tabla14[[#This Row],[Fecha]]&gt;0,_xlfn.ISOWEEKNUM(Tabla14[[#This Row],[Fecha]]),0)</f>
        <v>9</v>
      </c>
      <c r="F307" s="283">
        <v>70</v>
      </c>
      <c r="G307" s="275" t="s">
        <v>247</v>
      </c>
      <c r="H307" s="325" t="str">
        <f>_xlfn.XLOOKUP(Tabla14[[#This Row],[Codigo Finca]],Tabla4[Codigo Finca],Tabla4[Nombre Finca],"")</f>
        <v>Uveros</v>
      </c>
      <c r="I307" s="277">
        <f>_xlfn.XLOOKUP(Tabla14[[#This Row],[Codigo Finca]],Tabla4[Codigo Finca],Tabla4[Precio Caja],0)</f>
        <v>1800</v>
      </c>
      <c r="J307" s="277">
        <f>_xlfn.XLOOKUP(Tabla14[[#This Row],[Codigo Finca]],Tabla4[Codigo Finca],Tabla4[Precio Caja Segunda],0)</f>
        <v>1150</v>
      </c>
      <c r="K307" s="277">
        <f>_xlfn.XLOOKUP(Tabla14[[#This Row],[Codigo Finca]],Tabla4[Codigo Finca],Tabla4[Precio Rechazo],0)</f>
        <v>575</v>
      </c>
      <c r="L307" s="277">
        <f t="shared" si="400"/>
        <v>294</v>
      </c>
      <c r="M307" s="278">
        <f t="shared" si="401"/>
        <v>4.2</v>
      </c>
      <c r="N307" s="283"/>
      <c r="O307" s="279"/>
      <c r="P307" s="280">
        <f t="shared" si="402"/>
        <v>0</v>
      </c>
      <c r="Q307" s="281">
        <f t="shared" si="403"/>
        <v>0</v>
      </c>
      <c r="R307" s="282">
        <f t="shared" si="404"/>
        <v>0</v>
      </c>
      <c r="S307" s="283">
        <v>294</v>
      </c>
      <c r="T307" s="275">
        <v>5</v>
      </c>
      <c r="U307" s="280">
        <f t="shared" si="405"/>
        <v>70</v>
      </c>
      <c r="V307" s="281">
        <f t="shared" si="406"/>
        <v>14</v>
      </c>
      <c r="W307" s="282">
        <f t="shared" si="407"/>
        <v>25200</v>
      </c>
      <c r="X307" s="283"/>
      <c r="Y307" s="275"/>
      <c r="Z307" s="280">
        <f>Tabla14[[#This Row],[Cajas Segunda]]</f>
        <v>0</v>
      </c>
      <c r="AA307" s="281">
        <f t="shared" si="408"/>
        <v>0</v>
      </c>
      <c r="AB307" s="284">
        <f t="shared" si="409"/>
        <v>0</v>
      </c>
      <c r="AC307" s="285"/>
      <c r="AD307" s="286">
        <v>542</v>
      </c>
      <c r="AE307" s="286"/>
      <c r="AF307" s="286"/>
      <c r="AG307" s="286">
        <v>5</v>
      </c>
      <c r="AH307" s="280">
        <f t="shared" si="410"/>
        <v>21.68</v>
      </c>
      <c r="AI307" s="281">
        <f t="shared" si="411"/>
        <v>4.3360000000000003</v>
      </c>
      <c r="AJ307" s="282">
        <f t="shared" si="412"/>
        <v>2493.2000000000003</v>
      </c>
      <c r="AK307" s="287">
        <f>Tabla14[[#This Row],[Cajas por Personas]]</f>
        <v>0</v>
      </c>
      <c r="AL307" s="288">
        <f>Tabla14[[#This Row],[Valor Precorte Pesona]]</f>
        <v>0</v>
      </c>
      <c r="AM307" s="294">
        <f>Tabla14[[#This Row],[Personas Precorte]]</f>
        <v>0</v>
      </c>
      <c r="AN307" s="308">
        <f>Tabla14[[#This Row],[Valor Precorte Pesona Precorte]]*Tabla14[[#This Row],[Perzonas Precorte]]</f>
        <v>0</v>
      </c>
      <c r="AO307" s="287">
        <f>Tabla14[[#This Row],[Cajas por Personas2]]</f>
        <v>14</v>
      </c>
      <c r="AP307" s="288">
        <f>Tabla14[[#This Row],[Valor Embarque Pesona]]</f>
        <v>25200</v>
      </c>
      <c r="AQ307" s="295">
        <f>Tabla14[[#This Row],[Personas Precorte2]]</f>
        <v>5</v>
      </c>
      <c r="AR307" s="296">
        <f>Tabla14[[#This Row],[Valor Embarque Pesona3]]*Tabla14[[#This Row],[Perzona Primera]]</f>
        <v>126000</v>
      </c>
      <c r="AS307" s="287">
        <f>Tabla14[[#This Row],[Columna2]]</f>
        <v>0</v>
      </c>
      <c r="AT307" s="288">
        <f>Tabla14[[#This Row],[Columna1]]</f>
        <v>0</v>
      </c>
      <c r="AU307" s="302">
        <f>Tabla14[[#This Row],[Personas Intervienen]]</f>
        <v>0</v>
      </c>
      <c r="AV307" s="297">
        <f>Tabla14[[#This Row],[Valor Embarque Pesona5]]*Tabla14[[#This Row],[Presonas Segunda]]</f>
        <v>0</v>
      </c>
      <c r="AW307" s="287">
        <f>Tabla14[[#This Row],[Bolsas Por Personas]]</f>
        <v>4.3360000000000003</v>
      </c>
      <c r="AX307" s="288">
        <f>Tabla14[[#This Row],[Valor bolsas Pesona]]</f>
        <v>2493.2000000000003</v>
      </c>
      <c r="AY307" s="309">
        <f>Tabla14[[#This Row],[Personas13]]</f>
        <v>5</v>
      </c>
      <c r="AZ307" s="310">
        <f>Tabla14[[#This Row],[Valor bolsas Pesona2]]*Tabla14[[#This Row],[Personas Rechazo]]</f>
        <v>12466.000000000002</v>
      </c>
      <c r="BA307" s="311">
        <f>+Tabla14[[#This Row],[Total Valor Segunda]]+Tabla14[[#This Row],[Total Valor Primera]]+Tabla14[[#This Row],[Total Valor Precorte]]</f>
        <v>126000</v>
      </c>
      <c r="BB307" s="292">
        <f>Tabla14[[#This Row],[Valor bolsas Pesona2]]+Tabla14[[#This Row],[Valor Embarque Pesona3]]</f>
        <v>27693.200000000001</v>
      </c>
      <c r="BC307" s="332">
        <v>30000</v>
      </c>
      <c r="BD307" s="292">
        <f>Tabla14[[#This Row],[VALOR GANADO]]-Tabla14[[#This Row],[REAJUSTADO]]</f>
        <v>-2306.7999999999993</v>
      </c>
      <c r="BE307" s="250">
        <f>Tabla14[[#This Row],[CUANTO SE REAJUSTA]]*Tabla14[[#This Row],[Personas Rechazo]]</f>
        <v>-11533.999999999996</v>
      </c>
      <c r="BF307" s="250">
        <f>Tabla14[[#This Row],[REAJUSTADO]]/25000</f>
        <v>1.2</v>
      </c>
      <c r="BG307" s="302">
        <f>Tabla14[[#This Row],[REAJUSTADO]]*Tabla14[[#This Row],[Personas Rechazo]]</f>
        <v>150000</v>
      </c>
      <c r="BH307" s="292" t="str">
        <f>Tabla14[[#This Row],[Finca]]</f>
        <v>Uveros</v>
      </c>
      <c r="BJ307" s="332">
        <f>Tabla14[[#This Row],[Numero de Ocacionales]]*Tabla14[[#This Row],[REAJUSTADO]]</f>
        <v>0</v>
      </c>
      <c r="BK307" s="332"/>
      <c r="BL307" s="332"/>
      <c r="BM307" s="332">
        <f>+Tabla14[[#This Row],[CUANTO SE REAJUSTA]]*3</f>
        <v>-6920.3999999999978</v>
      </c>
    </row>
    <row r="308" spans="3:65" x14ac:dyDescent="0.25">
      <c r="C308" s="274">
        <v>44992</v>
      </c>
      <c r="D308" s="507">
        <f>YEAR(Tabla14[[#This Row],[Fecha]])</f>
        <v>2023</v>
      </c>
      <c r="E308" s="313">
        <f>IF(Tabla14[[#This Row],[Fecha]]&gt;0,_xlfn.ISOWEEKNUM(Tabla14[[#This Row],[Fecha]]),0)</f>
        <v>10</v>
      </c>
      <c r="F308" s="283">
        <v>324</v>
      </c>
      <c r="G308" s="275" t="s">
        <v>251</v>
      </c>
      <c r="H308" s="325" t="str">
        <f>_xlfn.XLOOKUP(Tabla14[[#This Row],[Codigo Finca]],Tabla4[Codigo Finca],Tabla4[Nombre Finca],"")</f>
        <v>Pedrito</v>
      </c>
      <c r="I308" s="277">
        <f>_xlfn.XLOOKUP(Tabla14[[#This Row],[Codigo Finca]],Tabla4[Codigo Finca],Tabla4[Precio Caja],0)</f>
        <v>1800</v>
      </c>
      <c r="J308" s="277">
        <f>_xlfn.XLOOKUP(Tabla14[[#This Row],[Codigo Finca]],Tabla4[Codigo Finca],Tabla4[Precio Caja Segunda],0)</f>
        <v>1150</v>
      </c>
      <c r="K308" s="277">
        <f>_xlfn.XLOOKUP(Tabla14[[#This Row],[Codigo Finca]],Tabla4[Codigo Finca],Tabla4[Precio Rechazo],0)</f>
        <v>575</v>
      </c>
      <c r="L308" s="277">
        <f t="shared" si="400"/>
        <v>1582</v>
      </c>
      <c r="M308" s="278">
        <f t="shared" si="401"/>
        <v>4.882716049382716</v>
      </c>
      <c r="N308" s="283"/>
      <c r="O308" s="279"/>
      <c r="P308" s="280">
        <f t="shared" si="402"/>
        <v>0</v>
      </c>
      <c r="Q308" s="281">
        <f t="shared" si="403"/>
        <v>0</v>
      </c>
      <c r="R308" s="282">
        <f t="shared" si="404"/>
        <v>0</v>
      </c>
      <c r="S308" s="283">
        <f>490+127+86+145+114+241+132+148+99</f>
        <v>1582</v>
      </c>
      <c r="T308" s="275">
        <v>14</v>
      </c>
      <c r="U308" s="280">
        <f t="shared" si="405"/>
        <v>324</v>
      </c>
      <c r="V308" s="281">
        <f t="shared" si="406"/>
        <v>23.142857142857142</v>
      </c>
      <c r="W308" s="282">
        <f t="shared" si="407"/>
        <v>41657.142857142855</v>
      </c>
      <c r="X308" s="283"/>
      <c r="Y308" s="275"/>
      <c r="Z308" s="280">
        <f>Tabla14[[#This Row],[Cajas Segunda]]</f>
        <v>0</v>
      </c>
      <c r="AA308" s="281">
        <f t="shared" si="408"/>
        <v>0</v>
      </c>
      <c r="AB308" s="284">
        <f t="shared" si="409"/>
        <v>0</v>
      </c>
      <c r="AC308" s="285"/>
      <c r="AD308" s="286">
        <v>4046</v>
      </c>
      <c r="AE308" s="286"/>
      <c r="AF308" s="286"/>
      <c r="AG308" s="286">
        <v>14</v>
      </c>
      <c r="AH308" s="280">
        <f t="shared" si="410"/>
        <v>161.84</v>
      </c>
      <c r="AI308" s="281">
        <f t="shared" si="411"/>
        <v>11.56</v>
      </c>
      <c r="AJ308" s="282">
        <f t="shared" si="412"/>
        <v>6647</v>
      </c>
      <c r="AK308" s="287">
        <f>Tabla14[[#This Row],[Cajas por Personas]]</f>
        <v>0</v>
      </c>
      <c r="AL308" s="288">
        <f>Tabla14[[#This Row],[Valor Precorte Pesona]]</f>
        <v>0</v>
      </c>
      <c r="AM308" s="294">
        <f>Tabla14[[#This Row],[Personas Precorte]]</f>
        <v>0</v>
      </c>
      <c r="AN308" s="308">
        <f>Tabla14[[#This Row],[Valor Precorte Pesona Precorte]]*Tabla14[[#This Row],[Perzonas Precorte]]</f>
        <v>0</v>
      </c>
      <c r="AO308" s="287">
        <f>Tabla14[[#This Row],[Cajas por Personas2]]</f>
        <v>23.142857142857142</v>
      </c>
      <c r="AP308" s="288">
        <f>Tabla14[[#This Row],[Valor Embarque Pesona]]</f>
        <v>41657.142857142855</v>
      </c>
      <c r="AQ308" s="295">
        <f>Tabla14[[#This Row],[Personas Precorte2]]</f>
        <v>14</v>
      </c>
      <c r="AR308" s="296">
        <f>Tabla14[[#This Row],[Valor Embarque Pesona3]]*Tabla14[[#This Row],[Perzona Primera]]</f>
        <v>583200</v>
      </c>
      <c r="AS308" s="287">
        <f>Tabla14[[#This Row],[Columna2]]</f>
        <v>0</v>
      </c>
      <c r="AT308" s="288">
        <f>Tabla14[[#This Row],[Columna1]]</f>
        <v>0</v>
      </c>
      <c r="AU308" s="302">
        <f>Tabla14[[#This Row],[Personas Intervienen]]</f>
        <v>0</v>
      </c>
      <c r="AV308" s="297">
        <f>Tabla14[[#This Row],[Valor Embarque Pesona5]]*Tabla14[[#This Row],[Presonas Segunda]]</f>
        <v>0</v>
      </c>
      <c r="AW308" s="287">
        <f>Tabla14[[#This Row],[Bolsas Por Personas]]</f>
        <v>11.56</v>
      </c>
      <c r="AX308" s="288">
        <f>Tabla14[[#This Row],[Valor bolsas Pesona]]</f>
        <v>6647</v>
      </c>
      <c r="AY308" s="309">
        <f>Tabla14[[#This Row],[Personas13]]</f>
        <v>14</v>
      </c>
      <c r="AZ308" s="310">
        <f>Tabla14[[#This Row],[Valor bolsas Pesona2]]*Tabla14[[#This Row],[Personas Rechazo]]</f>
        <v>93058</v>
      </c>
      <c r="BA308" s="311">
        <f>+Tabla14[[#This Row],[Total Valor Segunda]]+Tabla14[[#This Row],[Total Valor Primera]]+Tabla14[[#This Row],[Total Valor Precorte]]</f>
        <v>583200</v>
      </c>
      <c r="BB308" s="292">
        <f>Tabla14[[#This Row],[Valor bolsas Pesona2]]+Tabla14[[#This Row],[Valor Embarque Pesona3]]</f>
        <v>48304.142857142855</v>
      </c>
      <c r="BC308" s="332">
        <v>48300</v>
      </c>
      <c r="BD308" s="292">
        <f>Tabla14[[#This Row],[VALOR GANADO]]-Tabla14[[#This Row],[REAJUSTADO]]</f>
        <v>4.142857142855064</v>
      </c>
      <c r="BE308" s="250">
        <f>Tabla14[[#This Row],[CUANTO SE REAJUSTA]]*Tabla14[[#This Row],[Personas Rechazo]]</f>
        <v>57.999999999970896</v>
      </c>
      <c r="BF308" s="250">
        <f>Tabla14[[#This Row],[REAJUSTADO]]/25000</f>
        <v>1.9319999999999999</v>
      </c>
      <c r="BG308" s="302">
        <f>Tabla14[[#This Row],[REAJUSTADO]]*Tabla14[[#This Row],[Personas Rechazo]]</f>
        <v>676200</v>
      </c>
      <c r="BH308" s="292" t="str">
        <f>Tabla14[[#This Row],[Finca]]</f>
        <v>Pedrito</v>
      </c>
      <c r="BJ308" s="332">
        <f>Tabla14[[#This Row],[Numero de Ocacionales]]*Tabla14[[#This Row],[REAJUSTADO]]</f>
        <v>0</v>
      </c>
      <c r="BK308" s="332"/>
      <c r="BL308" s="332"/>
      <c r="BM308" s="332">
        <f>+Tabla14[[#This Row],[CUANTO SE REAJUSTA]]*3</f>
        <v>12.428571428565192</v>
      </c>
    </row>
    <row r="309" spans="3:65" x14ac:dyDescent="0.25">
      <c r="C309" s="274">
        <v>44992</v>
      </c>
      <c r="D309" s="507">
        <f>YEAR(Tabla14[[#This Row],[Fecha]])</f>
        <v>2023</v>
      </c>
      <c r="E309" s="313">
        <f>IF(Tabla14[[#This Row],[Fecha]]&gt;0,_xlfn.ISOWEEKNUM(Tabla14[[#This Row],[Fecha]]),0)</f>
        <v>10</v>
      </c>
      <c r="F309" s="283">
        <v>88</v>
      </c>
      <c r="G309" s="275" t="s">
        <v>248</v>
      </c>
      <c r="H309" s="325" t="str">
        <f>_xlfn.XLOOKUP(Tabla14[[#This Row],[Codigo Finca]],Tabla4[Codigo Finca],Tabla4[Nombre Finca],"")</f>
        <v>Damaquiel</v>
      </c>
      <c r="I309" s="277">
        <f>_xlfn.XLOOKUP(Tabla14[[#This Row],[Codigo Finca]],Tabla4[Codigo Finca],Tabla4[Precio Caja],0)</f>
        <v>1800</v>
      </c>
      <c r="J309" s="277">
        <f>_xlfn.XLOOKUP(Tabla14[[#This Row],[Codigo Finca]],Tabla4[Codigo Finca],Tabla4[Precio Caja Segunda],0)</f>
        <v>1150</v>
      </c>
      <c r="K309" s="277">
        <f>_xlfn.XLOOKUP(Tabla14[[#This Row],[Codigo Finca]],Tabla4[Codigo Finca],Tabla4[Precio Rechazo],0)</f>
        <v>575</v>
      </c>
      <c r="L309" s="277">
        <f t="shared" si="400"/>
        <v>452</v>
      </c>
      <c r="M309" s="278">
        <f t="shared" si="401"/>
        <v>5.1363636363636367</v>
      </c>
      <c r="N309" s="283"/>
      <c r="O309" s="279"/>
      <c r="P309" s="280">
        <f t="shared" si="402"/>
        <v>0</v>
      </c>
      <c r="Q309" s="281">
        <f t="shared" si="403"/>
        <v>0</v>
      </c>
      <c r="R309" s="282">
        <f t="shared" si="404"/>
        <v>0</v>
      </c>
      <c r="S309" s="338">
        <v>452</v>
      </c>
      <c r="T309" s="275">
        <v>9</v>
      </c>
      <c r="U309" s="280">
        <f t="shared" si="405"/>
        <v>88</v>
      </c>
      <c r="V309" s="281">
        <f t="shared" si="406"/>
        <v>9.7777777777777786</v>
      </c>
      <c r="W309" s="282">
        <f t="shared" si="407"/>
        <v>17600</v>
      </c>
      <c r="X309" s="283"/>
      <c r="Y309" s="275"/>
      <c r="Z309" s="280">
        <f>Tabla14[[#This Row],[Cajas Segunda]]</f>
        <v>0</v>
      </c>
      <c r="AA309" s="281">
        <f t="shared" si="408"/>
        <v>0</v>
      </c>
      <c r="AB309" s="284">
        <f t="shared" si="409"/>
        <v>0</v>
      </c>
      <c r="AC309" s="285"/>
      <c r="AD309" s="286">
        <v>975</v>
      </c>
      <c r="AE309" s="286"/>
      <c r="AF309" s="286"/>
      <c r="AG309" s="286">
        <v>9</v>
      </c>
      <c r="AH309" s="280">
        <f t="shared" si="410"/>
        <v>39</v>
      </c>
      <c r="AI309" s="281">
        <f t="shared" si="411"/>
        <v>4.333333333333333</v>
      </c>
      <c r="AJ309" s="282">
        <f t="shared" si="412"/>
        <v>2491.6666666666665</v>
      </c>
      <c r="AK309" s="287">
        <f>Tabla14[[#This Row],[Cajas por Personas]]</f>
        <v>0</v>
      </c>
      <c r="AL309" s="288">
        <f>Tabla14[[#This Row],[Valor Precorte Pesona]]</f>
        <v>0</v>
      </c>
      <c r="AM309" s="294">
        <f>Tabla14[[#This Row],[Personas Precorte]]</f>
        <v>0</v>
      </c>
      <c r="AN309" s="308">
        <f>Tabla14[[#This Row],[Valor Precorte Pesona Precorte]]*Tabla14[[#This Row],[Perzonas Precorte]]</f>
        <v>0</v>
      </c>
      <c r="AO309" s="287">
        <f>Tabla14[[#This Row],[Cajas por Personas2]]</f>
        <v>9.7777777777777786</v>
      </c>
      <c r="AP309" s="288">
        <f>Tabla14[[#This Row],[Valor Embarque Pesona]]</f>
        <v>17600</v>
      </c>
      <c r="AQ309" s="295">
        <f>Tabla14[[#This Row],[Personas Precorte2]]</f>
        <v>9</v>
      </c>
      <c r="AR309" s="296">
        <f>Tabla14[[#This Row],[Valor Embarque Pesona3]]*Tabla14[[#This Row],[Perzona Primera]]</f>
        <v>158400</v>
      </c>
      <c r="AS309" s="287">
        <f>Tabla14[[#This Row],[Columna2]]</f>
        <v>0</v>
      </c>
      <c r="AT309" s="288">
        <f>Tabla14[[#This Row],[Columna1]]</f>
        <v>0</v>
      </c>
      <c r="AU309" s="302">
        <f>Tabla14[[#This Row],[Personas Intervienen]]</f>
        <v>0</v>
      </c>
      <c r="AV309" s="297">
        <f>Tabla14[[#This Row],[Valor Embarque Pesona5]]*Tabla14[[#This Row],[Presonas Segunda]]</f>
        <v>0</v>
      </c>
      <c r="AW309" s="287">
        <f>Tabla14[[#This Row],[Bolsas Por Personas]]</f>
        <v>4.333333333333333</v>
      </c>
      <c r="AX309" s="288">
        <f>Tabla14[[#This Row],[Valor bolsas Pesona]]</f>
        <v>2491.6666666666665</v>
      </c>
      <c r="AY309" s="309">
        <f>Tabla14[[#This Row],[Personas13]]</f>
        <v>9</v>
      </c>
      <c r="AZ309" s="310">
        <f>Tabla14[[#This Row],[Valor bolsas Pesona2]]*Tabla14[[#This Row],[Personas Rechazo]]</f>
        <v>22425</v>
      </c>
      <c r="BA309" s="311">
        <f>+Tabla14[[#This Row],[Total Valor Segunda]]+Tabla14[[#This Row],[Total Valor Primera]]+Tabla14[[#This Row],[Total Valor Precorte]]</f>
        <v>158400</v>
      </c>
      <c r="BB309" s="292">
        <f>Tabla14[[#This Row],[Valor bolsas Pesona2]]+Tabla14[[#This Row],[Valor Embarque Pesona3]]</f>
        <v>20091.666666666668</v>
      </c>
      <c r="BC309" s="332">
        <v>30000</v>
      </c>
      <c r="BD309" s="292">
        <f>Tabla14[[#This Row],[VALOR GANADO]]-Tabla14[[#This Row],[REAJUSTADO]]</f>
        <v>-9908.3333333333321</v>
      </c>
      <c r="BE309" s="250">
        <f>Tabla14[[#This Row],[CUANTO SE REAJUSTA]]*Tabla14[[#This Row],[Personas Rechazo]]</f>
        <v>-89174.999999999985</v>
      </c>
      <c r="BF309" s="250">
        <f>Tabla14[[#This Row],[REAJUSTADO]]/25000</f>
        <v>1.2</v>
      </c>
      <c r="BG309" s="302">
        <f>Tabla14[[#This Row],[REAJUSTADO]]*Tabla14[[#This Row],[Personas Rechazo]]</f>
        <v>270000</v>
      </c>
      <c r="BH309" s="292" t="str">
        <f>Tabla14[[#This Row],[Finca]]</f>
        <v>Damaquiel</v>
      </c>
      <c r="BJ309" s="332">
        <f>Tabla14[[#This Row],[Numero de Ocacionales]]*Tabla14[[#This Row],[REAJUSTADO]]</f>
        <v>0</v>
      </c>
      <c r="BK309" s="332"/>
      <c r="BL309" s="332"/>
      <c r="BM309" s="332">
        <f>+Tabla14[[#This Row],[CUANTO SE REAJUSTA]]*3</f>
        <v>-29724.999999999996</v>
      </c>
    </row>
    <row r="310" spans="3:65" x14ac:dyDescent="0.25">
      <c r="C310" s="274">
        <v>44993</v>
      </c>
      <c r="D310" s="507">
        <f>YEAR(Tabla14[[#This Row],[Fecha]])</f>
        <v>2023</v>
      </c>
      <c r="E310" s="313">
        <f>IF(Tabla14[[#This Row],[Fecha]]&gt;0,_xlfn.ISOWEEKNUM(Tabla14[[#This Row],[Fecha]]),0)</f>
        <v>10</v>
      </c>
      <c r="F310" s="283">
        <v>604</v>
      </c>
      <c r="G310" s="275" t="s">
        <v>250</v>
      </c>
      <c r="H310" s="325" t="str">
        <f>_xlfn.XLOOKUP(Tabla14[[#This Row],[Codigo Finca]],Tabla4[Codigo Finca],Tabla4[Nombre Finca],"")</f>
        <v>San Pedro</v>
      </c>
      <c r="I310" s="277">
        <f>_xlfn.XLOOKUP(Tabla14[[#This Row],[Codigo Finca]],Tabla4[Codigo Finca],Tabla4[Precio Caja],0)</f>
        <v>1800</v>
      </c>
      <c r="J310" s="277">
        <f>_xlfn.XLOOKUP(Tabla14[[#This Row],[Codigo Finca]],Tabla4[Codigo Finca],Tabla4[Precio Caja Segunda],0)</f>
        <v>1150</v>
      </c>
      <c r="K310" s="277">
        <f>_xlfn.XLOOKUP(Tabla14[[#This Row],[Codigo Finca]],Tabla4[Codigo Finca],Tabla4[Precio Rechazo],0)</f>
        <v>575</v>
      </c>
      <c r="L310" s="277">
        <f t="shared" si="400"/>
        <v>2064</v>
      </c>
      <c r="M310" s="278">
        <f t="shared" si="401"/>
        <v>3.4172185430463577</v>
      </c>
      <c r="N310" s="283"/>
      <c r="O310" s="279"/>
      <c r="P310" s="280">
        <f t="shared" si="402"/>
        <v>0</v>
      </c>
      <c r="Q310" s="281">
        <f t="shared" si="403"/>
        <v>0</v>
      </c>
      <c r="R310" s="282">
        <f t="shared" si="404"/>
        <v>0</v>
      </c>
      <c r="S310" s="283">
        <f>185+276+319+308+197+315+303+161</f>
        <v>2064</v>
      </c>
      <c r="T310" s="275">
        <v>18</v>
      </c>
      <c r="U310" s="280">
        <f t="shared" si="405"/>
        <v>604</v>
      </c>
      <c r="V310" s="281">
        <f t="shared" si="406"/>
        <v>33.555555555555557</v>
      </c>
      <c r="W310" s="282">
        <f t="shared" si="407"/>
        <v>60400</v>
      </c>
      <c r="X310" s="283"/>
      <c r="Y310" s="275"/>
      <c r="Z310" s="280">
        <f>Tabla14[[#This Row],[Cajas Segunda]]</f>
        <v>0</v>
      </c>
      <c r="AA310" s="281">
        <f t="shared" si="408"/>
        <v>0</v>
      </c>
      <c r="AB310" s="284">
        <f t="shared" si="409"/>
        <v>0</v>
      </c>
      <c r="AC310" s="285"/>
      <c r="AD310" s="286">
        <v>2823.7</v>
      </c>
      <c r="AE310" s="286"/>
      <c r="AF310" s="286"/>
      <c r="AG310" s="286">
        <v>18</v>
      </c>
      <c r="AH310" s="280">
        <f t="shared" si="410"/>
        <v>112.94799999999999</v>
      </c>
      <c r="AI310" s="281">
        <f t="shared" si="411"/>
        <v>6.2748888888888885</v>
      </c>
      <c r="AJ310" s="282">
        <f t="shared" si="412"/>
        <v>3608.0611111111107</v>
      </c>
      <c r="AK310" s="287">
        <f>Tabla14[[#This Row],[Cajas por Personas]]</f>
        <v>0</v>
      </c>
      <c r="AL310" s="288">
        <f>Tabla14[[#This Row],[Valor Precorte Pesona]]</f>
        <v>0</v>
      </c>
      <c r="AM310" s="294">
        <f>Tabla14[[#This Row],[Personas Precorte]]</f>
        <v>0</v>
      </c>
      <c r="AN310" s="308">
        <f>Tabla14[[#This Row],[Valor Precorte Pesona Precorte]]*Tabla14[[#This Row],[Perzonas Precorte]]</f>
        <v>0</v>
      </c>
      <c r="AO310" s="287">
        <f>Tabla14[[#This Row],[Cajas por Personas2]]</f>
        <v>33.555555555555557</v>
      </c>
      <c r="AP310" s="288">
        <f>Tabla14[[#This Row],[Valor Embarque Pesona]]</f>
        <v>60400</v>
      </c>
      <c r="AQ310" s="295">
        <f>Tabla14[[#This Row],[Personas Precorte2]]</f>
        <v>18</v>
      </c>
      <c r="AR310" s="296">
        <f>Tabla14[[#This Row],[Valor Embarque Pesona3]]*Tabla14[[#This Row],[Perzona Primera]]</f>
        <v>1087200</v>
      </c>
      <c r="AS310" s="287">
        <f>Tabla14[[#This Row],[Columna2]]</f>
        <v>0</v>
      </c>
      <c r="AT310" s="288">
        <f>Tabla14[[#This Row],[Columna1]]</f>
        <v>0</v>
      </c>
      <c r="AU310" s="302">
        <f>Tabla14[[#This Row],[Personas Intervienen]]</f>
        <v>0</v>
      </c>
      <c r="AV310" s="297">
        <f>Tabla14[[#This Row],[Valor Embarque Pesona5]]*Tabla14[[#This Row],[Presonas Segunda]]</f>
        <v>0</v>
      </c>
      <c r="AW310" s="287">
        <f>Tabla14[[#This Row],[Bolsas Por Personas]]</f>
        <v>6.2748888888888885</v>
      </c>
      <c r="AX310" s="288">
        <f>Tabla14[[#This Row],[Valor bolsas Pesona]]</f>
        <v>3608.0611111111107</v>
      </c>
      <c r="AY310" s="309">
        <f>Tabla14[[#This Row],[Personas13]]</f>
        <v>18</v>
      </c>
      <c r="AZ310" s="310">
        <f>Tabla14[[#This Row],[Valor bolsas Pesona2]]*Tabla14[[#This Row],[Personas Rechazo]]</f>
        <v>64945.099999999991</v>
      </c>
      <c r="BA310" s="311">
        <f>+Tabla14[[#This Row],[Total Valor Segunda]]+Tabla14[[#This Row],[Total Valor Primera]]+Tabla14[[#This Row],[Total Valor Precorte]]</f>
        <v>1087200</v>
      </c>
      <c r="BB310" s="292">
        <f>Tabla14[[#This Row],[Valor bolsas Pesona2]]+Tabla14[[#This Row],[Valor Embarque Pesona3]]</f>
        <v>64008.061111111114</v>
      </c>
      <c r="BC310" s="332">
        <v>64000</v>
      </c>
      <c r="BD310" s="292">
        <f>Tabla14[[#This Row],[VALOR GANADO]]-Tabla14[[#This Row],[REAJUSTADO]]</f>
        <v>8.0611111111138598</v>
      </c>
      <c r="BE310" s="250">
        <f>Tabla14[[#This Row],[CUANTO SE REAJUSTA]]*Tabla14[[#This Row],[Personas Rechazo]]</f>
        <v>145.10000000004948</v>
      </c>
      <c r="BF310" s="250">
        <f>Tabla14[[#This Row],[REAJUSTADO]]/25000</f>
        <v>2.56</v>
      </c>
      <c r="BG310" s="302">
        <f>Tabla14[[#This Row],[REAJUSTADO]]*Tabla14[[#This Row],[Personas Rechazo]]</f>
        <v>1152000</v>
      </c>
      <c r="BH310" s="292" t="str">
        <f>Tabla14[[#This Row],[Finca]]</f>
        <v>San Pedro</v>
      </c>
      <c r="BJ310" s="332">
        <f>Tabla14[[#This Row],[Numero de Ocacionales]]*Tabla14[[#This Row],[REAJUSTADO]]</f>
        <v>0</v>
      </c>
      <c r="BK310" s="332"/>
      <c r="BL310" s="332"/>
      <c r="BM310" s="332">
        <f>+Tabla14[[#This Row],[CUANTO SE REAJUSTA]]*3</f>
        <v>24.183333333341579</v>
      </c>
    </row>
    <row r="311" spans="3:65" x14ac:dyDescent="0.25">
      <c r="C311" s="274">
        <v>44993</v>
      </c>
      <c r="D311" s="507">
        <f>YEAR(Tabla14[[#This Row],[Fecha]])</f>
        <v>2023</v>
      </c>
      <c r="E311" s="313">
        <f>IF(Tabla14[[#This Row],[Fecha]]&gt;0,_xlfn.ISOWEEKNUM(Tabla14[[#This Row],[Fecha]]),0)</f>
        <v>10</v>
      </c>
      <c r="F311" s="283">
        <v>86</v>
      </c>
      <c r="G311" s="275" t="s">
        <v>247</v>
      </c>
      <c r="H311" s="325" t="str">
        <f>_xlfn.XLOOKUP(Tabla14[[#This Row],[Codigo Finca]],Tabla4[Codigo Finca],Tabla4[Nombre Finca],"")</f>
        <v>Uveros</v>
      </c>
      <c r="I311" s="277">
        <f>_xlfn.XLOOKUP(Tabla14[[#This Row],[Codigo Finca]],Tabla4[Codigo Finca],Tabla4[Precio Caja],0)</f>
        <v>1800</v>
      </c>
      <c r="J311" s="277">
        <f>_xlfn.XLOOKUP(Tabla14[[#This Row],[Codigo Finca]],Tabla4[Codigo Finca],Tabla4[Precio Caja Segunda],0)</f>
        <v>1150</v>
      </c>
      <c r="K311" s="277">
        <f>_xlfn.XLOOKUP(Tabla14[[#This Row],[Codigo Finca]],Tabla4[Codigo Finca],Tabla4[Precio Rechazo],0)</f>
        <v>575</v>
      </c>
      <c r="L311" s="277">
        <f t="shared" si="400"/>
        <v>354</v>
      </c>
      <c r="M311" s="278">
        <f t="shared" si="401"/>
        <v>4.1162790697674421</v>
      </c>
      <c r="N311" s="283"/>
      <c r="O311" s="279"/>
      <c r="P311" s="280">
        <f t="shared" si="402"/>
        <v>0</v>
      </c>
      <c r="Q311" s="281">
        <f t="shared" si="403"/>
        <v>0</v>
      </c>
      <c r="R311" s="282">
        <f t="shared" si="404"/>
        <v>0</v>
      </c>
      <c r="S311" s="283">
        <v>354</v>
      </c>
      <c r="T311" s="275">
        <v>7</v>
      </c>
      <c r="U311" s="280">
        <f t="shared" si="405"/>
        <v>86</v>
      </c>
      <c r="V311" s="281">
        <f t="shared" si="406"/>
        <v>12.285714285714286</v>
      </c>
      <c r="W311" s="282">
        <f t="shared" si="407"/>
        <v>22114.285714285714</v>
      </c>
      <c r="X311" s="283"/>
      <c r="Y311" s="275"/>
      <c r="Z311" s="280">
        <f>Tabla14[[#This Row],[Cajas Segunda]]</f>
        <v>0</v>
      </c>
      <c r="AA311" s="281">
        <f t="shared" si="408"/>
        <v>0</v>
      </c>
      <c r="AB311" s="284">
        <f t="shared" si="409"/>
        <v>0</v>
      </c>
      <c r="AC311" s="285"/>
      <c r="AD311" s="286">
        <v>525</v>
      </c>
      <c r="AE311" s="286"/>
      <c r="AF311" s="286"/>
      <c r="AG311" s="286">
        <v>7</v>
      </c>
      <c r="AH311" s="280">
        <f t="shared" si="410"/>
        <v>21</v>
      </c>
      <c r="AI311" s="281">
        <f t="shared" si="411"/>
        <v>3</v>
      </c>
      <c r="AJ311" s="282">
        <f t="shared" si="412"/>
        <v>1725</v>
      </c>
      <c r="AK311" s="287">
        <f>Tabla14[[#This Row],[Cajas por Personas]]</f>
        <v>0</v>
      </c>
      <c r="AL311" s="288">
        <f>Tabla14[[#This Row],[Valor Precorte Pesona]]</f>
        <v>0</v>
      </c>
      <c r="AM311" s="294">
        <f>Tabla14[[#This Row],[Personas Precorte]]</f>
        <v>0</v>
      </c>
      <c r="AN311" s="308">
        <f>Tabla14[[#This Row],[Valor Precorte Pesona Precorte]]*Tabla14[[#This Row],[Perzonas Precorte]]</f>
        <v>0</v>
      </c>
      <c r="AO311" s="287">
        <f>Tabla14[[#This Row],[Cajas por Personas2]]</f>
        <v>12.285714285714286</v>
      </c>
      <c r="AP311" s="288">
        <f>Tabla14[[#This Row],[Valor Embarque Pesona]]</f>
        <v>22114.285714285714</v>
      </c>
      <c r="AQ311" s="295">
        <f>Tabla14[[#This Row],[Personas Precorte2]]</f>
        <v>7</v>
      </c>
      <c r="AR311" s="296">
        <f>Tabla14[[#This Row],[Valor Embarque Pesona3]]*Tabla14[[#This Row],[Perzona Primera]]</f>
        <v>154800</v>
      </c>
      <c r="AS311" s="287">
        <f>Tabla14[[#This Row],[Columna2]]</f>
        <v>0</v>
      </c>
      <c r="AT311" s="288">
        <f>Tabla14[[#This Row],[Columna1]]</f>
        <v>0</v>
      </c>
      <c r="AU311" s="302">
        <f>Tabla14[[#This Row],[Personas Intervienen]]</f>
        <v>0</v>
      </c>
      <c r="AV311" s="297">
        <f>Tabla14[[#This Row],[Valor Embarque Pesona5]]*Tabla14[[#This Row],[Presonas Segunda]]</f>
        <v>0</v>
      </c>
      <c r="AW311" s="287">
        <f>Tabla14[[#This Row],[Bolsas Por Personas]]</f>
        <v>3</v>
      </c>
      <c r="AX311" s="288">
        <f>Tabla14[[#This Row],[Valor bolsas Pesona]]</f>
        <v>1725</v>
      </c>
      <c r="AY311" s="309">
        <f>Tabla14[[#This Row],[Personas13]]</f>
        <v>7</v>
      </c>
      <c r="AZ311" s="310">
        <f>Tabla14[[#This Row],[Valor bolsas Pesona2]]*Tabla14[[#This Row],[Personas Rechazo]]</f>
        <v>12075</v>
      </c>
      <c r="BA311" s="311">
        <f>+Tabla14[[#This Row],[Total Valor Segunda]]+Tabla14[[#This Row],[Total Valor Primera]]+Tabla14[[#This Row],[Total Valor Precorte]]</f>
        <v>154800</v>
      </c>
      <c r="BB311" s="292">
        <f>Tabla14[[#This Row],[Valor bolsas Pesona2]]+Tabla14[[#This Row],[Valor Embarque Pesona3]]</f>
        <v>23839.285714285714</v>
      </c>
      <c r="BC311" s="332">
        <v>30000</v>
      </c>
      <c r="BD311" s="292">
        <f>Tabla14[[#This Row],[VALOR GANADO]]-Tabla14[[#This Row],[REAJUSTADO]]</f>
        <v>-6160.7142857142862</v>
      </c>
      <c r="BE311" s="250">
        <f>Tabla14[[#This Row],[CUANTO SE REAJUSTA]]*Tabla14[[#This Row],[Personas Rechazo]]</f>
        <v>-43125</v>
      </c>
      <c r="BF311" s="250">
        <f>Tabla14[[#This Row],[REAJUSTADO]]/25000</f>
        <v>1.2</v>
      </c>
      <c r="BG311" s="302">
        <f>Tabla14[[#This Row],[REAJUSTADO]]*Tabla14[[#This Row],[Personas Rechazo]]</f>
        <v>210000</v>
      </c>
      <c r="BH311" s="292" t="str">
        <f>Tabla14[[#This Row],[Finca]]</f>
        <v>Uveros</v>
      </c>
      <c r="BJ311" s="332">
        <f>Tabla14[[#This Row],[Numero de Ocacionales]]*Tabla14[[#This Row],[REAJUSTADO]]</f>
        <v>0</v>
      </c>
      <c r="BK311" s="332"/>
      <c r="BL311" s="332"/>
      <c r="BM311" s="332">
        <f>+Tabla14[[#This Row],[CUANTO SE REAJUSTA]]*3</f>
        <v>-18482.142857142859</v>
      </c>
    </row>
    <row r="312" spans="3:65" x14ac:dyDescent="0.25">
      <c r="C312" s="274">
        <v>44995</v>
      </c>
      <c r="D312" s="507">
        <f>YEAR(Tabla14[[#This Row],[Fecha]])</f>
        <v>2023</v>
      </c>
      <c r="E312" s="313">
        <f>IF(Tabla14[[#This Row],[Fecha]]&gt;0,_xlfn.ISOWEEKNUM(Tabla14[[#This Row],[Fecha]]),0)</f>
        <v>10</v>
      </c>
      <c r="F312" s="283">
        <v>50</v>
      </c>
      <c r="G312" s="275" t="s">
        <v>249</v>
      </c>
      <c r="H312" s="325" t="str">
        <f>_xlfn.XLOOKUP(Tabla14[[#This Row],[Codigo Finca]],Tabla4[Codigo Finca],Tabla4[Nombre Finca],"")</f>
        <v>San Pedro</v>
      </c>
      <c r="I312" s="277">
        <f>_xlfn.XLOOKUP(Tabla14[[#This Row],[Codigo Finca]],Tabla4[Codigo Finca],Tabla4[Precio Caja],0)</f>
        <v>2000</v>
      </c>
      <c r="J312" s="277">
        <f>_xlfn.XLOOKUP(Tabla14[[#This Row],[Codigo Finca]],Tabla4[Codigo Finca],Tabla4[Precio Caja Segunda],0)</f>
        <v>1150</v>
      </c>
      <c r="K312" s="277">
        <f>_xlfn.XLOOKUP(Tabla14[[#This Row],[Codigo Finca]],Tabla4[Codigo Finca],Tabla4[Precio Rechazo],0)</f>
        <v>675</v>
      </c>
      <c r="L312" s="277">
        <f t="shared" si="400"/>
        <v>163</v>
      </c>
      <c r="M312" s="278">
        <f t="shared" si="401"/>
        <v>3.26</v>
      </c>
      <c r="N312" s="283"/>
      <c r="O312" s="279"/>
      <c r="P312" s="280">
        <f t="shared" si="402"/>
        <v>0</v>
      </c>
      <c r="Q312" s="281">
        <f t="shared" si="403"/>
        <v>0</v>
      </c>
      <c r="R312" s="282">
        <f t="shared" si="404"/>
        <v>0</v>
      </c>
      <c r="S312" s="283">
        <v>163</v>
      </c>
      <c r="T312" s="275">
        <v>3</v>
      </c>
      <c r="U312" s="280">
        <f t="shared" si="405"/>
        <v>50</v>
      </c>
      <c r="V312" s="281">
        <f t="shared" si="406"/>
        <v>16.666666666666668</v>
      </c>
      <c r="W312" s="282">
        <f t="shared" si="407"/>
        <v>33333.333333333336</v>
      </c>
      <c r="X312" s="283"/>
      <c r="Y312" s="275"/>
      <c r="Z312" s="280">
        <f>Tabla14[[#This Row],[Cajas Segunda]]</f>
        <v>0</v>
      </c>
      <c r="AA312" s="281">
        <f t="shared" si="408"/>
        <v>0</v>
      </c>
      <c r="AB312" s="284">
        <f t="shared" si="409"/>
        <v>0</v>
      </c>
      <c r="AC312" s="285"/>
      <c r="AD312" s="286">
        <v>210</v>
      </c>
      <c r="AE312" s="286"/>
      <c r="AF312" s="286"/>
      <c r="AG312" s="286">
        <v>3</v>
      </c>
      <c r="AH312" s="280">
        <f t="shared" si="410"/>
        <v>8.4</v>
      </c>
      <c r="AI312" s="281">
        <f t="shared" si="411"/>
        <v>2.8000000000000003</v>
      </c>
      <c r="AJ312" s="282">
        <f t="shared" si="412"/>
        <v>1890.0000000000002</v>
      </c>
      <c r="AK312" s="287">
        <f>Tabla14[[#This Row],[Cajas por Personas]]</f>
        <v>0</v>
      </c>
      <c r="AL312" s="288">
        <f>Tabla14[[#This Row],[Valor Precorte Pesona]]</f>
        <v>0</v>
      </c>
      <c r="AM312" s="294">
        <f>Tabla14[[#This Row],[Personas Precorte]]</f>
        <v>0</v>
      </c>
      <c r="AN312" s="308">
        <f>Tabla14[[#This Row],[Valor Precorte Pesona Precorte]]*Tabla14[[#This Row],[Perzonas Precorte]]</f>
        <v>0</v>
      </c>
      <c r="AO312" s="287">
        <f>Tabla14[[#This Row],[Cajas por Personas2]]</f>
        <v>16.666666666666668</v>
      </c>
      <c r="AP312" s="288">
        <f>Tabla14[[#This Row],[Valor Embarque Pesona]]</f>
        <v>33333.333333333336</v>
      </c>
      <c r="AQ312" s="295">
        <f>Tabla14[[#This Row],[Personas Precorte2]]</f>
        <v>3</v>
      </c>
      <c r="AR312" s="296">
        <f>Tabla14[[#This Row],[Valor Embarque Pesona3]]*Tabla14[[#This Row],[Perzona Primera]]</f>
        <v>100000</v>
      </c>
      <c r="AS312" s="287">
        <f>Tabla14[[#This Row],[Columna2]]</f>
        <v>0</v>
      </c>
      <c r="AT312" s="288">
        <f>Tabla14[[#This Row],[Columna1]]</f>
        <v>0</v>
      </c>
      <c r="AU312" s="302">
        <f>Tabla14[[#This Row],[Personas Intervienen]]</f>
        <v>0</v>
      </c>
      <c r="AV312" s="297">
        <f>Tabla14[[#This Row],[Valor Embarque Pesona5]]*Tabla14[[#This Row],[Presonas Segunda]]</f>
        <v>0</v>
      </c>
      <c r="AW312" s="287">
        <f>Tabla14[[#This Row],[Bolsas Por Personas]]</f>
        <v>2.8000000000000003</v>
      </c>
      <c r="AX312" s="288">
        <f>Tabla14[[#This Row],[Valor bolsas Pesona]]</f>
        <v>1890.0000000000002</v>
      </c>
      <c r="AY312" s="309">
        <f>Tabla14[[#This Row],[Personas13]]</f>
        <v>3</v>
      </c>
      <c r="AZ312" s="310">
        <f>Tabla14[[#This Row],[Valor bolsas Pesona2]]*Tabla14[[#This Row],[Personas Rechazo]]</f>
        <v>5670.0000000000009</v>
      </c>
      <c r="BA312" s="311">
        <f>+Tabla14[[#This Row],[Total Valor Segunda]]+Tabla14[[#This Row],[Total Valor Primera]]+Tabla14[[#This Row],[Total Valor Precorte]]</f>
        <v>100000</v>
      </c>
      <c r="BB312" s="292">
        <f>Tabla14[[#This Row],[Valor bolsas Pesona2]]+Tabla14[[#This Row],[Valor Embarque Pesona3]]</f>
        <v>35223.333333333336</v>
      </c>
      <c r="BC312" s="332">
        <v>35000</v>
      </c>
      <c r="BD312" s="292">
        <f>Tabla14[[#This Row],[VALOR GANADO]]-Tabla14[[#This Row],[REAJUSTADO]]</f>
        <v>223.33333333333576</v>
      </c>
      <c r="BE312" s="250">
        <f>Tabla14[[#This Row],[CUANTO SE REAJUSTA]]*Tabla14[[#This Row],[Personas Rechazo]]</f>
        <v>670.00000000000728</v>
      </c>
      <c r="BF312" s="250">
        <f>Tabla14[[#This Row],[REAJUSTADO]]/25000</f>
        <v>1.4</v>
      </c>
      <c r="BG312" s="302">
        <f>Tabla14[[#This Row],[REAJUSTADO]]*Tabla14[[#This Row],[Personas Rechazo]]</f>
        <v>105000</v>
      </c>
      <c r="BH312" s="292" t="str">
        <f>Tabla14[[#This Row],[Finca]]</f>
        <v>San Pedro</v>
      </c>
      <c r="BJ312" s="332">
        <f>Tabla14[[#This Row],[Numero de Ocacionales]]*Tabla14[[#This Row],[REAJUSTADO]]</f>
        <v>0</v>
      </c>
      <c r="BK312" s="332"/>
      <c r="BL312" s="332"/>
      <c r="BM312" s="332">
        <f>+Tabla14[[#This Row],[CUANTO SE REAJUSTA]]*3</f>
        <v>670.00000000000728</v>
      </c>
    </row>
    <row r="313" spans="3:65" x14ac:dyDescent="0.25">
      <c r="C313" s="274">
        <v>44999</v>
      </c>
      <c r="D313" s="507">
        <f>YEAR(Tabla14[[#This Row],[Fecha]])</f>
        <v>2023</v>
      </c>
      <c r="E313" s="313">
        <f>IF(Tabla14[[#This Row],[Fecha]]&gt;0,_xlfn.ISOWEEKNUM(Tabla14[[#This Row],[Fecha]]),0)</f>
        <v>11</v>
      </c>
      <c r="F313" s="283">
        <f>567-38</f>
        <v>529</v>
      </c>
      <c r="G313" s="275" t="s">
        <v>250</v>
      </c>
      <c r="H313" s="325" t="str">
        <f>_xlfn.XLOOKUP(Tabla14[[#This Row],[Codigo Finca]],Tabla4[Codigo Finca],Tabla4[Nombre Finca],"")</f>
        <v>San Pedro</v>
      </c>
      <c r="I313" s="277">
        <f>_xlfn.XLOOKUP(Tabla14[[#This Row],[Codigo Finca]],Tabla4[Codigo Finca],Tabla4[Precio Caja],0)</f>
        <v>1800</v>
      </c>
      <c r="J313" s="277">
        <f>_xlfn.XLOOKUP(Tabla14[[#This Row],[Codigo Finca]],Tabla4[Codigo Finca],Tabla4[Precio Caja Segunda],0)</f>
        <v>1150</v>
      </c>
      <c r="K313" s="277">
        <f>_xlfn.XLOOKUP(Tabla14[[#This Row],[Codigo Finca]],Tabla4[Codigo Finca],Tabla4[Precio Rechazo],0)</f>
        <v>575</v>
      </c>
      <c r="L313" s="277">
        <f t="shared" si="400"/>
        <v>1917</v>
      </c>
      <c r="M313" s="278">
        <f t="shared" si="401"/>
        <v>3.623818525519849</v>
      </c>
      <c r="N313" s="283">
        <v>120</v>
      </c>
      <c r="O313" s="279">
        <v>2</v>
      </c>
      <c r="P313" s="280">
        <f t="shared" si="402"/>
        <v>16.557120500782471</v>
      </c>
      <c r="Q313" s="281">
        <f t="shared" si="403"/>
        <v>8.2785602503912354</v>
      </c>
      <c r="R313" s="282">
        <f t="shared" si="404"/>
        <v>14901.408450704224</v>
      </c>
      <c r="S313" s="283">
        <f>1929-132</f>
        <v>1797</v>
      </c>
      <c r="T313" s="275">
        <v>17</v>
      </c>
      <c r="U313" s="280">
        <f t="shared" si="405"/>
        <v>512.4428794992175</v>
      </c>
      <c r="V313" s="281">
        <f t="shared" si="406"/>
        <v>30.143698794071618</v>
      </c>
      <c r="W313" s="282">
        <f t="shared" si="407"/>
        <v>54258.657829328913</v>
      </c>
      <c r="X313" s="283"/>
      <c r="Y313" s="275"/>
      <c r="Z313" s="280">
        <f>Tabla14[[#This Row],[Cajas Segunda]]</f>
        <v>0</v>
      </c>
      <c r="AA313" s="281">
        <f t="shared" si="408"/>
        <v>0</v>
      </c>
      <c r="AB313" s="284">
        <f t="shared" si="409"/>
        <v>0</v>
      </c>
      <c r="AC313" s="285"/>
      <c r="AD313" s="286">
        <f>2427-161</f>
        <v>2266</v>
      </c>
      <c r="AE313" s="286"/>
      <c r="AF313" s="286"/>
      <c r="AG313" s="286">
        <v>17</v>
      </c>
      <c r="AH313" s="280">
        <f t="shared" si="410"/>
        <v>90.64</v>
      </c>
      <c r="AI313" s="281">
        <f t="shared" si="411"/>
        <v>5.3317647058823532</v>
      </c>
      <c r="AJ313" s="282">
        <f t="shared" si="412"/>
        <v>3065.7647058823532</v>
      </c>
      <c r="AK313" s="287">
        <f>Tabla14[[#This Row],[Cajas por Personas]]</f>
        <v>8.2785602503912354</v>
      </c>
      <c r="AL313" s="288">
        <f>Tabla14[[#This Row],[Valor Precorte Pesona]]</f>
        <v>14901.408450704224</v>
      </c>
      <c r="AM313" s="294">
        <f>Tabla14[[#This Row],[Personas Precorte]]</f>
        <v>2</v>
      </c>
      <c r="AN313" s="308">
        <f>Tabla14[[#This Row],[Valor Precorte Pesona Precorte]]*Tabla14[[#This Row],[Perzonas Precorte]]</f>
        <v>29802.816901408449</v>
      </c>
      <c r="AO313" s="287">
        <f>Tabla14[[#This Row],[Cajas por Personas2]]</f>
        <v>30.143698794071618</v>
      </c>
      <c r="AP313" s="288">
        <f>Tabla14[[#This Row],[Valor Embarque Pesona]]</f>
        <v>54258.657829328913</v>
      </c>
      <c r="AQ313" s="295">
        <f>Tabla14[[#This Row],[Personas Precorte2]]</f>
        <v>17</v>
      </c>
      <c r="AR313" s="296">
        <f>Tabla14[[#This Row],[Valor Embarque Pesona3]]*Tabla14[[#This Row],[Perzona Primera]]</f>
        <v>922397.18309859151</v>
      </c>
      <c r="AS313" s="287">
        <f>Tabla14[[#This Row],[Columna2]]</f>
        <v>0</v>
      </c>
      <c r="AT313" s="288">
        <f>Tabla14[[#This Row],[Columna1]]</f>
        <v>0</v>
      </c>
      <c r="AU313" s="302">
        <f>Tabla14[[#This Row],[Personas Intervienen]]</f>
        <v>0</v>
      </c>
      <c r="AV313" s="297">
        <f>Tabla14[[#This Row],[Valor Embarque Pesona5]]*Tabla14[[#This Row],[Presonas Segunda]]</f>
        <v>0</v>
      </c>
      <c r="AW313" s="287">
        <f>Tabla14[[#This Row],[Bolsas Por Personas]]</f>
        <v>5.3317647058823532</v>
      </c>
      <c r="AX313" s="288">
        <f>Tabla14[[#This Row],[Valor bolsas Pesona]]</f>
        <v>3065.7647058823532</v>
      </c>
      <c r="AY313" s="309">
        <f>Tabla14[[#This Row],[Personas13]]</f>
        <v>17</v>
      </c>
      <c r="AZ313" s="310">
        <f>Tabla14[[#This Row],[Valor bolsas Pesona2]]*Tabla14[[#This Row],[Personas Rechazo]]</f>
        <v>52118</v>
      </c>
      <c r="BA313" s="311">
        <f>+Tabla14[[#This Row],[Total Valor Segunda]]+Tabla14[[#This Row],[Total Valor Primera]]+Tabla14[[#This Row],[Total Valor Precorte]]</f>
        <v>952200</v>
      </c>
      <c r="BB313" s="292">
        <f>Tabla14[[#This Row],[Valor bolsas Pesona2]]+Tabla14[[#This Row],[Valor Embarque Pesona3]]</f>
        <v>57324.42253521127</v>
      </c>
      <c r="BC313" s="332">
        <v>63800</v>
      </c>
      <c r="BD313" s="292">
        <f>Tabla14[[#This Row],[VALOR GANADO]]-Tabla14[[#This Row],[REAJUSTADO]]</f>
        <v>-6475.5774647887301</v>
      </c>
      <c r="BE313" s="250">
        <f>Tabla14[[#This Row],[CUANTO SE REAJUSTA]]*Tabla14[[#This Row],[Personas Rechazo]]</f>
        <v>-110084.81690140841</v>
      </c>
      <c r="BF313" s="250">
        <f>Tabla14[[#This Row],[REAJUSTADO]]/25000</f>
        <v>2.552</v>
      </c>
      <c r="BG313" s="302">
        <f>Tabla14[[#This Row],[REAJUSTADO]]*Tabla14[[#This Row],[Personas Rechazo]]</f>
        <v>1084600</v>
      </c>
      <c r="BH313" s="292" t="str">
        <f>Tabla14[[#This Row],[Finca]]</f>
        <v>San Pedro</v>
      </c>
      <c r="BJ313" s="332">
        <f>Tabla14[[#This Row],[Numero de Ocacionales]]*Tabla14[[#This Row],[REAJUSTADO]]</f>
        <v>0</v>
      </c>
      <c r="BK313" s="332"/>
      <c r="BL313" s="332"/>
      <c r="BM313" s="332">
        <f>+Tabla14[[#This Row],[CUANTO SE REAJUSTA]]*3</f>
        <v>-19426.73239436619</v>
      </c>
    </row>
    <row r="314" spans="3:65" x14ac:dyDescent="0.25">
      <c r="C314" s="274">
        <v>44999</v>
      </c>
      <c r="D314" s="507">
        <f>YEAR(Tabla14[[#This Row],[Fecha]])</f>
        <v>2023</v>
      </c>
      <c r="E314" s="313">
        <f>IF(Tabla14[[#This Row],[Fecha]]&gt;0,_xlfn.ISOWEEKNUM(Tabla14[[#This Row],[Fecha]]),0)</f>
        <v>11</v>
      </c>
      <c r="F314" s="283">
        <v>38</v>
      </c>
      <c r="G314" s="275" t="s">
        <v>249</v>
      </c>
      <c r="H314" s="325" t="str">
        <f>_xlfn.XLOOKUP(Tabla14[[#This Row],[Codigo Finca]],Tabla4[Codigo Finca],Tabla4[Nombre Finca],"")</f>
        <v>San Pedro</v>
      </c>
      <c r="I314" s="277">
        <f>_xlfn.XLOOKUP(Tabla14[[#This Row],[Codigo Finca]],Tabla4[Codigo Finca],Tabla4[Precio Caja],0)</f>
        <v>2000</v>
      </c>
      <c r="J314" s="277">
        <f>_xlfn.XLOOKUP(Tabla14[[#This Row],[Codigo Finca]],Tabla4[Codigo Finca],Tabla4[Precio Caja Segunda],0)</f>
        <v>1150</v>
      </c>
      <c r="K314" s="277">
        <f>_xlfn.XLOOKUP(Tabla14[[#This Row],[Codigo Finca]],Tabla4[Codigo Finca],Tabla4[Precio Rechazo],0)</f>
        <v>675</v>
      </c>
      <c r="L314" s="277">
        <f t="shared" si="400"/>
        <v>132</v>
      </c>
      <c r="M314" s="278">
        <f t="shared" si="401"/>
        <v>3.4736842105263159</v>
      </c>
      <c r="N314" s="283"/>
      <c r="O314" s="279"/>
      <c r="P314" s="280">
        <f t="shared" si="402"/>
        <v>0</v>
      </c>
      <c r="Q314" s="281">
        <f t="shared" si="403"/>
        <v>0</v>
      </c>
      <c r="R314" s="282">
        <f t="shared" si="404"/>
        <v>0</v>
      </c>
      <c r="S314" s="283">
        <v>132</v>
      </c>
      <c r="T314" s="275">
        <v>17</v>
      </c>
      <c r="U314" s="280">
        <f t="shared" si="405"/>
        <v>38</v>
      </c>
      <c r="V314" s="281">
        <f t="shared" si="406"/>
        <v>2.2352941176470589</v>
      </c>
      <c r="W314" s="282">
        <f t="shared" si="407"/>
        <v>4470.588235294118</v>
      </c>
      <c r="X314" s="283"/>
      <c r="Y314" s="275"/>
      <c r="Z314" s="280">
        <f>Tabla14[[#This Row],[Cajas Segunda]]</f>
        <v>0</v>
      </c>
      <c r="AA314" s="281">
        <f t="shared" si="408"/>
        <v>0</v>
      </c>
      <c r="AB314" s="284">
        <f t="shared" si="409"/>
        <v>0</v>
      </c>
      <c r="AC314" s="285"/>
      <c r="AD314" s="286">
        <f>43+41+36+41</f>
        <v>161</v>
      </c>
      <c r="AE314" s="286"/>
      <c r="AF314" s="286"/>
      <c r="AG314" s="286">
        <v>17</v>
      </c>
      <c r="AH314" s="280">
        <f t="shared" si="410"/>
        <v>6.44</v>
      </c>
      <c r="AI314" s="281">
        <f t="shared" si="411"/>
        <v>0.37882352941176473</v>
      </c>
      <c r="AJ314" s="282">
        <f t="shared" si="412"/>
        <v>255.70588235294119</v>
      </c>
      <c r="AK314" s="287">
        <f>Tabla14[[#This Row],[Cajas por Personas]]</f>
        <v>0</v>
      </c>
      <c r="AL314" s="288">
        <f>Tabla14[[#This Row],[Valor Precorte Pesona]]</f>
        <v>0</v>
      </c>
      <c r="AM314" s="294">
        <f>Tabla14[[#This Row],[Personas Precorte]]</f>
        <v>0</v>
      </c>
      <c r="AN314" s="308">
        <f>Tabla14[[#This Row],[Valor Precorte Pesona Precorte]]*Tabla14[[#This Row],[Perzonas Precorte]]</f>
        <v>0</v>
      </c>
      <c r="AO314" s="287">
        <f>Tabla14[[#This Row],[Cajas por Personas2]]</f>
        <v>2.2352941176470589</v>
      </c>
      <c r="AP314" s="288">
        <f>Tabla14[[#This Row],[Valor Embarque Pesona]]</f>
        <v>4470.588235294118</v>
      </c>
      <c r="AQ314" s="295">
        <f>Tabla14[[#This Row],[Personas Precorte2]]</f>
        <v>17</v>
      </c>
      <c r="AR314" s="296">
        <f>Tabla14[[#This Row],[Valor Embarque Pesona3]]*Tabla14[[#This Row],[Perzona Primera]]</f>
        <v>76000</v>
      </c>
      <c r="AS314" s="287">
        <f>Tabla14[[#This Row],[Columna2]]</f>
        <v>0</v>
      </c>
      <c r="AT314" s="288">
        <f>Tabla14[[#This Row],[Columna1]]</f>
        <v>0</v>
      </c>
      <c r="AU314" s="302">
        <f>Tabla14[[#This Row],[Personas Intervienen]]</f>
        <v>0</v>
      </c>
      <c r="AV314" s="297">
        <f>Tabla14[[#This Row],[Valor Embarque Pesona5]]*Tabla14[[#This Row],[Presonas Segunda]]</f>
        <v>0</v>
      </c>
      <c r="AW314" s="287">
        <f>Tabla14[[#This Row],[Bolsas Por Personas]]</f>
        <v>0.37882352941176473</v>
      </c>
      <c r="AX314" s="288">
        <f>Tabla14[[#This Row],[Valor bolsas Pesona]]</f>
        <v>255.70588235294119</v>
      </c>
      <c r="AY314" s="309">
        <f>Tabla14[[#This Row],[Personas13]]</f>
        <v>17</v>
      </c>
      <c r="AZ314" s="310">
        <f>Tabla14[[#This Row],[Valor bolsas Pesona2]]*Tabla14[[#This Row],[Personas Rechazo]]</f>
        <v>4347</v>
      </c>
      <c r="BA314" s="311">
        <f>+Tabla14[[#This Row],[Total Valor Segunda]]+Tabla14[[#This Row],[Total Valor Primera]]+Tabla14[[#This Row],[Total Valor Precorte]]</f>
        <v>76000</v>
      </c>
      <c r="BB314" s="292">
        <f>Tabla14[[#This Row],[Valor bolsas Pesona2]]+Tabla14[[#This Row],[Valor Embarque Pesona3]]</f>
        <v>4726.2941176470595</v>
      </c>
      <c r="BD314" s="292">
        <f>Tabla14[[#This Row],[VALOR GANADO]]-Tabla14[[#This Row],[REAJUSTADO]]</f>
        <v>4726.2941176470595</v>
      </c>
      <c r="BE314" s="250">
        <f>Tabla14[[#This Row],[CUANTO SE REAJUSTA]]*Tabla14[[#This Row],[Personas Rechazo]]</f>
        <v>80347.000000000015</v>
      </c>
      <c r="BF314" s="250">
        <f>Tabla14[[#This Row],[REAJUSTADO]]/25000</f>
        <v>0</v>
      </c>
      <c r="BG314" s="302">
        <f>Tabla14[[#This Row],[REAJUSTADO]]*Tabla14[[#This Row],[Personas Rechazo]]</f>
        <v>0</v>
      </c>
      <c r="BH314" s="292" t="str">
        <f>Tabla14[[#This Row],[Finca]]</f>
        <v>San Pedro</v>
      </c>
      <c r="BJ314" s="332">
        <f>Tabla14[[#This Row],[Numero de Ocacionales]]*Tabla14[[#This Row],[REAJUSTADO]]</f>
        <v>0</v>
      </c>
      <c r="BK314" s="332"/>
      <c r="BL314" s="332"/>
      <c r="BM314" s="332">
        <f>+Tabla14[[#This Row],[CUANTO SE REAJUSTA]]*3</f>
        <v>14178.882352941178</v>
      </c>
    </row>
    <row r="315" spans="3:65" x14ac:dyDescent="0.25">
      <c r="C315" s="274">
        <v>44999</v>
      </c>
      <c r="D315" s="507">
        <f>YEAR(Tabla14[[#This Row],[Fecha]])</f>
        <v>2023</v>
      </c>
      <c r="E315" s="313">
        <f>IF(Tabla14[[#This Row],[Fecha]]&gt;0,_xlfn.ISOWEEKNUM(Tabla14[[#This Row],[Fecha]]),0)</f>
        <v>11</v>
      </c>
      <c r="F315" s="283">
        <v>103</v>
      </c>
      <c r="G315" s="275" t="s">
        <v>247</v>
      </c>
      <c r="H315" s="325" t="str">
        <f>_xlfn.XLOOKUP(Tabla14[[#This Row],[Codigo Finca]],Tabla4[Codigo Finca],Tabla4[Nombre Finca],"")</f>
        <v>Uveros</v>
      </c>
      <c r="I315" s="277">
        <f>_xlfn.XLOOKUP(Tabla14[[#This Row],[Codigo Finca]],Tabla4[Codigo Finca],Tabla4[Precio Caja],0)</f>
        <v>1800</v>
      </c>
      <c r="J315" s="277">
        <f>_xlfn.XLOOKUP(Tabla14[[#This Row],[Codigo Finca]],Tabla4[Codigo Finca],Tabla4[Precio Caja Segunda],0)</f>
        <v>1150</v>
      </c>
      <c r="K315" s="277">
        <f>_xlfn.XLOOKUP(Tabla14[[#This Row],[Codigo Finca]],Tabla4[Codigo Finca],Tabla4[Precio Rechazo],0)</f>
        <v>575</v>
      </c>
      <c r="L315" s="277">
        <f t="shared" si="400"/>
        <v>410</v>
      </c>
      <c r="M315" s="278">
        <f t="shared" si="401"/>
        <v>3.9805825242718447</v>
      </c>
      <c r="N315" s="283"/>
      <c r="O315" s="279"/>
      <c r="P315" s="280">
        <f t="shared" si="402"/>
        <v>0</v>
      </c>
      <c r="Q315" s="281">
        <f t="shared" si="403"/>
        <v>0</v>
      </c>
      <c r="R315" s="282">
        <f t="shared" si="404"/>
        <v>0</v>
      </c>
      <c r="S315" s="283">
        <v>410</v>
      </c>
      <c r="T315" s="275">
        <v>3</v>
      </c>
      <c r="U315" s="280">
        <f t="shared" si="405"/>
        <v>103</v>
      </c>
      <c r="V315" s="281">
        <f t="shared" si="406"/>
        <v>34.333333333333336</v>
      </c>
      <c r="W315" s="282">
        <f t="shared" si="407"/>
        <v>61800</v>
      </c>
      <c r="X315" s="283"/>
      <c r="Y315" s="275"/>
      <c r="Z315" s="280">
        <f>Tabla14[[#This Row],[Cajas Segunda]]</f>
        <v>0</v>
      </c>
      <c r="AA315" s="281">
        <f t="shared" si="408"/>
        <v>0</v>
      </c>
      <c r="AB315" s="284">
        <f t="shared" si="409"/>
        <v>0</v>
      </c>
      <c r="AC315" s="285"/>
      <c r="AD315" s="286">
        <v>541</v>
      </c>
      <c r="AE315" s="286"/>
      <c r="AF315" s="286"/>
      <c r="AG315" s="286">
        <v>3</v>
      </c>
      <c r="AH315" s="280">
        <f t="shared" si="410"/>
        <v>21.64</v>
      </c>
      <c r="AI315" s="281">
        <f t="shared" si="411"/>
        <v>7.2133333333333338</v>
      </c>
      <c r="AJ315" s="282">
        <f t="shared" si="412"/>
        <v>4147.666666666667</v>
      </c>
      <c r="AK315" s="287">
        <f>Tabla14[[#This Row],[Cajas por Personas]]</f>
        <v>0</v>
      </c>
      <c r="AL315" s="288">
        <f>Tabla14[[#This Row],[Valor Precorte Pesona]]</f>
        <v>0</v>
      </c>
      <c r="AM315" s="294">
        <f>Tabla14[[#This Row],[Personas Precorte]]</f>
        <v>0</v>
      </c>
      <c r="AN315" s="308">
        <f>Tabla14[[#This Row],[Valor Precorte Pesona Precorte]]*Tabla14[[#This Row],[Perzonas Precorte]]</f>
        <v>0</v>
      </c>
      <c r="AO315" s="287">
        <f>Tabla14[[#This Row],[Cajas por Personas2]]</f>
        <v>34.333333333333336</v>
      </c>
      <c r="AP315" s="288">
        <f>Tabla14[[#This Row],[Valor Embarque Pesona]]</f>
        <v>61800</v>
      </c>
      <c r="AQ315" s="295">
        <f>Tabla14[[#This Row],[Personas Precorte2]]</f>
        <v>3</v>
      </c>
      <c r="AR315" s="296">
        <f>Tabla14[[#This Row],[Valor Embarque Pesona3]]*Tabla14[[#This Row],[Perzona Primera]]</f>
        <v>185400</v>
      </c>
      <c r="AS315" s="287">
        <f>Tabla14[[#This Row],[Columna2]]</f>
        <v>0</v>
      </c>
      <c r="AT315" s="288">
        <f>Tabla14[[#This Row],[Columna1]]</f>
        <v>0</v>
      </c>
      <c r="AU315" s="302">
        <f>Tabla14[[#This Row],[Personas Intervienen]]</f>
        <v>0</v>
      </c>
      <c r="AV315" s="297">
        <f>Tabla14[[#This Row],[Valor Embarque Pesona5]]*Tabla14[[#This Row],[Presonas Segunda]]</f>
        <v>0</v>
      </c>
      <c r="AW315" s="287">
        <f>Tabla14[[#This Row],[Bolsas Por Personas]]</f>
        <v>7.2133333333333338</v>
      </c>
      <c r="AX315" s="288">
        <f>Tabla14[[#This Row],[Valor bolsas Pesona]]</f>
        <v>4147.666666666667</v>
      </c>
      <c r="AY315" s="309">
        <f>Tabla14[[#This Row],[Personas13]]</f>
        <v>3</v>
      </c>
      <c r="AZ315" s="310">
        <f>Tabla14[[#This Row],[Valor bolsas Pesona2]]*Tabla14[[#This Row],[Personas Rechazo]]</f>
        <v>12443</v>
      </c>
      <c r="BA315" s="311">
        <f>+Tabla14[[#This Row],[Total Valor Segunda]]+Tabla14[[#This Row],[Total Valor Primera]]+Tabla14[[#This Row],[Total Valor Precorte]]</f>
        <v>185400</v>
      </c>
      <c r="BB315" s="292">
        <f>Tabla14[[#This Row],[Valor bolsas Pesona2]]+Tabla14[[#This Row],[Valor Embarque Pesona3]]</f>
        <v>65947.666666666672</v>
      </c>
      <c r="BC315" s="332">
        <v>66000</v>
      </c>
      <c r="BD315" s="292">
        <f>Tabla14[[#This Row],[VALOR GANADO]]-Tabla14[[#This Row],[REAJUSTADO]]</f>
        <v>-52.333333333328483</v>
      </c>
      <c r="BE315" s="250">
        <f>Tabla14[[#This Row],[CUANTO SE REAJUSTA]]*Tabla14[[#This Row],[Personas Rechazo]]</f>
        <v>-156.99999999998545</v>
      </c>
      <c r="BF315" s="250">
        <f>Tabla14[[#This Row],[REAJUSTADO]]/25000</f>
        <v>2.64</v>
      </c>
      <c r="BG315" s="302">
        <f>Tabla14[[#This Row],[REAJUSTADO]]*Tabla14[[#This Row],[Personas Rechazo]]</f>
        <v>198000</v>
      </c>
      <c r="BH315" s="292" t="str">
        <f>Tabla14[[#This Row],[Finca]]</f>
        <v>Uveros</v>
      </c>
      <c r="BJ315" s="332">
        <f>Tabla14[[#This Row],[Numero de Ocacionales]]*Tabla14[[#This Row],[REAJUSTADO]]</f>
        <v>0</v>
      </c>
      <c r="BK315" s="332"/>
      <c r="BL315" s="332"/>
      <c r="BM315" s="332">
        <f>+Tabla14[[#This Row],[CUANTO SE REAJUSTA]]*3</f>
        <v>-156.99999999998545</v>
      </c>
    </row>
    <row r="316" spans="3:65" x14ac:dyDescent="0.25">
      <c r="C316" s="274">
        <v>45000</v>
      </c>
      <c r="D316" s="507">
        <f>YEAR(Tabla14[[#This Row],[Fecha]])</f>
        <v>2023</v>
      </c>
      <c r="E316" s="313">
        <f>IF(Tabla14[[#This Row],[Fecha]]&gt;0,_xlfn.ISOWEEKNUM(Tabla14[[#This Row],[Fecha]]),0)</f>
        <v>11</v>
      </c>
      <c r="F316" s="283">
        <v>62</v>
      </c>
      <c r="G316" s="275" t="s">
        <v>248</v>
      </c>
      <c r="H316" s="325" t="str">
        <f>_xlfn.XLOOKUP(Tabla14[[#This Row],[Codigo Finca]],Tabla4[Codigo Finca],Tabla4[Nombre Finca],"")</f>
        <v>Damaquiel</v>
      </c>
      <c r="I316" s="277">
        <f>_xlfn.XLOOKUP(Tabla14[[#This Row],[Codigo Finca]],Tabla4[Codigo Finca],Tabla4[Precio Caja],0)</f>
        <v>1800</v>
      </c>
      <c r="J316" s="277">
        <f>_xlfn.XLOOKUP(Tabla14[[#This Row],[Codigo Finca]],Tabla4[Codigo Finca],Tabla4[Precio Caja Segunda],0)</f>
        <v>1150</v>
      </c>
      <c r="K316" s="277">
        <f>_xlfn.XLOOKUP(Tabla14[[#This Row],[Codigo Finca]],Tabla4[Codigo Finca],Tabla4[Precio Rechazo],0)</f>
        <v>575</v>
      </c>
      <c r="L316" s="277">
        <f t="shared" si="400"/>
        <v>372</v>
      </c>
      <c r="M316" s="278">
        <f t="shared" si="401"/>
        <v>6</v>
      </c>
      <c r="N316" s="283"/>
      <c r="O316" s="279"/>
      <c r="P316" s="280">
        <f t="shared" si="402"/>
        <v>0</v>
      </c>
      <c r="Q316" s="281">
        <f t="shared" si="403"/>
        <v>0</v>
      </c>
      <c r="R316" s="282">
        <f t="shared" si="404"/>
        <v>0</v>
      </c>
      <c r="S316" s="283">
        <v>372</v>
      </c>
      <c r="T316" s="275">
        <v>3</v>
      </c>
      <c r="U316" s="280">
        <f t="shared" si="405"/>
        <v>62</v>
      </c>
      <c r="V316" s="281">
        <f t="shared" si="406"/>
        <v>20.666666666666668</v>
      </c>
      <c r="W316" s="282">
        <f t="shared" si="407"/>
        <v>37200</v>
      </c>
      <c r="X316" s="283"/>
      <c r="Y316" s="275"/>
      <c r="Z316" s="280">
        <f>Tabla14[[#This Row],[Cajas Segunda]]</f>
        <v>0</v>
      </c>
      <c r="AA316" s="281">
        <f t="shared" si="408"/>
        <v>0</v>
      </c>
      <c r="AB316" s="284">
        <f t="shared" si="409"/>
        <v>0</v>
      </c>
      <c r="AC316" s="285"/>
      <c r="AD316" s="286">
        <v>542</v>
      </c>
      <c r="AE316" s="286"/>
      <c r="AF316" s="286"/>
      <c r="AG316" s="286">
        <v>3</v>
      </c>
      <c r="AH316" s="280">
        <f t="shared" si="410"/>
        <v>21.68</v>
      </c>
      <c r="AI316" s="281">
        <f t="shared" si="411"/>
        <v>7.2266666666666666</v>
      </c>
      <c r="AJ316" s="282">
        <f t="shared" si="412"/>
        <v>4155.333333333333</v>
      </c>
      <c r="AK316" s="287">
        <f>Tabla14[[#This Row],[Cajas por Personas]]</f>
        <v>0</v>
      </c>
      <c r="AL316" s="288">
        <f>Tabla14[[#This Row],[Valor Precorte Pesona]]</f>
        <v>0</v>
      </c>
      <c r="AM316" s="294">
        <f>Tabla14[[#This Row],[Personas Precorte]]</f>
        <v>0</v>
      </c>
      <c r="AN316" s="308">
        <f>Tabla14[[#This Row],[Valor Precorte Pesona Precorte]]*Tabla14[[#This Row],[Perzonas Precorte]]</f>
        <v>0</v>
      </c>
      <c r="AO316" s="287">
        <f>Tabla14[[#This Row],[Cajas por Personas2]]</f>
        <v>20.666666666666668</v>
      </c>
      <c r="AP316" s="288">
        <f>Tabla14[[#This Row],[Valor Embarque Pesona]]</f>
        <v>37200</v>
      </c>
      <c r="AQ316" s="295">
        <f>Tabla14[[#This Row],[Personas Precorte2]]</f>
        <v>3</v>
      </c>
      <c r="AR316" s="296">
        <f>Tabla14[[#This Row],[Valor Embarque Pesona3]]*Tabla14[[#This Row],[Perzona Primera]]</f>
        <v>111600</v>
      </c>
      <c r="AS316" s="287">
        <f>Tabla14[[#This Row],[Columna2]]</f>
        <v>0</v>
      </c>
      <c r="AT316" s="288">
        <f>Tabla14[[#This Row],[Columna1]]</f>
        <v>0</v>
      </c>
      <c r="AU316" s="302">
        <f>Tabla14[[#This Row],[Personas Intervienen]]</f>
        <v>0</v>
      </c>
      <c r="AV316" s="297">
        <f>Tabla14[[#This Row],[Valor Embarque Pesona5]]*Tabla14[[#This Row],[Presonas Segunda]]</f>
        <v>0</v>
      </c>
      <c r="AW316" s="287">
        <f>Tabla14[[#This Row],[Bolsas Por Personas]]</f>
        <v>7.2266666666666666</v>
      </c>
      <c r="AX316" s="288">
        <f>Tabla14[[#This Row],[Valor bolsas Pesona]]</f>
        <v>4155.333333333333</v>
      </c>
      <c r="AY316" s="309">
        <f>Tabla14[[#This Row],[Personas13]]</f>
        <v>3</v>
      </c>
      <c r="AZ316" s="310">
        <f>Tabla14[[#This Row],[Valor bolsas Pesona2]]*Tabla14[[#This Row],[Personas Rechazo]]</f>
        <v>12466</v>
      </c>
      <c r="BA316" s="311">
        <f>+Tabla14[[#This Row],[Total Valor Segunda]]+Tabla14[[#This Row],[Total Valor Primera]]+Tabla14[[#This Row],[Total Valor Precorte]]</f>
        <v>111600</v>
      </c>
      <c r="BB316" s="292">
        <f>Tabla14[[#This Row],[Valor bolsas Pesona2]]+Tabla14[[#This Row],[Valor Embarque Pesona3]]</f>
        <v>41355.333333333336</v>
      </c>
      <c r="BC316" s="332">
        <v>41350</v>
      </c>
      <c r="BD316" s="292">
        <f>Tabla14[[#This Row],[VALOR GANADO]]-Tabla14[[#This Row],[REAJUSTADO]]</f>
        <v>5.3333333333357587</v>
      </c>
      <c r="BE316" s="250">
        <f>Tabla14[[#This Row],[CUANTO SE REAJUSTA]]*Tabla14[[#This Row],[Personas Rechazo]]</f>
        <v>16.000000000007276</v>
      </c>
      <c r="BF316" s="250">
        <f>Tabla14[[#This Row],[REAJUSTADO]]/25000</f>
        <v>1.6539999999999999</v>
      </c>
      <c r="BG316" s="302">
        <f>Tabla14[[#This Row],[REAJUSTADO]]*Tabla14[[#This Row],[Personas Rechazo]]</f>
        <v>124050</v>
      </c>
      <c r="BH316" s="292" t="str">
        <f>Tabla14[[#This Row],[Finca]]</f>
        <v>Damaquiel</v>
      </c>
      <c r="BJ316" s="332">
        <f>Tabla14[[#This Row],[Numero de Ocacionales]]*Tabla14[[#This Row],[REAJUSTADO]]</f>
        <v>0</v>
      </c>
      <c r="BK316" s="332"/>
      <c r="BL316" s="332"/>
      <c r="BM316" s="332">
        <f>+Tabla14[[#This Row],[CUANTO SE REAJUSTA]]*3</f>
        <v>16.000000000007276</v>
      </c>
    </row>
    <row r="317" spans="3:65" x14ac:dyDescent="0.25">
      <c r="C317" s="274">
        <v>45000</v>
      </c>
      <c r="D317" s="507">
        <f>YEAR(Tabla14[[#This Row],[Fecha]])</f>
        <v>2023</v>
      </c>
      <c r="E317" s="313">
        <f>IF(Tabla14[[#This Row],[Fecha]]&gt;0,_xlfn.ISOWEEKNUM(Tabla14[[#This Row],[Fecha]]),0)</f>
        <v>11</v>
      </c>
      <c r="F317" s="283">
        <v>208</v>
      </c>
      <c r="G317" s="275" t="s">
        <v>251</v>
      </c>
      <c r="H317" s="325" t="str">
        <f>_xlfn.XLOOKUP(Tabla14[[#This Row],[Codigo Finca]],Tabla4[Codigo Finca],Tabla4[Nombre Finca],"")</f>
        <v>Pedrito</v>
      </c>
      <c r="I317" s="277">
        <f>_xlfn.XLOOKUP(Tabla14[[#This Row],[Codigo Finca]],Tabla4[Codigo Finca],Tabla4[Precio Caja],0)</f>
        <v>1800</v>
      </c>
      <c r="J317" s="277">
        <f>_xlfn.XLOOKUP(Tabla14[[#This Row],[Codigo Finca]],Tabla4[Codigo Finca],Tabla4[Precio Caja Segunda],0)</f>
        <v>1150</v>
      </c>
      <c r="K317" s="277">
        <f>_xlfn.XLOOKUP(Tabla14[[#This Row],[Codigo Finca]],Tabla4[Codigo Finca],Tabla4[Precio Rechazo],0)</f>
        <v>575</v>
      </c>
      <c r="L317" s="277">
        <f t="shared" si="400"/>
        <v>1690</v>
      </c>
      <c r="M317" s="278">
        <f t="shared" si="401"/>
        <v>8.125</v>
      </c>
      <c r="N317" s="283"/>
      <c r="O317" s="279"/>
      <c r="P317" s="280">
        <f t="shared" si="402"/>
        <v>0</v>
      </c>
      <c r="Q317" s="281">
        <f t="shared" si="403"/>
        <v>0</v>
      </c>
      <c r="R317" s="282">
        <f t="shared" si="404"/>
        <v>0</v>
      </c>
      <c r="S317" s="283">
        <v>1690</v>
      </c>
      <c r="T317" s="275">
        <v>12</v>
      </c>
      <c r="U317" s="280">
        <f t="shared" si="405"/>
        <v>208</v>
      </c>
      <c r="V317" s="281">
        <f t="shared" si="406"/>
        <v>17.333333333333332</v>
      </c>
      <c r="W317" s="282">
        <f t="shared" si="407"/>
        <v>31200</v>
      </c>
      <c r="X317" s="283"/>
      <c r="Y317" s="275"/>
      <c r="Z317" s="280">
        <f>Tabla14[[#This Row],[Cajas Segunda]]</f>
        <v>0</v>
      </c>
      <c r="AA317" s="281">
        <f t="shared" si="408"/>
        <v>0</v>
      </c>
      <c r="AB317" s="284">
        <f t="shared" si="409"/>
        <v>0</v>
      </c>
      <c r="AC317" s="285"/>
      <c r="AD317" s="286">
        <v>2129</v>
      </c>
      <c r="AE317" s="286"/>
      <c r="AF317" s="286"/>
      <c r="AG317" s="286">
        <v>12</v>
      </c>
      <c r="AH317" s="280">
        <f t="shared" si="410"/>
        <v>85.16</v>
      </c>
      <c r="AI317" s="281">
        <f t="shared" si="411"/>
        <v>7.0966666666666667</v>
      </c>
      <c r="AJ317" s="282">
        <f t="shared" si="412"/>
        <v>4080.5833333333335</v>
      </c>
      <c r="AK317" s="287">
        <f>Tabla14[[#This Row],[Cajas por Personas]]</f>
        <v>0</v>
      </c>
      <c r="AL317" s="288">
        <f>Tabla14[[#This Row],[Valor Precorte Pesona]]</f>
        <v>0</v>
      </c>
      <c r="AM317" s="294">
        <f>Tabla14[[#This Row],[Personas Precorte]]</f>
        <v>0</v>
      </c>
      <c r="AN317" s="308">
        <f>Tabla14[[#This Row],[Valor Precorte Pesona Precorte]]*Tabla14[[#This Row],[Perzonas Precorte]]</f>
        <v>0</v>
      </c>
      <c r="AO317" s="287">
        <f>Tabla14[[#This Row],[Cajas por Personas2]]</f>
        <v>17.333333333333332</v>
      </c>
      <c r="AP317" s="288">
        <f>Tabla14[[#This Row],[Valor Embarque Pesona]]</f>
        <v>31200</v>
      </c>
      <c r="AQ317" s="295">
        <f>Tabla14[[#This Row],[Personas Precorte2]]</f>
        <v>12</v>
      </c>
      <c r="AR317" s="296">
        <f>Tabla14[[#This Row],[Valor Embarque Pesona3]]*Tabla14[[#This Row],[Perzona Primera]]</f>
        <v>374400</v>
      </c>
      <c r="AS317" s="287">
        <f>Tabla14[[#This Row],[Columna2]]</f>
        <v>0</v>
      </c>
      <c r="AT317" s="288">
        <f>Tabla14[[#This Row],[Columna1]]</f>
        <v>0</v>
      </c>
      <c r="AU317" s="302">
        <f>Tabla14[[#This Row],[Personas Intervienen]]</f>
        <v>0</v>
      </c>
      <c r="AV317" s="297">
        <f>Tabla14[[#This Row],[Valor Embarque Pesona5]]*Tabla14[[#This Row],[Presonas Segunda]]</f>
        <v>0</v>
      </c>
      <c r="AW317" s="287">
        <f>Tabla14[[#This Row],[Bolsas Por Personas]]</f>
        <v>7.0966666666666667</v>
      </c>
      <c r="AX317" s="288">
        <f>Tabla14[[#This Row],[Valor bolsas Pesona]]</f>
        <v>4080.5833333333335</v>
      </c>
      <c r="AY317" s="309">
        <f>Tabla14[[#This Row],[Personas13]]</f>
        <v>12</v>
      </c>
      <c r="AZ317" s="310">
        <f>Tabla14[[#This Row],[Valor bolsas Pesona2]]*Tabla14[[#This Row],[Personas Rechazo]]</f>
        <v>48967</v>
      </c>
      <c r="BA317" s="311">
        <f>+Tabla14[[#This Row],[Total Valor Segunda]]+Tabla14[[#This Row],[Total Valor Primera]]+Tabla14[[#This Row],[Total Valor Precorte]]</f>
        <v>374400</v>
      </c>
      <c r="BB317" s="292">
        <f>Tabla14[[#This Row],[Valor bolsas Pesona2]]+Tabla14[[#This Row],[Valor Embarque Pesona3]]</f>
        <v>35280.583333333336</v>
      </c>
      <c r="BC317" s="332">
        <v>35000</v>
      </c>
      <c r="BD317" s="292">
        <f>Tabla14[[#This Row],[VALOR GANADO]]-Tabla14[[#This Row],[REAJUSTADO]]</f>
        <v>280.58333333333576</v>
      </c>
      <c r="BE317" s="250">
        <f>Tabla14[[#This Row],[CUANTO SE REAJUSTA]]*Tabla14[[#This Row],[Personas Rechazo]]</f>
        <v>3367.0000000000291</v>
      </c>
      <c r="BF317" s="250">
        <f>Tabla14[[#This Row],[REAJUSTADO]]/25000</f>
        <v>1.4</v>
      </c>
      <c r="BG317" s="302">
        <f>Tabla14[[#This Row],[REAJUSTADO]]*Tabla14[[#This Row],[Personas Rechazo]]</f>
        <v>420000</v>
      </c>
      <c r="BH317" s="292" t="str">
        <f>Tabla14[[#This Row],[Finca]]</f>
        <v>Pedrito</v>
      </c>
      <c r="BJ317" s="332">
        <f>Tabla14[[#This Row],[Numero de Ocacionales]]*Tabla14[[#This Row],[REAJUSTADO]]</f>
        <v>0</v>
      </c>
      <c r="BK317" s="332"/>
      <c r="BL317" s="332"/>
      <c r="BM317" s="332">
        <f>+Tabla14[[#This Row],[CUANTO SE REAJUSTA]]*3</f>
        <v>841.75000000000728</v>
      </c>
    </row>
    <row r="318" spans="3:65" x14ac:dyDescent="0.25">
      <c r="C318" s="515">
        <v>45006</v>
      </c>
      <c r="D318" s="507">
        <f>YEAR(Tabla14[[#This Row],[Fecha]])</f>
        <v>2023</v>
      </c>
      <c r="E318" s="313">
        <f>IF(Tabla14[[#This Row],[Fecha]]&gt;0,_xlfn.ISOWEEKNUM(Tabla14[[#This Row],[Fecha]]),0)</f>
        <v>12</v>
      </c>
      <c r="F318" s="283">
        <f>454-45</f>
        <v>409</v>
      </c>
      <c r="G318" s="275" t="s">
        <v>250</v>
      </c>
      <c r="H318" s="325" t="str">
        <f>_xlfn.XLOOKUP(Tabla14[[#This Row],[Codigo Finca]],Tabla4[Codigo Finca],Tabla4[Nombre Finca],"")</f>
        <v>San Pedro</v>
      </c>
      <c r="I318" s="277">
        <f>_xlfn.XLOOKUP(Tabla14[[#This Row],[Codigo Finca]],Tabla4[Codigo Finca],Tabla4[Precio Caja],0)</f>
        <v>1800</v>
      </c>
      <c r="J318" s="277">
        <f>_xlfn.XLOOKUP(Tabla14[[#This Row],[Codigo Finca]],Tabla4[Codigo Finca],Tabla4[Precio Caja Segunda],0)</f>
        <v>1150</v>
      </c>
      <c r="K318" s="277">
        <f>_xlfn.XLOOKUP(Tabla14[[#This Row],[Codigo Finca]],Tabla4[Codigo Finca],Tabla4[Precio Rechazo],0)</f>
        <v>575</v>
      </c>
      <c r="L318" s="277">
        <f t="shared" si="400"/>
        <v>1383</v>
      </c>
      <c r="M318" s="278">
        <f t="shared" si="401"/>
        <v>3.3814180929095357</v>
      </c>
      <c r="N318" s="283"/>
      <c r="O318" s="279"/>
      <c r="P318" s="280">
        <f t="shared" si="402"/>
        <v>0</v>
      </c>
      <c r="Q318" s="281">
        <f t="shared" si="403"/>
        <v>0</v>
      </c>
      <c r="R318" s="282">
        <f t="shared" si="404"/>
        <v>0</v>
      </c>
      <c r="S318" s="283">
        <f>1555-172</f>
        <v>1383</v>
      </c>
      <c r="T318" s="275">
        <v>16</v>
      </c>
      <c r="U318" s="280">
        <f t="shared" si="405"/>
        <v>409</v>
      </c>
      <c r="V318" s="281">
        <f t="shared" si="406"/>
        <v>25.5625</v>
      </c>
      <c r="W318" s="282">
        <f t="shared" si="407"/>
        <v>46012.5</v>
      </c>
      <c r="X318" s="283"/>
      <c r="Y318" s="275"/>
      <c r="Z318" s="280">
        <f>Tabla14[[#This Row],[Cajas Segunda]]</f>
        <v>0</v>
      </c>
      <c r="AA318" s="281">
        <f t="shared" si="408"/>
        <v>0</v>
      </c>
      <c r="AB318" s="284">
        <f t="shared" si="409"/>
        <v>0</v>
      </c>
      <c r="AC318" s="285"/>
      <c r="AD318" s="286">
        <f>2435-287</f>
        <v>2148</v>
      </c>
      <c r="AE318" s="286"/>
      <c r="AF318" s="286"/>
      <c r="AG318" s="286">
        <v>16</v>
      </c>
      <c r="AH318" s="280">
        <f t="shared" si="410"/>
        <v>85.92</v>
      </c>
      <c r="AI318" s="281">
        <f t="shared" si="411"/>
        <v>5.37</v>
      </c>
      <c r="AJ318" s="282">
        <f t="shared" si="412"/>
        <v>3087.75</v>
      </c>
      <c r="AK318" s="287">
        <f>Tabla14[[#This Row],[Cajas por Personas]]</f>
        <v>0</v>
      </c>
      <c r="AL318" s="288">
        <f>Tabla14[[#This Row],[Valor Precorte Pesona]]</f>
        <v>0</v>
      </c>
      <c r="AM318" s="294">
        <f>Tabla14[[#This Row],[Personas Precorte]]</f>
        <v>0</v>
      </c>
      <c r="AN318" s="308">
        <f>Tabla14[[#This Row],[Valor Precorte Pesona Precorte]]*Tabla14[[#This Row],[Perzonas Precorte]]</f>
        <v>0</v>
      </c>
      <c r="AO318" s="287">
        <f>Tabla14[[#This Row],[Cajas por Personas2]]</f>
        <v>25.5625</v>
      </c>
      <c r="AP318" s="288">
        <f>Tabla14[[#This Row],[Valor Embarque Pesona]]</f>
        <v>46012.5</v>
      </c>
      <c r="AQ318" s="295">
        <f>Tabla14[[#This Row],[Personas Precorte2]]</f>
        <v>16</v>
      </c>
      <c r="AR318" s="296">
        <f>Tabla14[[#This Row],[Valor Embarque Pesona3]]*Tabla14[[#This Row],[Perzona Primera]]</f>
        <v>736200</v>
      </c>
      <c r="AS318" s="287">
        <f>Tabla14[[#This Row],[Columna2]]</f>
        <v>0</v>
      </c>
      <c r="AT318" s="288">
        <f>Tabla14[[#This Row],[Columna1]]</f>
        <v>0</v>
      </c>
      <c r="AU318" s="302">
        <f>Tabla14[[#This Row],[Personas Intervienen]]</f>
        <v>0</v>
      </c>
      <c r="AV318" s="297">
        <f>Tabla14[[#This Row],[Valor Embarque Pesona5]]*Tabla14[[#This Row],[Presonas Segunda]]</f>
        <v>0</v>
      </c>
      <c r="AW318" s="287">
        <f>Tabla14[[#This Row],[Bolsas Por Personas]]</f>
        <v>5.37</v>
      </c>
      <c r="AX318" s="288">
        <f>Tabla14[[#This Row],[Valor bolsas Pesona]]</f>
        <v>3087.75</v>
      </c>
      <c r="AY318" s="309">
        <f>Tabla14[[#This Row],[Personas13]]</f>
        <v>16</v>
      </c>
      <c r="AZ318" s="310">
        <f>Tabla14[[#This Row],[Valor bolsas Pesona2]]*Tabla14[[#This Row],[Personas Rechazo]]</f>
        <v>49404</v>
      </c>
      <c r="BA318" s="311">
        <f>+Tabla14[[#This Row],[Total Valor Segunda]]+Tabla14[[#This Row],[Total Valor Primera]]+Tabla14[[#This Row],[Total Valor Precorte]]</f>
        <v>736200</v>
      </c>
      <c r="BB318" s="292">
        <f>Tabla14[[#This Row],[Valor bolsas Pesona2]]+Tabla14[[#This Row],[Valor Embarque Pesona3]]</f>
        <v>49100.25</v>
      </c>
      <c r="BC318" s="332">
        <v>55600</v>
      </c>
      <c r="BD318" s="292">
        <f>Tabla14[[#This Row],[VALOR GANADO]]-Tabla14[[#This Row],[REAJUSTADO]]</f>
        <v>-6499.75</v>
      </c>
      <c r="BE318" s="250">
        <f>Tabla14[[#This Row],[CUANTO SE REAJUSTA]]*Tabla14[[#This Row],[Personas Rechazo]]</f>
        <v>-103996</v>
      </c>
      <c r="BF318" s="250">
        <f>Tabla14[[#This Row],[REAJUSTADO]]/25000</f>
        <v>2.2240000000000002</v>
      </c>
      <c r="BG318" s="302">
        <f>Tabla14[[#This Row],[REAJUSTADO]]*Tabla14[[#This Row],[Personas Rechazo]]</f>
        <v>889600</v>
      </c>
      <c r="BH318" s="292" t="str">
        <f>Tabla14[[#This Row],[Finca]]</f>
        <v>San Pedro</v>
      </c>
      <c r="BJ318" s="332">
        <f>Tabla14[[#This Row],[Numero de Ocacionales]]*Tabla14[[#This Row],[REAJUSTADO]]</f>
        <v>0</v>
      </c>
      <c r="BK318" s="332"/>
      <c r="BL318" s="332"/>
      <c r="BM318" s="332">
        <f>+Tabla14[[#This Row],[CUANTO SE REAJUSTA]]*3</f>
        <v>-19499.25</v>
      </c>
    </row>
    <row r="319" spans="3:65" x14ac:dyDescent="0.25">
      <c r="C319" s="515">
        <v>45006</v>
      </c>
      <c r="D319" s="507">
        <f>YEAR(Tabla14[[#This Row],[Fecha]])</f>
        <v>2023</v>
      </c>
      <c r="E319" s="313">
        <f>IF(Tabla14[[#This Row],[Fecha]]&gt;0,_xlfn.ISOWEEKNUM(Tabla14[[#This Row],[Fecha]]),0)</f>
        <v>12</v>
      </c>
      <c r="F319" s="283">
        <v>45</v>
      </c>
      <c r="G319" s="275" t="s">
        <v>249</v>
      </c>
      <c r="H319" s="325" t="str">
        <f>_xlfn.XLOOKUP(Tabla14[[#This Row],[Codigo Finca]],Tabla4[Codigo Finca],Tabla4[Nombre Finca],"")</f>
        <v>San Pedro</v>
      </c>
      <c r="I319" s="277">
        <f>_xlfn.XLOOKUP(Tabla14[[#This Row],[Codigo Finca]],Tabla4[Codigo Finca],Tabla4[Precio Caja],0)</f>
        <v>2000</v>
      </c>
      <c r="J319" s="277">
        <f>_xlfn.XLOOKUP(Tabla14[[#This Row],[Codigo Finca]],Tabla4[Codigo Finca],Tabla4[Precio Caja Segunda],0)</f>
        <v>1150</v>
      </c>
      <c r="K319" s="277">
        <f>_xlfn.XLOOKUP(Tabla14[[#This Row],[Codigo Finca]],Tabla4[Codigo Finca],Tabla4[Precio Rechazo],0)</f>
        <v>675</v>
      </c>
      <c r="L319" s="277">
        <f t="shared" si="400"/>
        <v>172</v>
      </c>
      <c r="M319" s="278">
        <f t="shared" si="401"/>
        <v>3.8222222222222224</v>
      </c>
      <c r="N319" s="283"/>
      <c r="O319" s="279"/>
      <c r="P319" s="280">
        <f t="shared" si="402"/>
        <v>0</v>
      </c>
      <c r="Q319" s="281">
        <f t="shared" si="403"/>
        <v>0</v>
      </c>
      <c r="R319" s="282">
        <f t="shared" si="404"/>
        <v>0</v>
      </c>
      <c r="S319" s="283">
        <v>172</v>
      </c>
      <c r="T319" s="275">
        <v>15</v>
      </c>
      <c r="U319" s="280">
        <f t="shared" si="405"/>
        <v>45</v>
      </c>
      <c r="V319" s="281">
        <f t="shared" si="406"/>
        <v>3</v>
      </c>
      <c r="W319" s="282">
        <f t="shared" si="407"/>
        <v>6000</v>
      </c>
      <c r="X319" s="283"/>
      <c r="Y319" s="275"/>
      <c r="Z319" s="280">
        <f>Tabla14[[#This Row],[Cajas Segunda]]</f>
        <v>0</v>
      </c>
      <c r="AA319" s="281">
        <f t="shared" si="408"/>
        <v>0</v>
      </c>
      <c r="AB319" s="284">
        <f t="shared" si="409"/>
        <v>0</v>
      </c>
      <c r="AC319" s="285"/>
      <c r="AD319" s="286">
        <f>41+65+59+60+62</f>
        <v>287</v>
      </c>
      <c r="AE319" s="286"/>
      <c r="AF319" s="286"/>
      <c r="AG319" s="286">
        <v>15</v>
      </c>
      <c r="AH319" s="280">
        <f t="shared" si="410"/>
        <v>11.48</v>
      </c>
      <c r="AI319" s="281">
        <f t="shared" si="411"/>
        <v>0.76533333333333331</v>
      </c>
      <c r="AJ319" s="282">
        <f t="shared" si="412"/>
        <v>516.6</v>
      </c>
      <c r="AK319" s="287">
        <f>Tabla14[[#This Row],[Cajas por Personas]]</f>
        <v>0</v>
      </c>
      <c r="AL319" s="288">
        <f>Tabla14[[#This Row],[Valor Precorte Pesona]]</f>
        <v>0</v>
      </c>
      <c r="AM319" s="294">
        <f>Tabla14[[#This Row],[Personas Precorte]]</f>
        <v>0</v>
      </c>
      <c r="AN319" s="308">
        <f>Tabla14[[#This Row],[Valor Precorte Pesona Precorte]]*Tabla14[[#This Row],[Perzonas Precorte]]</f>
        <v>0</v>
      </c>
      <c r="AO319" s="287">
        <f>Tabla14[[#This Row],[Cajas por Personas2]]</f>
        <v>3</v>
      </c>
      <c r="AP319" s="288">
        <f>Tabla14[[#This Row],[Valor Embarque Pesona]]</f>
        <v>6000</v>
      </c>
      <c r="AQ319" s="295">
        <f>Tabla14[[#This Row],[Personas Precorte2]]</f>
        <v>15</v>
      </c>
      <c r="AR319" s="296">
        <f>Tabla14[[#This Row],[Valor Embarque Pesona3]]*Tabla14[[#This Row],[Perzona Primera]]</f>
        <v>90000</v>
      </c>
      <c r="AS319" s="287">
        <f>Tabla14[[#This Row],[Columna2]]</f>
        <v>0</v>
      </c>
      <c r="AT319" s="288">
        <f>Tabla14[[#This Row],[Columna1]]</f>
        <v>0</v>
      </c>
      <c r="AU319" s="302">
        <f>Tabla14[[#This Row],[Personas Intervienen]]</f>
        <v>0</v>
      </c>
      <c r="AV319" s="297">
        <f>Tabla14[[#This Row],[Valor Embarque Pesona5]]*Tabla14[[#This Row],[Presonas Segunda]]</f>
        <v>0</v>
      </c>
      <c r="AW319" s="287">
        <f>Tabla14[[#This Row],[Bolsas Por Personas]]</f>
        <v>0.76533333333333331</v>
      </c>
      <c r="AX319" s="288">
        <f>Tabla14[[#This Row],[Valor bolsas Pesona]]</f>
        <v>516.6</v>
      </c>
      <c r="AY319" s="309">
        <f>Tabla14[[#This Row],[Personas13]]</f>
        <v>15</v>
      </c>
      <c r="AZ319" s="310">
        <f>Tabla14[[#This Row],[Valor bolsas Pesona2]]*Tabla14[[#This Row],[Personas Rechazo]]</f>
        <v>7749</v>
      </c>
      <c r="BA319" s="311">
        <f>+Tabla14[[#This Row],[Total Valor Segunda]]+Tabla14[[#This Row],[Total Valor Primera]]+Tabla14[[#This Row],[Total Valor Precorte]]</f>
        <v>90000</v>
      </c>
      <c r="BB319" s="292">
        <f>Tabla14[[#This Row],[Valor bolsas Pesona2]]+Tabla14[[#This Row],[Valor Embarque Pesona3]]</f>
        <v>6516.6</v>
      </c>
      <c r="BD319" s="292">
        <f>Tabla14[[#This Row],[VALOR GANADO]]-Tabla14[[#This Row],[REAJUSTADO]]</f>
        <v>6516.6</v>
      </c>
      <c r="BE319" s="250">
        <f>Tabla14[[#This Row],[CUANTO SE REAJUSTA]]*Tabla14[[#This Row],[Personas Rechazo]]</f>
        <v>97749</v>
      </c>
      <c r="BF319" s="250">
        <f>Tabla14[[#This Row],[REAJUSTADO]]/25000</f>
        <v>0</v>
      </c>
      <c r="BG319" s="302">
        <f>Tabla14[[#This Row],[REAJUSTADO]]*Tabla14[[#This Row],[Personas Rechazo]]</f>
        <v>0</v>
      </c>
      <c r="BH319" s="292" t="str">
        <f>Tabla14[[#This Row],[Finca]]</f>
        <v>San Pedro</v>
      </c>
      <c r="BJ319" s="332">
        <f>Tabla14[[#This Row],[Numero de Ocacionales]]*Tabla14[[#This Row],[REAJUSTADO]]</f>
        <v>0</v>
      </c>
      <c r="BK319" s="332"/>
      <c r="BL319" s="332"/>
      <c r="BM319" s="332">
        <f>+Tabla14[[#This Row],[CUANTO SE REAJUSTA]]*3</f>
        <v>19549.800000000003</v>
      </c>
    </row>
    <row r="320" spans="3:65" x14ac:dyDescent="0.25">
      <c r="C320" s="515">
        <v>45006</v>
      </c>
      <c r="D320" s="507">
        <f>YEAR(Tabla14[[#This Row],[Fecha]])</f>
        <v>2023</v>
      </c>
      <c r="E320" s="516">
        <f>IF(Tabla14[[#This Row],[Fecha]]&gt;0,_xlfn.ISOWEEKNUM(Tabla14[[#This Row],[Fecha]]),0)</f>
        <v>12</v>
      </c>
      <c r="F320" s="283">
        <v>60</v>
      </c>
      <c r="G320" s="275" t="s">
        <v>153</v>
      </c>
      <c r="H320" s="325" t="str">
        <f>_xlfn.XLOOKUP(Tabla14[[#This Row],[Codigo Finca]],Tabla4[Codigo Finca],Tabla4[Nombre Finca],"")</f>
        <v>Uveros</v>
      </c>
      <c r="I320" s="277">
        <f>_xlfn.XLOOKUP(Tabla14[[#This Row],[Codigo Finca]],Tabla4[Codigo Finca],Tabla4[Precio Caja],0)</f>
        <v>1500</v>
      </c>
      <c r="J320" s="277">
        <f>_xlfn.XLOOKUP(Tabla14[[#This Row],[Codigo Finca]],Tabla4[Codigo Finca],Tabla4[Precio Caja Segunda],0)</f>
        <v>1000</v>
      </c>
      <c r="K320" s="277">
        <f>_xlfn.XLOOKUP(Tabla14[[#This Row],[Codigo Finca]],Tabla4[Codigo Finca],Tabla4[Precio Rechazo],0)</f>
        <v>500</v>
      </c>
      <c r="L320" s="277">
        <f t="shared" si="400"/>
        <v>298</v>
      </c>
      <c r="M320" s="278">
        <f t="shared" si="401"/>
        <v>4.9666666666666668</v>
      </c>
      <c r="N320" s="283"/>
      <c r="O320" s="279"/>
      <c r="P320" s="280">
        <f t="shared" si="402"/>
        <v>0</v>
      </c>
      <c r="Q320" s="281">
        <f t="shared" si="403"/>
        <v>0</v>
      </c>
      <c r="R320" s="282">
        <f t="shared" si="404"/>
        <v>0</v>
      </c>
      <c r="S320" s="283">
        <v>298</v>
      </c>
      <c r="T320" s="275">
        <v>3</v>
      </c>
      <c r="U320" s="280">
        <f t="shared" si="405"/>
        <v>60</v>
      </c>
      <c r="V320" s="281">
        <f t="shared" si="406"/>
        <v>20</v>
      </c>
      <c r="W320" s="282">
        <f t="shared" si="407"/>
        <v>30000</v>
      </c>
      <c r="X320" s="283"/>
      <c r="Y320" s="275"/>
      <c r="Z320" s="280">
        <f>Tabla14[[#This Row],[Cajas Segunda]]</f>
        <v>0</v>
      </c>
      <c r="AA320" s="281">
        <f t="shared" si="408"/>
        <v>0</v>
      </c>
      <c r="AB320" s="284">
        <f t="shared" si="409"/>
        <v>0</v>
      </c>
      <c r="AC320" s="285"/>
      <c r="AD320" s="286">
        <v>334</v>
      </c>
      <c r="AE320" s="286"/>
      <c r="AF320" s="286"/>
      <c r="AG320" s="286">
        <v>3</v>
      </c>
      <c r="AH320" s="280">
        <f t="shared" si="410"/>
        <v>13.36</v>
      </c>
      <c r="AI320" s="281">
        <f t="shared" si="411"/>
        <v>4.4533333333333331</v>
      </c>
      <c r="AJ320" s="282">
        <f t="shared" si="412"/>
        <v>2226.6666666666665</v>
      </c>
      <c r="AK320" s="287">
        <f>Tabla14[[#This Row],[Cajas por Personas]]</f>
        <v>0</v>
      </c>
      <c r="AL320" s="288">
        <f>Tabla14[[#This Row],[Valor Precorte Pesona]]</f>
        <v>0</v>
      </c>
      <c r="AM320" s="294">
        <f>Tabla14[[#This Row],[Personas Precorte]]</f>
        <v>0</v>
      </c>
      <c r="AN320" s="308">
        <f>Tabla14[[#This Row],[Valor Precorte Pesona Precorte]]*Tabla14[[#This Row],[Perzonas Precorte]]</f>
        <v>0</v>
      </c>
      <c r="AO320" s="287">
        <f>Tabla14[[#This Row],[Cajas por Personas2]]</f>
        <v>20</v>
      </c>
      <c r="AP320" s="288">
        <f>Tabla14[[#This Row],[Valor Embarque Pesona]]</f>
        <v>30000</v>
      </c>
      <c r="AQ320" s="295">
        <f>Tabla14[[#This Row],[Personas Precorte2]]</f>
        <v>3</v>
      </c>
      <c r="AR320" s="296">
        <f>Tabla14[[#This Row],[Valor Embarque Pesona3]]*Tabla14[[#This Row],[Perzona Primera]]</f>
        <v>90000</v>
      </c>
      <c r="AS320" s="287">
        <f>Tabla14[[#This Row],[Columna2]]</f>
        <v>0</v>
      </c>
      <c r="AT320" s="288">
        <f>Tabla14[[#This Row],[Columna1]]</f>
        <v>0</v>
      </c>
      <c r="AU320" s="302">
        <f>Tabla14[[#This Row],[Personas Intervienen]]</f>
        <v>0</v>
      </c>
      <c r="AV320" s="297">
        <f>Tabla14[[#This Row],[Valor Embarque Pesona5]]*Tabla14[[#This Row],[Presonas Segunda]]</f>
        <v>0</v>
      </c>
      <c r="AW320" s="287">
        <f>Tabla14[[#This Row],[Bolsas Por Personas]]</f>
        <v>4.4533333333333331</v>
      </c>
      <c r="AX320" s="288">
        <f>Tabla14[[#This Row],[Valor bolsas Pesona]]</f>
        <v>2226.6666666666665</v>
      </c>
      <c r="AY320" s="309">
        <f>Tabla14[[#This Row],[Personas13]]</f>
        <v>3</v>
      </c>
      <c r="AZ320" s="310">
        <f>Tabla14[[#This Row],[Valor bolsas Pesona2]]*Tabla14[[#This Row],[Personas Rechazo]]</f>
        <v>6680</v>
      </c>
      <c r="BA320" s="311">
        <f>+Tabla14[[#This Row],[Total Valor Segunda]]+Tabla14[[#This Row],[Total Valor Primera]]+Tabla14[[#This Row],[Total Valor Precorte]]</f>
        <v>90000</v>
      </c>
      <c r="BB320" s="292">
        <f>Tabla14[[#This Row],[Valor bolsas Pesona2]]+Tabla14[[#This Row],[Valor Embarque Pesona3]]</f>
        <v>32226.666666666668</v>
      </c>
      <c r="BC320" s="332">
        <v>32500</v>
      </c>
      <c r="BD320" s="292">
        <f>Tabla14[[#This Row],[VALOR GANADO]]-Tabla14[[#This Row],[REAJUSTADO]]</f>
        <v>-273.33333333333212</v>
      </c>
      <c r="BE320" s="250">
        <f>Tabla14[[#This Row],[CUANTO SE REAJUSTA]]*Tabla14[[#This Row],[Personas Rechazo]]</f>
        <v>-819.99999999999636</v>
      </c>
      <c r="BF320" s="250">
        <f>Tabla14[[#This Row],[REAJUSTADO]]/25000</f>
        <v>1.3</v>
      </c>
      <c r="BG320" s="302">
        <f>Tabla14[[#This Row],[REAJUSTADO]]*Tabla14[[#This Row],[Personas Rechazo]]</f>
        <v>97500</v>
      </c>
      <c r="BH320" s="292" t="str">
        <f>Tabla14[[#This Row],[Finca]]</f>
        <v>Uveros</v>
      </c>
      <c r="BJ320" s="332">
        <f>Tabla14[[#This Row],[Numero de Ocacionales]]*Tabla14[[#This Row],[REAJUSTADO]]</f>
        <v>0</v>
      </c>
      <c r="BK320" s="332"/>
      <c r="BL320" s="332"/>
      <c r="BM320" s="332">
        <f>+Tabla14[[#This Row],[CUANTO SE REAJUSTA]]*3</f>
        <v>-819.99999999999636</v>
      </c>
    </row>
    <row r="321" spans="3:65" x14ac:dyDescent="0.25">
      <c r="C321" s="515">
        <v>45007</v>
      </c>
      <c r="D321" s="507">
        <f>YEAR(Tabla14[[#This Row],[Fecha]])</f>
        <v>2023</v>
      </c>
      <c r="E321" s="516">
        <f>IF(Tabla14[[#This Row],[Fecha]]&gt;0,_xlfn.ISOWEEKNUM(Tabla14[[#This Row],[Fecha]]),0)</f>
        <v>12</v>
      </c>
      <c r="F321" s="283">
        <v>145</v>
      </c>
      <c r="G321" s="275" t="s">
        <v>251</v>
      </c>
      <c r="H321" s="325" t="str">
        <f>_xlfn.XLOOKUP(Tabla14[[#This Row],[Codigo Finca]],Tabla4[Codigo Finca],Tabla4[Nombre Finca],"")</f>
        <v>Pedrito</v>
      </c>
      <c r="I321" s="277">
        <f>_xlfn.XLOOKUP(Tabla14[[#This Row],[Codigo Finca]],Tabla4[Codigo Finca],Tabla4[Precio Caja],0)</f>
        <v>1800</v>
      </c>
      <c r="J321" s="277">
        <f>_xlfn.XLOOKUP(Tabla14[[#This Row],[Codigo Finca]],Tabla4[Codigo Finca],Tabla4[Precio Caja Segunda],0)</f>
        <v>1150</v>
      </c>
      <c r="K321" s="277">
        <f>_xlfn.XLOOKUP(Tabla14[[#This Row],[Codigo Finca]],Tabla4[Codigo Finca],Tabla4[Precio Rechazo],0)</f>
        <v>575</v>
      </c>
      <c r="L321" s="277">
        <f t="shared" si="400"/>
        <v>947</v>
      </c>
      <c r="M321" s="278">
        <f t="shared" si="401"/>
        <v>6.5310344827586206</v>
      </c>
      <c r="N321" s="283"/>
      <c r="O321" s="279"/>
      <c r="P321" s="280">
        <f t="shared" si="402"/>
        <v>0</v>
      </c>
      <c r="Q321" s="281">
        <f t="shared" si="403"/>
        <v>0</v>
      </c>
      <c r="R321" s="282">
        <f t="shared" si="404"/>
        <v>0</v>
      </c>
      <c r="S321" s="283">
        <v>947</v>
      </c>
      <c r="T321" s="275">
        <v>14</v>
      </c>
      <c r="U321" s="280">
        <f t="shared" si="405"/>
        <v>145</v>
      </c>
      <c r="V321" s="281">
        <f t="shared" si="406"/>
        <v>10.357142857142858</v>
      </c>
      <c r="W321" s="282">
        <f t="shared" si="407"/>
        <v>18642.857142857141</v>
      </c>
      <c r="X321" s="283"/>
      <c r="Y321" s="275"/>
      <c r="Z321" s="280">
        <f>Tabla14[[#This Row],[Cajas Segunda]]</f>
        <v>0</v>
      </c>
      <c r="AA321" s="281">
        <f t="shared" si="408"/>
        <v>0</v>
      </c>
      <c r="AB321" s="284">
        <f t="shared" si="409"/>
        <v>0</v>
      </c>
      <c r="AC321" s="285"/>
      <c r="AD321" s="286">
        <v>1405</v>
      </c>
      <c r="AE321" s="286"/>
      <c r="AF321" s="286"/>
      <c r="AG321" s="286">
        <v>14</v>
      </c>
      <c r="AH321" s="280">
        <f t="shared" si="410"/>
        <v>56.2</v>
      </c>
      <c r="AI321" s="281">
        <f t="shared" si="411"/>
        <v>4.0142857142857142</v>
      </c>
      <c r="AJ321" s="282">
        <f t="shared" si="412"/>
        <v>2308.2142857142858</v>
      </c>
      <c r="AK321" s="287">
        <f>Tabla14[[#This Row],[Cajas por Personas]]</f>
        <v>0</v>
      </c>
      <c r="AL321" s="288">
        <f>Tabla14[[#This Row],[Valor Precorte Pesona]]</f>
        <v>0</v>
      </c>
      <c r="AM321" s="294">
        <f>Tabla14[[#This Row],[Personas Precorte]]</f>
        <v>0</v>
      </c>
      <c r="AN321" s="308">
        <f>Tabla14[[#This Row],[Valor Precorte Pesona Precorte]]*Tabla14[[#This Row],[Perzonas Precorte]]</f>
        <v>0</v>
      </c>
      <c r="AO321" s="287">
        <f>Tabla14[[#This Row],[Cajas por Personas2]]</f>
        <v>10.357142857142858</v>
      </c>
      <c r="AP321" s="288">
        <f>Tabla14[[#This Row],[Valor Embarque Pesona]]</f>
        <v>18642.857142857141</v>
      </c>
      <c r="AQ321" s="295">
        <f>Tabla14[[#This Row],[Personas Precorte2]]</f>
        <v>14</v>
      </c>
      <c r="AR321" s="296">
        <f>Tabla14[[#This Row],[Valor Embarque Pesona3]]*Tabla14[[#This Row],[Perzona Primera]]</f>
        <v>260999.99999999997</v>
      </c>
      <c r="AS321" s="287">
        <f>Tabla14[[#This Row],[Columna2]]</f>
        <v>0</v>
      </c>
      <c r="AT321" s="288">
        <f>Tabla14[[#This Row],[Columna1]]</f>
        <v>0</v>
      </c>
      <c r="AU321" s="302">
        <f>Tabla14[[#This Row],[Personas Intervienen]]</f>
        <v>0</v>
      </c>
      <c r="AV321" s="297">
        <f>Tabla14[[#This Row],[Valor Embarque Pesona5]]*Tabla14[[#This Row],[Presonas Segunda]]</f>
        <v>0</v>
      </c>
      <c r="AW321" s="287">
        <f>Tabla14[[#This Row],[Bolsas Por Personas]]</f>
        <v>4.0142857142857142</v>
      </c>
      <c r="AX321" s="288">
        <f>Tabla14[[#This Row],[Valor bolsas Pesona]]</f>
        <v>2308.2142857142858</v>
      </c>
      <c r="AY321" s="309">
        <f>Tabla14[[#This Row],[Personas13]]</f>
        <v>14</v>
      </c>
      <c r="AZ321" s="310">
        <f>Tabla14[[#This Row],[Valor bolsas Pesona2]]*Tabla14[[#This Row],[Personas Rechazo]]</f>
        <v>32315</v>
      </c>
      <c r="BA321" s="311">
        <f>+Tabla14[[#This Row],[Total Valor Segunda]]+Tabla14[[#This Row],[Total Valor Primera]]+Tabla14[[#This Row],[Total Valor Precorte]]</f>
        <v>260999.99999999997</v>
      </c>
      <c r="BB321" s="292">
        <f>Tabla14[[#This Row],[Valor bolsas Pesona2]]+Tabla14[[#This Row],[Valor Embarque Pesona3]]</f>
        <v>20951.071428571428</v>
      </c>
      <c r="BC321" s="332">
        <v>30000</v>
      </c>
      <c r="BD321" s="292">
        <f>Tabla14[[#This Row],[VALOR GANADO]]-Tabla14[[#This Row],[REAJUSTADO]]</f>
        <v>-9048.9285714285725</v>
      </c>
      <c r="BE321" s="250">
        <f>Tabla14[[#This Row],[CUANTO SE REAJUSTA]]*Tabla14[[#This Row],[Personas Rechazo]]</f>
        <v>-126685.00000000001</v>
      </c>
      <c r="BF321" s="250">
        <f>Tabla14[[#This Row],[REAJUSTADO]]/25000</f>
        <v>1.2</v>
      </c>
      <c r="BG321" s="302">
        <f>Tabla14[[#This Row],[REAJUSTADO]]*Tabla14[[#This Row],[Personas Rechazo]]</f>
        <v>420000</v>
      </c>
      <c r="BH321" s="292" t="str">
        <f>Tabla14[[#This Row],[Finca]]</f>
        <v>Pedrito</v>
      </c>
      <c r="BJ321" s="332">
        <f>Tabla14[[#This Row],[Numero de Ocacionales]]*Tabla14[[#This Row],[REAJUSTADO]]</f>
        <v>0</v>
      </c>
      <c r="BK321" s="332"/>
      <c r="BL321" s="332"/>
      <c r="BM321" s="332">
        <f>+Tabla14[[#This Row],[CUANTO SE REAJUSTA]]*3</f>
        <v>-27146.785714285717</v>
      </c>
    </row>
    <row r="322" spans="3:65" x14ac:dyDescent="0.25">
      <c r="C322" s="515">
        <v>45007</v>
      </c>
      <c r="D322" s="507">
        <f>YEAR(Tabla14[[#This Row],[Fecha]])</f>
        <v>2023</v>
      </c>
      <c r="E322" s="516">
        <f>IF(Tabla14[[#This Row],[Fecha]]&gt;0,_xlfn.ISOWEEKNUM(Tabla14[[#This Row],[Fecha]]),0)</f>
        <v>12</v>
      </c>
      <c r="F322" s="283">
        <v>64</v>
      </c>
      <c r="G322" s="275" t="s">
        <v>248</v>
      </c>
      <c r="H322" s="325" t="str">
        <f>_xlfn.XLOOKUP(Tabla14[[#This Row],[Codigo Finca]],Tabla4[Codigo Finca],Tabla4[Nombre Finca],"")</f>
        <v>Damaquiel</v>
      </c>
      <c r="I322" s="277">
        <f>_xlfn.XLOOKUP(Tabla14[[#This Row],[Codigo Finca]],Tabla4[Codigo Finca],Tabla4[Precio Caja],0)</f>
        <v>1800</v>
      </c>
      <c r="J322" s="277">
        <f>_xlfn.XLOOKUP(Tabla14[[#This Row],[Codigo Finca]],Tabla4[Codigo Finca],Tabla4[Precio Caja Segunda],0)</f>
        <v>1150</v>
      </c>
      <c r="K322" s="277">
        <f>_xlfn.XLOOKUP(Tabla14[[#This Row],[Codigo Finca]],Tabla4[Codigo Finca],Tabla4[Precio Rechazo],0)</f>
        <v>575</v>
      </c>
      <c r="L322" s="277">
        <f t="shared" si="400"/>
        <v>407</v>
      </c>
      <c r="M322" s="278">
        <f t="shared" si="401"/>
        <v>6.359375</v>
      </c>
      <c r="N322" s="283"/>
      <c r="O322" s="279"/>
      <c r="P322" s="280">
        <f t="shared" si="402"/>
        <v>0</v>
      </c>
      <c r="Q322" s="281">
        <f t="shared" si="403"/>
        <v>0</v>
      </c>
      <c r="R322" s="282">
        <f t="shared" si="404"/>
        <v>0</v>
      </c>
      <c r="S322" s="283">
        <v>407</v>
      </c>
      <c r="T322" s="275">
        <v>4</v>
      </c>
      <c r="U322" s="280">
        <f t="shared" si="405"/>
        <v>64</v>
      </c>
      <c r="V322" s="281">
        <f t="shared" si="406"/>
        <v>16</v>
      </c>
      <c r="W322" s="282">
        <f t="shared" si="407"/>
        <v>28800</v>
      </c>
      <c r="X322" s="283"/>
      <c r="Y322" s="275"/>
      <c r="Z322" s="280">
        <f>Tabla14[[#This Row],[Cajas Segunda]]</f>
        <v>0</v>
      </c>
      <c r="AA322" s="281">
        <f t="shared" si="408"/>
        <v>0</v>
      </c>
      <c r="AB322" s="284">
        <f t="shared" si="409"/>
        <v>0</v>
      </c>
      <c r="AC322" s="285"/>
      <c r="AD322" s="286">
        <v>582</v>
      </c>
      <c r="AE322" s="286"/>
      <c r="AF322" s="286"/>
      <c r="AG322" s="286">
        <v>4</v>
      </c>
      <c r="AH322" s="280">
        <f t="shared" si="410"/>
        <v>23.28</v>
      </c>
      <c r="AI322" s="281">
        <f t="shared" si="411"/>
        <v>5.82</v>
      </c>
      <c r="AJ322" s="282">
        <f t="shared" si="412"/>
        <v>3346.5</v>
      </c>
      <c r="AK322" s="287">
        <f>Tabla14[[#This Row],[Cajas por Personas]]</f>
        <v>0</v>
      </c>
      <c r="AL322" s="288">
        <f>Tabla14[[#This Row],[Valor Precorte Pesona]]</f>
        <v>0</v>
      </c>
      <c r="AM322" s="294">
        <f>Tabla14[[#This Row],[Personas Precorte]]</f>
        <v>0</v>
      </c>
      <c r="AN322" s="308">
        <f>Tabla14[[#This Row],[Valor Precorte Pesona Precorte]]*Tabla14[[#This Row],[Perzonas Precorte]]</f>
        <v>0</v>
      </c>
      <c r="AO322" s="287">
        <f>Tabla14[[#This Row],[Cajas por Personas2]]</f>
        <v>16</v>
      </c>
      <c r="AP322" s="288">
        <f>Tabla14[[#This Row],[Valor Embarque Pesona]]</f>
        <v>28800</v>
      </c>
      <c r="AQ322" s="295">
        <f>Tabla14[[#This Row],[Personas Precorte2]]</f>
        <v>4</v>
      </c>
      <c r="AR322" s="296">
        <f>Tabla14[[#This Row],[Valor Embarque Pesona3]]*Tabla14[[#This Row],[Perzona Primera]]</f>
        <v>115200</v>
      </c>
      <c r="AS322" s="287">
        <f>Tabla14[[#This Row],[Columna2]]</f>
        <v>0</v>
      </c>
      <c r="AT322" s="288">
        <f>Tabla14[[#This Row],[Columna1]]</f>
        <v>0</v>
      </c>
      <c r="AU322" s="302">
        <f>Tabla14[[#This Row],[Personas Intervienen]]</f>
        <v>0</v>
      </c>
      <c r="AV322" s="297">
        <f>Tabla14[[#This Row],[Valor Embarque Pesona5]]*Tabla14[[#This Row],[Presonas Segunda]]</f>
        <v>0</v>
      </c>
      <c r="AW322" s="287">
        <f>Tabla14[[#This Row],[Bolsas Por Personas]]</f>
        <v>5.82</v>
      </c>
      <c r="AX322" s="288">
        <f>Tabla14[[#This Row],[Valor bolsas Pesona]]</f>
        <v>3346.5</v>
      </c>
      <c r="AY322" s="309">
        <f>Tabla14[[#This Row],[Personas13]]</f>
        <v>4</v>
      </c>
      <c r="AZ322" s="310">
        <f>Tabla14[[#This Row],[Valor bolsas Pesona2]]*Tabla14[[#This Row],[Personas Rechazo]]</f>
        <v>13386</v>
      </c>
      <c r="BA322" s="311">
        <f>+Tabla14[[#This Row],[Total Valor Segunda]]+Tabla14[[#This Row],[Total Valor Primera]]+Tabla14[[#This Row],[Total Valor Precorte]]</f>
        <v>115200</v>
      </c>
      <c r="BB322" s="292">
        <f>Tabla14[[#This Row],[Valor bolsas Pesona2]]+Tabla14[[#This Row],[Valor Embarque Pesona3]]</f>
        <v>32146.5</v>
      </c>
      <c r="BC322" s="332">
        <v>32150</v>
      </c>
      <c r="BD322" s="292">
        <f>Tabla14[[#This Row],[VALOR GANADO]]-Tabla14[[#This Row],[REAJUSTADO]]</f>
        <v>-3.5</v>
      </c>
      <c r="BE322" s="250">
        <f>Tabla14[[#This Row],[CUANTO SE REAJUSTA]]*Tabla14[[#This Row],[Personas Rechazo]]</f>
        <v>-14</v>
      </c>
      <c r="BF322" s="250">
        <f>Tabla14[[#This Row],[REAJUSTADO]]/25000</f>
        <v>1.286</v>
      </c>
      <c r="BG322" s="302">
        <f>Tabla14[[#This Row],[REAJUSTADO]]*Tabla14[[#This Row],[Personas Rechazo]]</f>
        <v>128600</v>
      </c>
      <c r="BH322" s="292" t="str">
        <f>Tabla14[[#This Row],[Finca]]</f>
        <v>Damaquiel</v>
      </c>
      <c r="BJ322" s="332">
        <f>Tabla14[[#This Row],[Numero de Ocacionales]]*Tabla14[[#This Row],[REAJUSTADO]]</f>
        <v>0</v>
      </c>
      <c r="BK322" s="332"/>
      <c r="BL322" s="332"/>
      <c r="BM322" s="332">
        <f>+Tabla14[[#This Row],[CUANTO SE REAJUSTA]]*3</f>
        <v>-10.5</v>
      </c>
    </row>
    <row r="323" spans="3:65" x14ac:dyDescent="0.25">
      <c r="C323" s="515">
        <v>45013</v>
      </c>
      <c r="D323" s="507">
        <f>YEAR(Tabla14[[#This Row],[Fecha]])</f>
        <v>2023</v>
      </c>
      <c r="E323" s="516">
        <f>IF(Tabla14[[#This Row],[Fecha]]&gt;0,_xlfn.ISOWEEKNUM(Tabla14[[#This Row],[Fecha]]),0)</f>
        <v>13</v>
      </c>
      <c r="F323" s="283">
        <v>514</v>
      </c>
      <c r="G323" s="275" t="s">
        <v>250</v>
      </c>
      <c r="H323" s="325" t="str">
        <f>_xlfn.XLOOKUP(Tabla14[[#This Row],[Codigo Finca]],Tabla4[Codigo Finca],Tabla4[Nombre Finca],"")</f>
        <v>San Pedro</v>
      </c>
      <c r="I323" s="277">
        <f>_xlfn.XLOOKUP(Tabla14[[#This Row],[Codigo Finca]],Tabla4[Codigo Finca],Tabla4[Precio Caja],0)</f>
        <v>1800</v>
      </c>
      <c r="J323" s="277">
        <f>_xlfn.XLOOKUP(Tabla14[[#This Row],[Codigo Finca]],Tabla4[Codigo Finca],Tabla4[Precio Caja Segunda],0)</f>
        <v>1150</v>
      </c>
      <c r="K323" s="277">
        <f>_xlfn.XLOOKUP(Tabla14[[#This Row],[Codigo Finca]],Tabla4[Codigo Finca],Tabla4[Precio Rechazo],0)</f>
        <v>575</v>
      </c>
      <c r="L323" s="277">
        <f t="shared" si="400"/>
        <v>1917</v>
      </c>
      <c r="M323" s="278">
        <f t="shared" si="401"/>
        <v>3.7295719844357977</v>
      </c>
      <c r="N323" s="283"/>
      <c r="O323" s="279"/>
      <c r="P323" s="280">
        <f t="shared" si="402"/>
        <v>0</v>
      </c>
      <c r="Q323" s="281">
        <f t="shared" si="403"/>
        <v>0</v>
      </c>
      <c r="R323" s="282">
        <f t="shared" si="404"/>
        <v>0</v>
      </c>
      <c r="S323" s="283">
        <f>1823+80+14</f>
        <v>1917</v>
      </c>
      <c r="T323" s="275">
        <v>16</v>
      </c>
      <c r="U323" s="280">
        <f t="shared" si="405"/>
        <v>514</v>
      </c>
      <c r="V323" s="281">
        <f t="shared" si="406"/>
        <v>32.125</v>
      </c>
      <c r="W323" s="282">
        <f t="shared" si="407"/>
        <v>57825</v>
      </c>
      <c r="X323" s="283"/>
      <c r="Y323" s="275"/>
      <c r="Z323" s="280">
        <f>Tabla14[[#This Row],[Cajas Segunda]]</f>
        <v>0</v>
      </c>
      <c r="AA323" s="281">
        <f t="shared" si="408"/>
        <v>0</v>
      </c>
      <c r="AB323" s="284">
        <f t="shared" si="409"/>
        <v>0</v>
      </c>
      <c r="AC323" s="285"/>
      <c r="AD323" s="286">
        <v>1851</v>
      </c>
      <c r="AE323" s="286"/>
      <c r="AF323" s="286"/>
      <c r="AG323" s="286">
        <v>16</v>
      </c>
      <c r="AH323" s="280">
        <f t="shared" si="410"/>
        <v>74.040000000000006</v>
      </c>
      <c r="AI323" s="281">
        <f t="shared" si="411"/>
        <v>4.6275000000000004</v>
      </c>
      <c r="AJ323" s="282">
        <f t="shared" si="412"/>
        <v>2660.8125</v>
      </c>
      <c r="AK323" s="287">
        <f>Tabla14[[#This Row],[Cajas por Personas]]</f>
        <v>0</v>
      </c>
      <c r="AL323" s="288">
        <f>Tabla14[[#This Row],[Valor Precorte Pesona]]</f>
        <v>0</v>
      </c>
      <c r="AM323" s="294">
        <f>Tabla14[[#This Row],[Personas Precorte]]</f>
        <v>0</v>
      </c>
      <c r="AN323" s="308">
        <f>Tabla14[[#This Row],[Valor Precorte Pesona Precorte]]*Tabla14[[#This Row],[Perzonas Precorte]]</f>
        <v>0</v>
      </c>
      <c r="AO323" s="287">
        <f>Tabla14[[#This Row],[Cajas por Personas2]]</f>
        <v>32.125</v>
      </c>
      <c r="AP323" s="288">
        <f>Tabla14[[#This Row],[Valor Embarque Pesona]]</f>
        <v>57825</v>
      </c>
      <c r="AQ323" s="295">
        <f>Tabla14[[#This Row],[Personas Precorte2]]</f>
        <v>16</v>
      </c>
      <c r="AR323" s="296">
        <f>Tabla14[[#This Row],[Valor Embarque Pesona3]]*Tabla14[[#This Row],[Perzona Primera]]</f>
        <v>925200</v>
      </c>
      <c r="AS323" s="287">
        <f>Tabla14[[#This Row],[Columna2]]</f>
        <v>0</v>
      </c>
      <c r="AT323" s="288">
        <f>Tabla14[[#This Row],[Columna1]]</f>
        <v>0</v>
      </c>
      <c r="AU323" s="302">
        <f>Tabla14[[#This Row],[Personas Intervienen]]</f>
        <v>0</v>
      </c>
      <c r="AV323" s="297">
        <f>Tabla14[[#This Row],[Valor Embarque Pesona5]]*Tabla14[[#This Row],[Presonas Segunda]]</f>
        <v>0</v>
      </c>
      <c r="AW323" s="287">
        <f>Tabla14[[#This Row],[Bolsas Por Personas]]</f>
        <v>4.6275000000000004</v>
      </c>
      <c r="AX323" s="288">
        <f>Tabla14[[#This Row],[Valor bolsas Pesona]]</f>
        <v>2660.8125</v>
      </c>
      <c r="AY323" s="309">
        <f>Tabla14[[#This Row],[Personas13]]</f>
        <v>16</v>
      </c>
      <c r="AZ323" s="310">
        <f>Tabla14[[#This Row],[Valor bolsas Pesona2]]*Tabla14[[#This Row],[Personas Rechazo]]</f>
        <v>42573</v>
      </c>
      <c r="BA323" s="311">
        <f>+Tabla14[[#This Row],[Total Valor Segunda]]+Tabla14[[#This Row],[Total Valor Primera]]+Tabla14[[#This Row],[Total Valor Precorte]]</f>
        <v>925200</v>
      </c>
      <c r="BB323" s="292">
        <f>Tabla14[[#This Row],[Valor bolsas Pesona2]]+Tabla14[[#This Row],[Valor Embarque Pesona3]]</f>
        <v>60485.8125</v>
      </c>
      <c r="BC323" s="332">
        <v>60500</v>
      </c>
      <c r="BD323" s="292">
        <f>Tabla14[[#This Row],[VALOR GANADO]]-Tabla14[[#This Row],[REAJUSTADO]]</f>
        <v>-14.1875</v>
      </c>
      <c r="BE323" s="250">
        <f>Tabla14[[#This Row],[CUANTO SE REAJUSTA]]*Tabla14[[#This Row],[Personas Rechazo]]</f>
        <v>-227</v>
      </c>
      <c r="BF323" s="250">
        <f>Tabla14[[#This Row],[REAJUSTADO]]/25000</f>
        <v>2.42</v>
      </c>
      <c r="BG323" s="302">
        <f>Tabla14[[#This Row],[REAJUSTADO]]*Tabla14[[#This Row],[Personas Rechazo]]</f>
        <v>968000</v>
      </c>
      <c r="BH323" s="292" t="str">
        <f>Tabla14[[#This Row],[Finca]]</f>
        <v>San Pedro</v>
      </c>
      <c r="BJ323" s="332">
        <f>Tabla14[[#This Row],[Numero de Ocacionales]]*Tabla14[[#This Row],[REAJUSTADO]]</f>
        <v>0</v>
      </c>
      <c r="BK323" s="332"/>
      <c r="BL323" s="332"/>
      <c r="BM323" s="332">
        <f>+Tabla14[[#This Row],[CUANTO SE REAJUSTA]]*3</f>
        <v>-42.5625</v>
      </c>
    </row>
    <row r="324" spans="3:65" x14ac:dyDescent="0.25">
      <c r="C324" s="515">
        <v>45013</v>
      </c>
      <c r="D324" s="507">
        <f>YEAR(Tabla14[[#This Row],[Fecha]])</f>
        <v>2023</v>
      </c>
      <c r="E324" s="516">
        <f>IF(Tabla14[[#This Row],[Fecha]]&gt;0,_xlfn.ISOWEEKNUM(Tabla14[[#This Row],[Fecha]]),0)</f>
        <v>13</v>
      </c>
      <c r="F324" s="283">
        <v>105</v>
      </c>
      <c r="G324" s="275" t="s">
        <v>247</v>
      </c>
      <c r="H324" s="325" t="str">
        <f>_xlfn.XLOOKUP(Tabla14[[#This Row],[Codigo Finca]],Tabla4[Codigo Finca],Tabla4[Nombre Finca],"")</f>
        <v>Uveros</v>
      </c>
      <c r="I324" s="277">
        <f>_xlfn.XLOOKUP(Tabla14[[#This Row],[Codigo Finca]],Tabla4[Codigo Finca],Tabla4[Precio Caja],0)</f>
        <v>1800</v>
      </c>
      <c r="J324" s="277">
        <f>_xlfn.XLOOKUP(Tabla14[[#This Row],[Codigo Finca]],Tabla4[Codigo Finca],Tabla4[Precio Caja Segunda],0)</f>
        <v>1150</v>
      </c>
      <c r="K324" s="277">
        <f>_xlfn.XLOOKUP(Tabla14[[#This Row],[Codigo Finca]],Tabla4[Codigo Finca],Tabla4[Precio Rechazo],0)</f>
        <v>575</v>
      </c>
      <c r="L324" s="277">
        <f t="shared" si="400"/>
        <v>550</v>
      </c>
      <c r="M324" s="278">
        <f t="shared" si="401"/>
        <v>5.2380952380952381</v>
      </c>
      <c r="N324" s="283"/>
      <c r="O324" s="279"/>
      <c r="P324" s="280">
        <f t="shared" si="402"/>
        <v>0</v>
      </c>
      <c r="Q324" s="281">
        <f t="shared" si="403"/>
        <v>0</v>
      </c>
      <c r="R324" s="282">
        <f t="shared" si="404"/>
        <v>0</v>
      </c>
      <c r="S324" s="283">
        <v>550</v>
      </c>
      <c r="T324" s="275">
        <v>3</v>
      </c>
      <c r="U324" s="280">
        <f t="shared" si="405"/>
        <v>105</v>
      </c>
      <c r="V324" s="281">
        <f t="shared" si="406"/>
        <v>35</v>
      </c>
      <c r="W324" s="282">
        <f t="shared" si="407"/>
        <v>63000</v>
      </c>
      <c r="X324" s="283"/>
      <c r="Y324" s="275"/>
      <c r="Z324" s="280">
        <f>Tabla14[[#This Row],[Cajas Segunda]]</f>
        <v>0</v>
      </c>
      <c r="AA324" s="281">
        <f t="shared" si="408"/>
        <v>0</v>
      </c>
      <c r="AB324" s="284">
        <f t="shared" si="409"/>
        <v>0</v>
      </c>
      <c r="AC324" s="285"/>
      <c r="AD324" s="286">
        <v>839</v>
      </c>
      <c r="AE324" s="286"/>
      <c r="AF324" s="286"/>
      <c r="AG324" s="286">
        <v>3</v>
      </c>
      <c r="AH324" s="280">
        <f t="shared" si="410"/>
        <v>33.56</v>
      </c>
      <c r="AI324" s="281">
        <f t="shared" si="411"/>
        <v>11.186666666666667</v>
      </c>
      <c r="AJ324" s="282">
        <f t="shared" si="412"/>
        <v>6432.3333333333339</v>
      </c>
      <c r="AK324" s="287">
        <f>Tabla14[[#This Row],[Cajas por Personas]]</f>
        <v>0</v>
      </c>
      <c r="AL324" s="288">
        <f>Tabla14[[#This Row],[Valor Precorte Pesona]]</f>
        <v>0</v>
      </c>
      <c r="AM324" s="294">
        <f>Tabla14[[#This Row],[Personas Precorte]]</f>
        <v>0</v>
      </c>
      <c r="AN324" s="308">
        <f>Tabla14[[#This Row],[Valor Precorte Pesona Precorte]]*Tabla14[[#This Row],[Perzonas Precorte]]</f>
        <v>0</v>
      </c>
      <c r="AO324" s="287">
        <f>Tabla14[[#This Row],[Cajas por Personas2]]</f>
        <v>35</v>
      </c>
      <c r="AP324" s="288">
        <f>Tabla14[[#This Row],[Valor Embarque Pesona]]</f>
        <v>63000</v>
      </c>
      <c r="AQ324" s="295">
        <f>Tabla14[[#This Row],[Personas Precorte2]]</f>
        <v>3</v>
      </c>
      <c r="AR324" s="296">
        <f>Tabla14[[#This Row],[Valor Embarque Pesona3]]*Tabla14[[#This Row],[Perzona Primera]]</f>
        <v>189000</v>
      </c>
      <c r="AS324" s="287">
        <f>Tabla14[[#This Row],[Columna2]]</f>
        <v>0</v>
      </c>
      <c r="AT324" s="288">
        <f>Tabla14[[#This Row],[Columna1]]</f>
        <v>0</v>
      </c>
      <c r="AU324" s="302">
        <f>Tabla14[[#This Row],[Personas Intervienen]]</f>
        <v>0</v>
      </c>
      <c r="AV324" s="297">
        <f>Tabla14[[#This Row],[Valor Embarque Pesona5]]*Tabla14[[#This Row],[Presonas Segunda]]</f>
        <v>0</v>
      </c>
      <c r="AW324" s="287">
        <f>Tabla14[[#This Row],[Bolsas Por Personas]]</f>
        <v>11.186666666666667</v>
      </c>
      <c r="AX324" s="288">
        <f>Tabla14[[#This Row],[Valor bolsas Pesona]]</f>
        <v>6432.3333333333339</v>
      </c>
      <c r="AY324" s="309">
        <f>Tabla14[[#This Row],[Personas13]]</f>
        <v>3</v>
      </c>
      <c r="AZ324" s="310">
        <f>Tabla14[[#This Row],[Valor bolsas Pesona2]]*Tabla14[[#This Row],[Personas Rechazo]]</f>
        <v>19297</v>
      </c>
      <c r="BA324" s="311">
        <f>+Tabla14[[#This Row],[Total Valor Segunda]]+Tabla14[[#This Row],[Total Valor Primera]]+Tabla14[[#This Row],[Total Valor Precorte]]</f>
        <v>189000</v>
      </c>
      <c r="BB324" s="292">
        <f>Tabla14[[#This Row],[Valor bolsas Pesona2]]+Tabla14[[#This Row],[Valor Embarque Pesona3]]</f>
        <v>69432.333333333328</v>
      </c>
      <c r="BC324" s="332">
        <v>69500</v>
      </c>
      <c r="BD324" s="292">
        <f>Tabla14[[#This Row],[VALOR GANADO]]-Tabla14[[#This Row],[REAJUSTADO]]</f>
        <v>-67.666666666671517</v>
      </c>
      <c r="BE324" s="250">
        <f>Tabla14[[#This Row],[CUANTO SE REAJUSTA]]*Tabla14[[#This Row],[Personas Rechazo]]</f>
        <v>-203.00000000001455</v>
      </c>
      <c r="BF324" s="250">
        <f>Tabla14[[#This Row],[REAJUSTADO]]/25000</f>
        <v>2.78</v>
      </c>
      <c r="BG324" s="302">
        <f>Tabla14[[#This Row],[REAJUSTADO]]*Tabla14[[#This Row],[Personas Rechazo]]</f>
        <v>208500</v>
      </c>
      <c r="BH324" s="292" t="str">
        <f>Tabla14[[#This Row],[Finca]]</f>
        <v>Uveros</v>
      </c>
      <c r="BJ324" s="332">
        <f>Tabla14[[#This Row],[Numero de Ocacionales]]*Tabla14[[#This Row],[REAJUSTADO]]</f>
        <v>0</v>
      </c>
      <c r="BK324" s="332"/>
      <c r="BL324" s="332"/>
      <c r="BM324" s="332">
        <f>+Tabla14[[#This Row],[CUANTO SE REAJUSTA]]*3</f>
        <v>-203.00000000001455</v>
      </c>
    </row>
    <row r="325" spans="3:65" x14ac:dyDescent="0.25">
      <c r="C325" s="515">
        <v>45014</v>
      </c>
      <c r="D325" s="507">
        <f>YEAR(Tabla14[[#This Row],[Fecha]])</f>
        <v>2023</v>
      </c>
      <c r="E325" s="516">
        <f>IF(Tabla14[[#This Row],[Fecha]]&gt;0,_xlfn.ISOWEEKNUM(Tabla14[[#This Row],[Fecha]]),0)</f>
        <v>13</v>
      </c>
      <c r="F325" s="283">
        <v>81</v>
      </c>
      <c r="G325" s="275" t="s">
        <v>248</v>
      </c>
      <c r="H325" s="325" t="str">
        <f>_xlfn.XLOOKUP(Tabla14[[#This Row],[Codigo Finca]],Tabla4[Codigo Finca],Tabla4[Nombre Finca],"")</f>
        <v>Damaquiel</v>
      </c>
      <c r="I325" s="277">
        <f>_xlfn.XLOOKUP(Tabla14[[#This Row],[Codigo Finca]],Tabla4[Codigo Finca],Tabla4[Precio Caja],0)</f>
        <v>1800</v>
      </c>
      <c r="J325" s="277">
        <f>_xlfn.XLOOKUP(Tabla14[[#This Row],[Codigo Finca]],Tabla4[Codigo Finca],Tabla4[Precio Caja Segunda],0)</f>
        <v>1150</v>
      </c>
      <c r="K325" s="277">
        <f>_xlfn.XLOOKUP(Tabla14[[#This Row],[Codigo Finca]],Tabla4[Codigo Finca],Tabla4[Precio Rechazo],0)</f>
        <v>575</v>
      </c>
      <c r="L325" s="277">
        <f t="shared" si="400"/>
        <v>488</v>
      </c>
      <c r="M325" s="278">
        <f t="shared" si="401"/>
        <v>6.0246913580246915</v>
      </c>
      <c r="N325" s="283"/>
      <c r="O325" s="279"/>
      <c r="P325" s="280">
        <f t="shared" si="402"/>
        <v>0</v>
      </c>
      <c r="Q325" s="281">
        <f t="shared" si="403"/>
        <v>0</v>
      </c>
      <c r="R325" s="282">
        <f t="shared" si="404"/>
        <v>0</v>
      </c>
      <c r="S325" s="283">
        <v>488</v>
      </c>
      <c r="T325" s="275">
        <v>4</v>
      </c>
      <c r="U325" s="280">
        <f t="shared" si="405"/>
        <v>81</v>
      </c>
      <c r="V325" s="281">
        <f t="shared" si="406"/>
        <v>20.25</v>
      </c>
      <c r="W325" s="282">
        <f t="shared" si="407"/>
        <v>36450</v>
      </c>
      <c r="X325" s="283"/>
      <c r="Y325" s="275"/>
      <c r="Z325" s="280">
        <f>Tabla14[[#This Row],[Cajas Segunda]]</f>
        <v>0</v>
      </c>
      <c r="AA325" s="281">
        <f t="shared" si="408"/>
        <v>0</v>
      </c>
      <c r="AB325" s="284">
        <f t="shared" si="409"/>
        <v>0</v>
      </c>
      <c r="AC325" s="285"/>
      <c r="AD325" s="286">
        <v>732</v>
      </c>
      <c r="AE325" s="286"/>
      <c r="AF325" s="286"/>
      <c r="AG325" s="286">
        <v>4</v>
      </c>
      <c r="AH325" s="280">
        <f t="shared" si="410"/>
        <v>29.28</v>
      </c>
      <c r="AI325" s="281">
        <f t="shared" si="411"/>
        <v>7.32</v>
      </c>
      <c r="AJ325" s="282">
        <f t="shared" si="412"/>
        <v>4209</v>
      </c>
      <c r="AK325" s="287">
        <f>Tabla14[[#This Row],[Cajas por Personas]]</f>
        <v>0</v>
      </c>
      <c r="AL325" s="288">
        <f>Tabla14[[#This Row],[Valor Precorte Pesona]]</f>
        <v>0</v>
      </c>
      <c r="AM325" s="294">
        <f>Tabla14[[#This Row],[Personas Precorte]]</f>
        <v>0</v>
      </c>
      <c r="AN325" s="308">
        <f>Tabla14[[#This Row],[Valor Precorte Pesona Precorte]]*Tabla14[[#This Row],[Perzonas Precorte]]</f>
        <v>0</v>
      </c>
      <c r="AO325" s="287">
        <f>Tabla14[[#This Row],[Cajas por Personas2]]</f>
        <v>20.25</v>
      </c>
      <c r="AP325" s="288">
        <f>Tabla14[[#This Row],[Valor Embarque Pesona]]</f>
        <v>36450</v>
      </c>
      <c r="AQ325" s="295">
        <f>Tabla14[[#This Row],[Personas Precorte2]]</f>
        <v>4</v>
      </c>
      <c r="AR325" s="296">
        <f>Tabla14[[#This Row],[Valor Embarque Pesona3]]*Tabla14[[#This Row],[Perzona Primera]]</f>
        <v>145800</v>
      </c>
      <c r="AS325" s="287">
        <f>Tabla14[[#This Row],[Columna2]]</f>
        <v>0</v>
      </c>
      <c r="AT325" s="288">
        <f>Tabla14[[#This Row],[Columna1]]</f>
        <v>0</v>
      </c>
      <c r="AU325" s="302">
        <f>Tabla14[[#This Row],[Personas Intervienen]]</f>
        <v>0</v>
      </c>
      <c r="AV325" s="297">
        <f>Tabla14[[#This Row],[Valor Embarque Pesona5]]*Tabla14[[#This Row],[Presonas Segunda]]</f>
        <v>0</v>
      </c>
      <c r="AW325" s="287">
        <f>Tabla14[[#This Row],[Bolsas Por Personas]]</f>
        <v>7.32</v>
      </c>
      <c r="AX325" s="288">
        <f>Tabla14[[#This Row],[Valor bolsas Pesona]]</f>
        <v>4209</v>
      </c>
      <c r="AY325" s="309">
        <f>Tabla14[[#This Row],[Personas13]]</f>
        <v>4</v>
      </c>
      <c r="AZ325" s="310">
        <f>Tabla14[[#This Row],[Valor bolsas Pesona2]]*Tabla14[[#This Row],[Personas Rechazo]]</f>
        <v>16836</v>
      </c>
      <c r="BA325" s="311">
        <f>+Tabla14[[#This Row],[Total Valor Segunda]]+Tabla14[[#This Row],[Total Valor Primera]]+Tabla14[[#This Row],[Total Valor Precorte]]</f>
        <v>145800</v>
      </c>
      <c r="BB325" s="292">
        <f>Tabla14[[#This Row],[Valor bolsas Pesona2]]+Tabla14[[#This Row],[Valor Embarque Pesona3]]</f>
        <v>40659</v>
      </c>
      <c r="BC325" s="332">
        <v>40660</v>
      </c>
      <c r="BD325" s="292">
        <f>Tabla14[[#This Row],[VALOR GANADO]]-Tabla14[[#This Row],[REAJUSTADO]]</f>
        <v>-1</v>
      </c>
      <c r="BE325" s="250">
        <f>Tabla14[[#This Row],[CUANTO SE REAJUSTA]]*Tabla14[[#This Row],[Personas Rechazo]]</f>
        <v>-4</v>
      </c>
      <c r="BF325" s="250">
        <f>Tabla14[[#This Row],[REAJUSTADO]]/25000</f>
        <v>1.6264000000000001</v>
      </c>
      <c r="BG325" s="302">
        <f>Tabla14[[#This Row],[REAJUSTADO]]*Tabla14[[#This Row],[Personas Rechazo]]</f>
        <v>162640</v>
      </c>
      <c r="BH325" s="292" t="str">
        <f>Tabla14[[#This Row],[Finca]]</f>
        <v>Damaquiel</v>
      </c>
      <c r="BJ325" s="332">
        <f>Tabla14[[#This Row],[Numero de Ocacionales]]*Tabla14[[#This Row],[REAJUSTADO]]</f>
        <v>0</v>
      </c>
      <c r="BK325" s="332"/>
      <c r="BL325" s="332"/>
      <c r="BM325" s="332">
        <f>+Tabla14[[#This Row],[CUANTO SE REAJUSTA]]*3</f>
        <v>-3</v>
      </c>
    </row>
    <row r="326" spans="3:65" x14ac:dyDescent="0.25">
      <c r="C326" s="515">
        <v>45014</v>
      </c>
      <c r="D326" s="507">
        <f>YEAR(Tabla14[[#This Row],[Fecha]])</f>
        <v>2023</v>
      </c>
      <c r="E326" s="516">
        <f>IF(Tabla14[[#This Row],[Fecha]]&gt;0,_xlfn.ISOWEEKNUM(Tabla14[[#This Row],[Fecha]]),0)</f>
        <v>13</v>
      </c>
      <c r="F326" s="283">
        <v>199</v>
      </c>
      <c r="G326" s="275" t="s">
        <v>251</v>
      </c>
      <c r="H326" s="325" t="str">
        <f>_xlfn.XLOOKUP(Tabla14[[#This Row],[Codigo Finca]],Tabla4[Codigo Finca],Tabla4[Nombre Finca],"")</f>
        <v>Pedrito</v>
      </c>
      <c r="I326" s="277">
        <f>_xlfn.XLOOKUP(Tabla14[[#This Row],[Codigo Finca]],Tabla4[Codigo Finca],Tabla4[Precio Caja],0)</f>
        <v>1800</v>
      </c>
      <c r="J326" s="277">
        <f>_xlfn.XLOOKUP(Tabla14[[#This Row],[Codigo Finca]],Tabla4[Codigo Finca],Tabla4[Precio Caja Segunda],0)</f>
        <v>1150</v>
      </c>
      <c r="K326" s="277">
        <f>_xlfn.XLOOKUP(Tabla14[[#This Row],[Codigo Finca]],Tabla4[Codigo Finca],Tabla4[Precio Rechazo],0)</f>
        <v>575</v>
      </c>
      <c r="L326" s="277">
        <f t="shared" si="400"/>
        <v>998</v>
      </c>
      <c r="M326" s="278">
        <f t="shared" si="401"/>
        <v>5.0150753768844218</v>
      </c>
      <c r="N326" s="283"/>
      <c r="O326" s="279"/>
      <c r="P326" s="280">
        <f t="shared" si="402"/>
        <v>0</v>
      </c>
      <c r="Q326" s="281">
        <f t="shared" si="403"/>
        <v>0</v>
      </c>
      <c r="R326" s="282">
        <f t="shared" si="404"/>
        <v>0</v>
      </c>
      <c r="S326" s="283">
        <v>998</v>
      </c>
      <c r="T326" s="275">
        <v>13</v>
      </c>
      <c r="U326" s="280">
        <f t="shared" si="405"/>
        <v>199</v>
      </c>
      <c r="V326" s="281">
        <f t="shared" si="406"/>
        <v>15.307692307692308</v>
      </c>
      <c r="W326" s="282">
        <f t="shared" si="407"/>
        <v>27553.846153846152</v>
      </c>
      <c r="X326" s="283"/>
      <c r="Y326" s="275"/>
      <c r="Z326" s="280">
        <f>Tabla14[[#This Row],[Cajas Segunda]]</f>
        <v>0</v>
      </c>
      <c r="AA326" s="281">
        <f t="shared" si="408"/>
        <v>0</v>
      </c>
      <c r="AB326" s="284">
        <f t="shared" si="409"/>
        <v>0</v>
      </c>
      <c r="AC326" s="285"/>
      <c r="AD326" s="286">
        <v>998</v>
      </c>
      <c r="AE326" s="286"/>
      <c r="AF326" s="286"/>
      <c r="AG326" s="286">
        <v>13</v>
      </c>
      <c r="AH326" s="280">
        <f t="shared" si="410"/>
        <v>39.92</v>
      </c>
      <c r="AI326" s="281">
        <f t="shared" si="411"/>
        <v>3.0707692307692307</v>
      </c>
      <c r="AJ326" s="282">
        <f t="shared" si="412"/>
        <v>1765.6923076923076</v>
      </c>
      <c r="AK326" s="287">
        <f>Tabla14[[#This Row],[Cajas por Personas]]</f>
        <v>0</v>
      </c>
      <c r="AL326" s="288">
        <f>Tabla14[[#This Row],[Valor Precorte Pesona]]</f>
        <v>0</v>
      </c>
      <c r="AM326" s="294">
        <f>Tabla14[[#This Row],[Personas Precorte]]</f>
        <v>0</v>
      </c>
      <c r="AN326" s="308">
        <f>Tabla14[[#This Row],[Valor Precorte Pesona Precorte]]*Tabla14[[#This Row],[Perzonas Precorte]]</f>
        <v>0</v>
      </c>
      <c r="AO326" s="287">
        <f>Tabla14[[#This Row],[Cajas por Personas2]]</f>
        <v>15.307692307692308</v>
      </c>
      <c r="AP326" s="288">
        <f>Tabla14[[#This Row],[Valor Embarque Pesona]]</f>
        <v>27553.846153846152</v>
      </c>
      <c r="AQ326" s="295">
        <f>Tabla14[[#This Row],[Personas Precorte2]]</f>
        <v>13</v>
      </c>
      <c r="AR326" s="296">
        <f>Tabla14[[#This Row],[Valor Embarque Pesona3]]*Tabla14[[#This Row],[Perzona Primera]]</f>
        <v>358200</v>
      </c>
      <c r="AS326" s="287">
        <f>Tabla14[[#This Row],[Columna2]]</f>
        <v>0</v>
      </c>
      <c r="AT326" s="288">
        <f>Tabla14[[#This Row],[Columna1]]</f>
        <v>0</v>
      </c>
      <c r="AU326" s="302">
        <f>Tabla14[[#This Row],[Personas Intervienen]]</f>
        <v>0</v>
      </c>
      <c r="AV326" s="297">
        <f>Tabla14[[#This Row],[Valor Embarque Pesona5]]*Tabla14[[#This Row],[Presonas Segunda]]</f>
        <v>0</v>
      </c>
      <c r="AW326" s="287">
        <f>Tabla14[[#This Row],[Bolsas Por Personas]]</f>
        <v>3.0707692307692307</v>
      </c>
      <c r="AX326" s="288">
        <f>Tabla14[[#This Row],[Valor bolsas Pesona]]</f>
        <v>1765.6923076923076</v>
      </c>
      <c r="AY326" s="309">
        <f>Tabla14[[#This Row],[Personas13]]</f>
        <v>13</v>
      </c>
      <c r="AZ326" s="310">
        <f>Tabla14[[#This Row],[Valor bolsas Pesona2]]*Tabla14[[#This Row],[Personas Rechazo]]</f>
        <v>22954</v>
      </c>
      <c r="BA326" s="311">
        <f>+Tabla14[[#This Row],[Total Valor Segunda]]+Tabla14[[#This Row],[Total Valor Primera]]+Tabla14[[#This Row],[Total Valor Precorte]]</f>
        <v>358200</v>
      </c>
      <c r="BB326" s="292">
        <f>Tabla14[[#This Row],[Valor bolsas Pesona2]]+Tabla14[[#This Row],[Valor Embarque Pesona3]]</f>
        <v>29319.538461538461</v>
      </c>
      <c r="BC326" s="332">
        <v>30000</v>
      </c>
      <c r="BD326" s="292">
        <f>Tabla14[[#This Row],[VALOR GANADO]]-Tabla14[[#This Row],[REAJUSTADO]]</f>
        <v>-680.46153846153902</v>
      </c>
      <c r="BE326" s="250">
        <f>Tabla14[[#This Row],[CUANTO SE REAJUSTA]]*Tabla14[[#This Row],[Personas Rechazo]]</f>
        <v>-8846.0000000000073</v>
      </c>
      <c r="BF326" s="250">
        <f>Tabla14[[#This Row],[REAJUSTADO]]/25000</f>
        <v>1.2</v>
      </c>
      <c r="BG326" s="302">
        <f>Tabla14[[#This Row],[REAJUSTADO]]*Tabla14[[#This Row],[Personas Rechazo]]</f>
        <v>390000</v>
      </c>
      <c r="BH326" s="292" t="str">
        <f>Tabla14[[#This Row],[Finca]]</f>
        <v>Pedrito</v>
      </c>
      <c r="BJ326" s="332">
        <f>Tabla14[[#This Row],[Numero de Ocacionales]]*Tabla14[[#This Row],[REAJUSTADO]]</f>
        <v>0</v>
      </c>
      <c r="BK326" s="332"/>
      <c r="BL326" s="332"/>
      <c r="BM326" s="332">
        <f>+Tabla14[[#This Row],[CUANTO SE REAJUSTA]]*3</f>
        <v>-2041.3846153846171</v>
      </c>
    </row>
    <row r="327" spans="3:65" x14ac:dyDescent="0.25">
      <c r="C327" s="515">
        <v>45014</v>
      </c>
      <c r="D327" s="507">
        <f>YEAR(Tabla14[[#This Row],[Fecha]])</f>
        <v>2023</v>
      </c>
      <c r="E327" s="516">
        <f>IF(Tabla14[[#This Row],[Fecha]]&gt;0,_xlfn.ISOWEEKNUM(Tabla14[[#This Row],[Fecha]]),0)</f>
        <v>13</v>
      </c>
      <c r="F327" s="283">
        <v>44</v>
      </c>
      <c r="G327" s="275" t="s">
        <v>249</v>
      </c>
      <c r="H327" s="325" t="str">
        <f>_xlfn.XLOOKUP(Tabla14[[#This Row],[Codigo Finca]],Tabla4[Codigo Finca],Tabla4[Nombre Finca],"")</f>
        <v>San Pedro</v>
      </c>
      <c r="I327" s="277">
        <f>_xlfn.XLOOKUP(Tabla14[[#This Row],[Codigo Finca]],Tabla4[Codigo Finca],Tabla4[Precio Caja],0)</f>
        <v>2000</v>
      </c>
      <c r="J327" s="277">
        <f>_xlfn.XLOOKUP(Tabla14[[#This Row],[Codigo Finca]],Tabla4[Codigo Finca],Tabla4[Precio Caja Segunda],0)</f>
        <v>1150</v>
      </c>
      <c r="K327" s="277">
        <f>_xlfn.XLOOKUP(Tabla14[[#This Row],[Codigo Finca]],Tabla4[Codigo Finca],Tabla4[Precio Rechazo],0)</f>
        <v>675</v>
      </c>
      <c r="L327" s="277">
        <f t="shared" si="400"/>
        <v>170</v>
      </c>
      <c r="M327" s="278">
        <f t="shared" si="401"/>
        <v>3.8636363636363638</v>
      </c>
      <c r="N327" s="283"/>
      <c r="O327" s="279"/>
      <c r="P327" s="280">
        <f t="shared" si="402"/>
        <v>0</v>
      </c>
      <c r="Q327" s="281">
        <f t="shared" si="403"/>
        <v>0</v>
      </c>
      <c r="R327" s="282">
        <f t="shared" si="404"/>
        <v>0</v>
      </c>
      <c r="S327" s="283">
        <v>170</v>
      </c>
      <c r="T327" s="275">
        <v>2</v>
      </c>
      <c r="U327" s="280">
        <f t="shared" si="405"/>
        <v>44</v>
      </c>
      <c r="V327" s="281">
        <f t="shared" si="406"/>
        <v>22</v>
      </c>
      <c r="W327" s="282">
        <f t="shared" si="407"/>
        <v>44000</v>
      </c>
      <c r="X327" s="283"/>
      <c r="Y327" s="275"/>
      <c r="Z327" s="280">
        <f>Tabla14[[#This Row],[Cajas Segunda]]</f>
        <v>0</v>
      </c>
      <c r="AA327" s="281">
        <f t="shared" si="408"/>
        <v>0</v>
      </c>
      <c r="AB327" s="284">
        <f t="shared" si="409"/>
        <v>0</v>
      </c>
      <c r="AC327" s="285"/>
      <c r="AD327" s="286">
        <v>1204</v>
      </c>
      <c r="AE327" s="286"/>
      <c r="AF327" s="286"/>
      <c r="AG327" s="286">
        <v>2</v>
      </c>
      <c r="AH327" s="280">
        <f t="shared" si="410"/>
        <v>48.16</v>
      </c>
      <c r="AI327" s="281">
        <f t="shared" si="411"/>
        <v>24.08</v>
      </c>
      <c r="AJ327" s="282">
        <f t="shared" si="412"/>
        <v>16253.999999999998</v>
      </c>
      <c r="AK327" s="287">
        <f>Tabla14[[#This Row],[Cajas por Personas]]</f>
        <v>0</v>
      </c>
      <c r="AL327" s="288">
        <f>Tabla14[[#This Row],[Valor Precorte Pesona]]</f>
        <v>0</v>
      </c>
      <c r="AM327" s="294">
        <f>Tabla14[[#This Row],[Personas Precorte]]</f>
        <v>0</v>
      </c>
      <c r="AN327" s="308">
        <f>Tabla14[[#This Row],[Valor Precorte Pesona Precorte]]*Tabla14[[#This Row],[Perzonas Precorte]]</f>
        <v>0</v>
      </c>
      <c r="AO327" s="287">
        <f>Tabla14[[#This Row],[Cajas por Personas2]]</f>
        <v>22</v>
      </c>
      <c r="AP327" s="288">
        <f>Tabla14[[#This Row],[Valor Embarque Pesona]]</f>
        <v>44000</v>
      </c>
      <c r="AQ327" s="295">
        <f>Tabla14[[#This Row],[Personas Precorte2]]</f>
        <v>2</v>
      </c>
      <c r="AR327" s="296">
        <f>Tabla14[[#This Row],[Valor Embarque Pesona3]]*Tabla14[[#This Row],[Perzona Primera]]</f>
        <v>88000</v>
      </c>
      <c r="AS327" s="287">
        <f>Tabla14[[#This Row],[Columna2]]</f>
        <v>0</v>
      </c>
      <c r="AT327" s="288">
        <f>Tabla14[[#This Row],[Columna1]]</f>
        <v>0</v>
      </c>
      <c r="AU327" s="302">
        <f>Tabla14[[#This Row],[Personas Intervienen]]</f>
        <v>0</v>
      </c>
      <c r="AV327" s="297">
        <f>Tabla14[[#This Row],[Valor Embarque Pesona5]]*Tabla14[[#This Row],[Presonas Segunda]]</f>
        <v>0</v>
      </c>
      <c r="AW327" s="287">
        <f>Tabla14[[#This Row],[Bolsas Por Personas]]</f>
        <v>24.08</v>
      </c>
      <c r="AX327" s="288">
        <f>Tabla14[[#This Row],[Valor bolsas Pesona]]</f>
        <v>16253.999999999998</v>
      </c>
      <c r="AY327" s="309">
        <f>Tabla14[[#This Row],[Personas13]]</f>
        <v>2</v>
      </c>
      <c r="AZ327" s="310">
        <f>Tabla14[[#This Row],[Valor bolsas Pesona2]]*Tabla14[[#This Row],[Personas Rechazo]]</f>
        <v>32507.999999999996</v>
      </c>
      <c r="BA327" s="311">
        <f>+Tabla14[[#This Row],[Total Valor Segunda]]+Tabla14[[#This Row],[Total Valor Primera]]+Tabla14[[#This Row],[Total Valor Precorte]]</f>
        <v>88000</v>
      </c>
      <c r="BB327" s="292">
        <f>Tabla14[[#This Row],[Valor bolsas Pesona2]]+Tabla14[[#This Row],[Valor Embarque Pesona3]]</f>
        <v>60254</v>
      </c>
      <c r="BC327" s="332">
        <v>60000</v>
      </c>
      <c r="BD327" s="292">
        <f>Tabla14[[#This Row],[VALOR GANADO]]-Tabla14[[#This Row],[REAJUSTADO]]</f>
        <v>254</v>
      </c>
      <c r="BE327" s="250">
        <f>Tabla14[[#This Row],[CUANTO SE REAJUSTA]]*Tabla14[[#This Row],[Personas Rechazo]]</f>
        <v>508</v>
      </c>
      <c r="BF327" s="250">
        <f>Tabla14[[#This Row],[REAJUSTADO]]/25000</f>
        <v>2.4</v>
      </c>
      <c r="BG327" s="302">
        <f>Tabla14[[#This Row],[REAJUSTADO]]*Tabla14[[#This Row],[Personas Rechazo]]</f>
        <v>120000</v>
      </c>
      <c r="BH327" s="292" t="str">
        <f>Tabla14[[#This Row],[Finca]]</f>
        <v>San Pedro</v>
      </c>
      <c r="BJ327" s="332">
        <f>Tabla14[[#This Row],[Numero de Ocacionales]]*Tabla14[[#This Row],[REAJUSTADO]]</f>
        <v>0</v>
      </c>
      <c r="BK327" s="332"/>
      <c r="BL327" s="332"/>
      <c r="BM327" s="332">
        <f>+Tabla14[[#This Row],[CUANTO SE REAJUSTA]]*3</f>
        <v>762</v>
      </c>
    </row>
    <row r="328" spans="3:65" x14ac:dyDescent="0.25">
      <c r="C328" s="515">
        <v>45019</v>
      </c>
      <c r="D328" s="507">
        <f>YEAR(Tabla14[[#This Row],[Fecha]])</f>
        <v>2023</v>
      </c>
      <c r="E328" s="516">
        <f>IF(Tabla14[[#This Row],[Fecha]]&gt;0,_xlfn.ISOWEEKNUM(Tabla14[[#This Row],[Fecha]]),0)</f>
        <v>14</v>
      </c>
      <c r="F328" s="283">
        <v>87</v>
      </c>
      <c r="G328" s="275" t="s">
        <v>250</v>
      </c>
      <c r="H328" s="325" t="str">
        <f>_xlfn.XLOOKUP(Tabla14[[#This Row],[Codigo Finca]],Tabla4[Codigo Finca],Tabla4[Nombre Finca],"")</f>
        <v>San Pedro</v>
      </c>
      <c r="I328" s="277">
        <f>_xlfn.XLOOKUP(Tabla14[[#This Row],[Codigo Finca]],Tabla4[Codigo Finca],Tabla4[Precio Caja],0)</f>
        <v>1800</v>
      </c>
      <c r="J328" s="277">
        <f>_xlfn.XLOOKUP(Tabla14[[#This Row],[Codigo Finca]],Tabla4[Codigo Finca],Tabla4[Precio Caja Segunda],0)</f>
        <v>1150</v>
      </c>
      <c r="K328" s="277">
        <f>_xlfn.XLOOKUP(Tabla14[[#This Row],[Codigo Finca]],Tabla4[Codigo Finca],Tabla4[Precio Rechazo],0)</f>
        <v>575</v>
      </c>
      <c r="L328" s="277">
        <f t="shared" si="400"/>
        <v>481</v>
      </c>
      <c r="M328" s="278">
        <f t="shared" si="401"/>
        <v>5.5287356321839081</v>
      </c>
      <c r="N328" s="283"/>
      <c r="O328" s="279"/>
      <c r="P328" s="280">
        <f t="shared" si="402"/>
        <v>0</v>
      </c>
      <c r="Q328" s="281">
        <f t="shared" si="403"/>
        <v>0</v>
      </c>
      <c r="R328" s="282">
        <f t="shared" si="404"/>
        <v>0</v>
      </c>
      <c r="S328" s="283">
        <v>481</v>
      </c>
      <c r="T328" s="275">
        <v>17</v>
      </c>
      <c r="U328" s="280">
        <f t="shared" si="405"/>
        <v>87</v>
      </c>
      <c r="V328" s="281">
        <f t="shared" si="406"/>
        <v>5.117647058823529</v>
      </c>
      <c r="W328" s="282">
        <f t="shared" si="407"/>
        <v>9211.7647058823532</v>
      </c>
      <c r="X328" s="283"/>
      <c r="Y328" s="275"/>
      <c r="Z328" s="280">
        <f>Tabla14[[#This Row],[Cajas Segunda]]</f>
        <v>0</v>
      </c>
      <c r="AA328" s="281">
        <f t="shared" si="408"/>
        <v>0</v>
      </c>
      <c r="AB328" s="284">
        <f t="shared" si="409"/>
        <v>0</v>
      </c>
      <c r="AC328" s="285"/>
      <c r="AD328" s="286">
        <v>462.5</v>
      </c>
      <c r="AE328" s="286"/>
      <c r="AF328" s="286"/>
      <c r="AG328" s="286">
        <v>17</v>
      </c>
      <c r="AH328" s="280">
        <f t="shared" si="410"/>
        <v>18.5</v>
      </c>
      <c r="AI328" s="281">
        <f t="shared" si="411"/>
        <v>1.088235294117647</v>
      </c>
      <c r="AJ328" s="282">
        <f t="shared" si="412"/>
        <v>625.73529411764696</v>
      </c>
      <c r="AK328" s="287">
        <f>Tabla14[[#This Row],[Cajas por Personas]]</f>
        <v>0</v>
      </c>
      <c r="AL328" s="288">
        <f>Tabla14[[#This Row],[Valor Precorte Pesona]]</f>
        <v>0</v>
      </c>
      <c r="AM328" s="294">
        <f>Tabla14[[#This Row],[Personas Precorte]]</f>
        <v>0</v>
      </c>
      <c r="AN328" s="308">
        <f>Tabla14[[#This Row],[Valor Precorte Pesona Precorte]]*Tabla14[[#This Row],[Perzonas Precorte]]</f>
        <v>0</v>
      </c>
      <c r="AO328" s="287">
        <f>Tabla14[[#This Row],[Cajas por Personas2]]</f>
        <v>5.117647058823529</v>
      </c>
      <c r="AP328" s="288">
        <f>Tabla14[[#This Row],[Valor Embarque Pesona]]</f>
        <v>9211.7647058823532</v>
      </c>
      <c r="AQ328" s="295">
        <f>Tabla14[[#This Row],[Personas Precorte2]]</f>
        <v>17</v>
      </c>
      <c r="AR328" s="296">
        <f>Tabla14[[#This Row],[Valor Embarque Pesona3]]*Tabla14[[#This Row],[Perzona Primera]]</f>
        <v>156600</v>
      </c>
      <c r="AS328" s="287">
        <f>Tabla14[[#This Row],[Columna2]]</f>
        <v>0</v>
      </c>
      <c r="AT328" s="288">
        <f>Tabla14[[#This Row],[Columna1]]</f>
        <v>0</v>
      </c>
      <c r="AU328" s="302">
        <f>Tabla14[[#This Row],[Personas Intervienen]]</f>
        <v>0</v>
      </c>
      <c r="AV328" s="297">
        <f>Tabla14[[#This Row],[Valor Embarque Pesona5]]*Tabla14[[#This Row],[Presonas Segunda]]</f>
        <v>0</v>
      </c>
      <c r="AW328" s="287">
        <f>Tabla14[[#This Row],[Bolsas Por Personas]]</f>
        <v>1.088235294117647</v>
      </c>
      <c r="AX328" s="288">
        <f>Tabla14[[#This Row],[Valor bolsas Pesona]]</f>
        <v>625.73529411764696</v>
      </c>
      <c r="AY328" s="309">
        <f>Tabla14[[#This Row],[Personas13]]</f>
        <v>17</v>
      </c>
      <c r="AZ328" s="310">
        <f>Tabla14[[#This Row],[Valor bolsas Pesona2]]*Tabla14[[#This Row],[Personas Rechazo]]</f>
        <v>10637.499999999998</v>
      </c>
      <c r="BA328" s="311">
        <f>+Tabla14[[#This Row],[Total Valor Segunda]]+Tabla14[[#This Row],[Total Valor Primera]]+Tabla14[[#This Row],[Total Valor Precorte]]</f>
        <v>156600</v>
      </c>
      <c r="BB328" s="292">
        <f>Tabla14[[#This Row],[Valor bolsas Pesona2]]+Tabla14[[#This Row],[Valor Embarque Pesona3]]</f>
        <v>9837.5</v>
      </c>
      <c r="BC328" s="332">
        <v>37250</v>
      </c>
      <c r="BD328" s="292">
        <f>Tabla14[[#This Row],[VALOR GANADO]]-Tabla14[[#This Row],[REAJUSTADO]]</f>
        <v>-27412.5</v>
      </c>
      <c r="BE328" s="250">
        <f>Tabla14[[#This Row],[CUANTO SE REAJUSTA]]*Tabla14[[#This Row],[Personas Rechazo]]</f>
        <v>-466012.5</v>
      </c>
      <c r="BF328" s="250">
        <f>Tabla14[[#This Row],[REAJUSTADO]]/25000</f>
        <v>1.49</v>
      </c>
      <c r="BG328" s="302">
        <f>Tabla14[[#This Row],[REAJUSTADO]]*Tabla14[[#This Row],[Personas Rechazo]]</f>
        <v>633250</v>
      </c>
      <c r="BH328" s="292" t="str">
        <f>Tabla14[[#This Row],[Finca]]</f>
        <v>San Pedro</v>
      </c>
      <c r="BJ328" s="332">
        <f>Tabla14[[#This Row],[Numero de Ocacionales]]*Tabla14[[#This Row],[REAJUSTADO]]</f>
        <v>0</v>
      </c>
      <c r="BK328" s="332"/>
      <c r="BL328" s="332"/>
      <c r="BM328" s="332">
        <f>+Tabla14[[#This Row],[CUANTO SE REAJUSTA]]*3</f>
        <v>-82237.5</v>
      </c>
    </row>
    <row r="329" spans="3:65" x14ac:dyDescent="0.25">
      <c r="C329" s="517">
        <v>45019</v>
      </c>
      <c r="D329" s="507">
        <f>YEAR(Tabla14[[#This Row],[Fecha]])</f>
        <v>2023</v>
      </c>
      <c r="E329" s="518">
        <f>IF(Tabla14[[#This Row],[Fecha]]&gt;0,_xlfn.ISOWEEKNUM(Tabla14[[#This Row],[Fecha]]),0)</f>
        <v>14</v>
      </c>
      <c r="F329" s="269">
        <v>57</v>
      </c>
      <c r="G329" s="268" t="s">
        <v>250</v>
      </c>
      <c r="H329" s="266" t="str">
        <f>_xlfn.XLOOKUP(Tabla14[[#This Row],[Codigo Finca]],Tabla4[Codigo Finca],Tabla4[Nombre Finca],"")</f>
        <v>San Pedro</v>
      </c>
      <c r="I329" s="262">
        <f>_xlfn.XLOOKUP(Tabla14[[#This Row],[Codigo Finca]],Tabla4[Codigo Finca],Tabla4[Precio Caja],0)</f>
        <v>1800</v>
      </c>
      <c r="J329" s="262">
        <f>_xlfn.XLOOKUP(Tabla14[[#This Row],[Codigo Finca]],Tabla4[Codigo Finca],Tabla4[Precio Caja Segunda],0)</f>
        <v>1150</v>
      </c>
      <c r="K329" s="262">
        <f>_xlfn.XLOOKUP(Tabla14[[#This Row],[Codigo Finca]],Tabla4[Codigo Finca],Tabla4[Precio Rechazo],0)</f>
        <v>575</v>
      </c>
      <c r="L329" s="262">
        <f t="shared" ref="L329:L392" si="413">S329+N329</f>
        <v>0</v>
      </c>
      <c r="M329" s="272">
        <f t="shared" ref="M329:M392" si="414">IF(F329&gt;0,L329/F329,0)</f>
        <v>0</v>
      </c>
      <c r="N329" s="269"/>
      <c r="O329" s="270"/>
      <c r="P329" s="280">
        <f t="shared" ref="P329:P392" si="415">IF(N329&gt;0,(N329/M329)/2,0)</f>
        <v>0</v>
      </c>
      <c r="Q329" s="263">
        <f t="shared" ref="Q329:Q392" si="416">IF(O329&gt;0,P329/O329,0)</f>
        <v>0</v>
      </c>
      <c r="R329" s="322">
        <f t="shared" ref="R329:R392" si="417">IF(I329&gt;0,Q329*I329,)</f>
        <v>0</v>
      </c>
      <c r="S329" s="269"/>
      <c r="T329" s="268">
        <v>4</v>
      </c>
      <c r="U329" s="251">
        <f t="shared" ref="U329:U392" si="418">F329-P329</f>
        <v>57</v>
      </c>
      <c r="V329" s="263">
        <f t="shared" ref="V329:V392" si="419">IF(T329&gt;0,U329/T329,0)</f>
        <v>14.25</v>
      </c>
      <c r="W329" s="322">
        <f t="shared" ref="W329:W392" si="420">IF(T329&gt;0,(U329*I329)/T329,0)</f>
        <v>25650</v>
      </c>
      <c r="X329" s="269"/>
      <c r="Y329" s="268"/>
      <c r="Z329" s="251">
        <f>Tabla14[[#This Row],[Cajas Segunda]]</f>
        <v>0</v>
      </c>
      <c r="AA329" s="263">
        <f t="shared" ref="AA329:AA392" si="421">IF(Y329&gt;0,Z329/Y329,0)</f>
        <v>0</v>
      </c>
      <c r="AB329" s="265">
        <f t="shared" ref="AB329:AB392" si="422">IF(Y329&gt;0,(Z329*J329)/Y329,0)</f>
        <v>0</v>
      </c>
      <c r="AC329" s="273"/>
      <c r="AD329" s="271">
        <v>302.5</v>
      </c>
      <c r="AE329" s="271"/>
      <c r="AF329" s="271"/>
      <c r="AG329" s="271">
        <v>4</v>
      </c>
      <c r="AH329" s="251">
        <f t="shared" ref="AH329:AH392" si="423">IF(AND(AC329&gt;0,AE329=0,AF329=0,AD329=0),AC329,IF(AND(AC329=0,AE329&gt;0,AF329&gt;0,AD329=0),AE329*AF329/25,IF(AND(AC329=0,AE329=0,AF329=0,AD329&gt;0),AD329/25,0)))</f>
        <v>12.1</v>
      </c>
      <c r="AI329" s="263">
        <f t="shared" ref="AI329:AI392" si="424">IF(AG329&gt;0,AH329/AG329,0)</f>
        <v>3.0249999999999999</v>
      </c>
      <c r="AJ329" s="322">
        <f t="shared" ref="AJ329:AJ392" si="425">AI329*K329</f>
        <v>1739.375</v>
      </c>
      <c r="AK329" s="264">
        <f>Tabla14[[#This Row],[Cajas por Personas]]</f>
        <v>0</v>
      </c>
      <c r="AL329" s="267">
        <f>Tabla14[[#This Row],[Valor Precorte Pesona]]</f>
        <v>0</v>
      </c>
      <c r="AM329" s="294">
        <f>Tabla14[[#This Row],[Personas Precorte]]</f>
        <v>0</v>
      </c>
      <c r="AN329" s="308">
        <f>Tabla14[[#This Row],[Valor Precorte Pesona Precorte]]*Tabla14[[#This Row],[Perzonas Precorte]]</f>
        <v>0</v>
      </c>
      <c r="AO329" s="264">
        <f>Tabla14[[#This Row],[Cajas por Personas2]]</f>
        <v>14.25</v>
      </c>
      <c r="AP329" s="267">
        <f>Tabla14[[#This Row],[Valor Embarque Pesona]]</f>
        <v>25650</v>
      </c>
      <c r="AQ329" s="295">
        <f>Tabla14[[#This Row],[Personas Precorte2]]</f>
        <v>4</v>
      </c>
      <c r="AR329" s="296">
        <f>Tabla14[[#This Row],[Valor Embarque Pesona3]]*Tabla14[[#This Row],[Perzona Primera]]</f>
        <v>102600</v>
      </c>
      <c r="AS329" s="264">
        <f>Tabla14[[#This Row],[Columna2]]</f>
        <v>0</v>
      </c>
      <c r="AT329" s="267">
        <f>Tabla14[[#This Row],[Columna1]]</f>
        <v>0</v>
      </c>
      <c r="AU329" s="302">
        <f>Tabla14[[#This Row],[Personas Intervienen]]</f>
        <v>0</v>
      </c>
      <c r="AV329" s="297">
        <f>Tabla14[[#This Row],[Valor Embarque Pesona5]]*Tabla14[[#This Row],[Presonas Segunda]]</f>
        <v>0</v>
      </c>
      <c r="AW329" s="264">
        <f>Tabla14[[#This Row],[Bolsas Por Personas]]</f>
        <v>3.0249999999999999</v>
      </c>
      <c r="AX329" s="267">
        <f>Tabla14[[#This Row],[Valor bolsas Pesona]]</f>
        <v>1739.375</v>
      </c>
      <c r="AY329" s="290">
        <f>Tabla14[[#This Row],[Personas13]]</f>
        <v>4</v>
      </c>
      <c r="AZ329" s="323">
        <f>Tabla14[[#This Row],[Valor bolsas Pesona2]]*Tabla14[[#This Row],[Personas Rechazo]]</f>
        <v>6957.5</v>
      </c>
      <c r="BA329" s="324">
        <f>+Tabla14[[#This Row],[Total Valor Segunda]]+Tabla14[[#This Row],[Total Valor Primera]]+Tabla14[[#This Row],[Total Valor Precorte]]</f>
        <v>102600</v>
      </c>
      <c r="BB329" s="292">
        <f>Tabla14[[#This Row],[Valor bolsas Pesona2]]+Tabla14[[#This Row],[Valor Embarque Pesona3]]</f>
        <v>27389.375</v>
      </c>
      <c r="BD329" s="292">
        <f>Tabla14[[#This Row],[VALOR GANADO]]-Tabla14[[#This Row],[REAJUSTADO]]</f>
        <v>27389.375</v>
      </c>
      <c r="BE329" s="250">
        <f>Tabla14[[#This Row],[CUANTO SE REAJUSTA]]*Tabla14[[#This Row],[Personas Rechazo]]</f>
        <v>109557.5</v>
      </c>
      <c r="BF329" s="250">
        <f>Tabla14[[#This Row],[REAJUSTADO]]/25000</f>
        <v>0</v>
      </c>
      <c r="BG329" s="302">
        <f>Tabla14[[#This Row],[REAJUSTADO]]*Tabla14[[#This Row],[Personas Rechazo]]</f>
        <v>0</v>
      </c>
      <c r="BH329" s="292" t="str">
        <f>Tabla14[[#This Row],[Finca]]</f>
        <v>San Pedro</v>
      </c>
      <c r="BJ329" s="332">
        <f>Tabla14[[#This Row],[Numero de Ocacionales]]*Tabla14[[#This Row],[REAJUSTADO]]</f>
        <v>0</v>
      </c>
      <c r="BK329" s="332"/>
      <c r="BL329" s="332"/>
      <c r="BM329" s="332">
        <f>+Tabla14[[#This Row],[CUANTO SE REAJUSTA]]*3</f>
        <v>82168.125</v>
      </c>
    </row>
    <row r="330" spans="3:65" x14ac:dyDescent="0.25">
      <c r="C330" s="515">
        <v>45019</v>
      </c>
      <c r="D330" s="507">
        <f>YEAR(Tabla14[[#This Row],[Fecha]])</f>
        <v>2023</v>
      </c>
      <c r="E330" s="516">
        <f>IF(Tabla14[[#This Row],[Fecha]]&gt;0,_xlfn.ISOWEEKNUM(Tabla14[[#This Row],[Fecha]]),0)</f>
        <v>14</v>
      </c>
      <c r="F330" s="283">
        <v>35</v>
      </c>
      <c r="G330" s="275" t="s">
        <v>247</v>
      </c>
      <c r="H330" s="325" t="str">
        <f>_xlfn.XLOOKUP(Tabla14[[#This Row],[Codigo Finca]],Tabla4[Codigo Finca],Tabla4[Nombre Finca],"")</f>
        <v>Uveros</v>
      </c>
      <c r="I330" s="277">
        <f>_xlfn.XLOOKUP(Tabla14[[#This Row],[Codigo Finca]],Tabla4[Codigo Finca],Tabla4[Precio Caja],0)</f>
        <v>1800</v>
      </c>
      <c r="J330" s="277">
        <f>_xlfn.XLOOKUP(Tabla14[[#This Row],[Codigo Finca]],Tabla4[Codigo Finca],Tabla4[Precio Caja Segunda],0)</f>
        <v>1150</v>
      </c>
      <c r="K330" s="277">
        <f>_xlfn.XLOOKUP(Tabla14[[#This Row],[Codigo Finca]],Tabla4[Codigo Finca],Tabla4[Precio Rechazo],0)</f>
        <v>575</v>
      </c>
      <c r="L330" s="277">
        <f t="shared" si="413"/>
        <v>573</v>
      </c>
      <c r="M330" s="278">
        <f t="shared" si="414"/>
        <v>16.37142857142857</v>
      </c>
      <c r="N330" s="283"/>
      <c r="O330" s="279"/>
      <c r="P330" s="280">
        <f t="shared" si="415"/>
        <v>0</v>
      </c>
      <c r="Q330" s="281">
        <f t="shared" si="416"/>
        <v>0</v>
      </c>
      <c r="R330" s="282">
        <f t="shared" si="417"/>
        <v>0</v>
      </c>
      <c r="S330" s="283">
        <v>573</v>
      </c>
      <c r="T330" s="275">
        <v>3</v>
      </c>
      <c r="U330" s="280">
        <f t="shared" si="418"/>
        <v>35</v>
      </c>
      <c r="V330" s="281">
        <f t="shared" si="419"/>
        <v>11.666666666666666</v>
      </c>
      <c r="W330" s="282">
        <f t="shared" si="420"/>
        <v>21000</v>
      </c>
      <c r="X330" s="283"/>
      <c r="Y330" s="275"/>
      <c r="Z330" s="280">
        <f>Tabla14[[#This Row],[Cajas Segunda]]</f>
        <v>0</v>
      </c>
      <c r="AA330" s="281">
        <f t="shared" si="421"/>
        <v>0</v>
      </c>
      <c r="AB330" s="284">
        <f t="shared" si="422"/>
        <v>0</v>
      </c>
      <c r="AC330" s="285"/>
      <c r="AD330" s="286">
        <v>528</v>
      </c>
      <c r="AE330" s="286"/>
      <c r="AF330" s="286"/>
      <c r="AG330" s="286">
        <v>3</v>
      </c>
      <c r="AH330" s="280">
        <f t="shared" si="423"/>
        <v>21.12</v>
      </c>
      <c r="AI330" s="281">
        <f t="shared" si="424"/>
        <v>7.04</v>
      </c>
      <c r="AJ330" s="282">
        <f t="shared" si="425"/>
        <v>4048</v>
      </c>
      <c r="AK330" s="287">
        <f>Tabla14[[#This Row],[Cajas por Personas]]</f>
        <v>0</v>
      </c>
      <c r="AL330" s="288">
        <f>Tabla14[[#This Row],[Valor Precorte Pesona]]</f>
        <v>0</v>
      </c>
      <c r="AM330" s="294">
        <f>Tabla14[[#This Row],[Personas Precorte]]</f>
        <v>0</v>
      </c>
      <c r="AN330" s="308">
        <f>Tabla14[[#This Row],[Valor Precorte Pesona Precorte]]*Tabla14[[#This Row],[Perzonas Precorte]]</f>
        <v>0</v>
      </c>
      <c r="AO330" s="287">
        <f>Tabla14[[#This Row],[Cajas por Personas2]]</f>
        <v>11.666666666666666</v>
      </c>
      <c r="AP330" s="288">
        <f>Tabla14[[#This Row],[Valor Embarque Pesona]]</f>
        <v>21000</v>
      </c>
      <c r="AQ330" s="295">
        <f>Tabla14[[#This Row],[Personas Precorte2]]</f>
        <v>3</v>
      </c>
      <c r="AR330" s="296">
        <f>Tabla14[[#This Row],[Valor Embarque Pesona3]]*Tabla14[[#This Row],[Perzona Primera]]</f>
        <v>63000</v>
      </c>
      <c r="AS330" s="287">
        <f>Tabla14[[#This Row],[Columna2]]</f>
        <v>0</v>
      </c>
      <c r="AT330" s="288">
        <f>Tabla14[[#This Row],[Columna1]]</f>
        <v>0</v>
      </c>
      <c r="AU330" s="302">
        <f>Tabla14[[#This Row],[Personas Intervienen]]</f>
        <v>0</v>
      </c>
      <c r="AV330" s="297">
        <f>Tabla14[[#This Row],[Valor Embarque Pesona5]]*Tabla14[[#This Row],[Presonas Segunda]]</f>
        <v>0</v>
      </c>
      <c r="AW330" s="287">
        <f>Tabla14[[#This Row],[Bolsas Por Personas]]</f>
        <v>7.04</v>
      </c>
      <c r="AX330" s="288">
        <f>Tabla14[[#This Row],[Valor bolsas Pesona]]</f>
        <v>4048</v>
      </c>
      <c r="AY330" s="309">
        <f>Tabla14[[#This Row],[Personas13]]</f>
        <v>3</v>
      </c>
      <c r="AZ330" s="310">
        <f>Tabla14[[#This Row],[Valor bolsas Pesona2]]*Tabla14[[#This Row],[Personas Rechazo]]</f>
        <v>12144</v>
      </c>
      <c r="BA330" s="311">
        <f>+Tabla14[[#This Row],[Total Valor Segunda]]+Tabla14[[#This Row],[Total Valor Primera]]+Tabla14[[#This Row],[Total Valor Precorte]]</f>
        <v>63000</v>
      </c>
      <c r="BB330" s="292">
        <f>Tabla14[[#This Row],[Valor bolsas Pesona2]]+Tabla14[[#This Row],[Valor Embarque Pesona3]]</f>
        <v>25048</v>
      </c>
      <c r="BD330" s="292">
        <f>Tabla14[[#This Row],[VALOR GANADO]]-Tabla14[[#This Row],[REAJUSTADO]]</f>
        <v>25048</v>
      </c>
      <c r="BE330" s="250">
        <f>Tabla14[[#This Row],[CUANTO SE REAJUSTA]]*Tabla14[[#This Row],[Personas Rechazo]]</f>
        <v>75144</v>
      </c>
      <c r="BF330" s="250">
        <f>Tabla14[[#This Row],[REAJUSTADO]]/25000</f>
        <v>0</v>
      </c>
      <c r="BG330" s="302">
        <f>Tabla14[[#This Row],[REAJUSTADO]]*Tabla14[[#This Row],[Personas Rechazo]]</f>
        <v>0</v>
      </c>
      <c r="BH330" s="292" t="str">
        <f>Tabla14[[#This Row],[Finca]]</f>
        <v>Uveros</v>
      </c>
      <c r="BJ330" s="332">
        <f>Tabla14[[#This Row],[Numero de Ocacionales]]*Tabla14[[#This Row],[REAJUSTADO]]</f>
        <v>0</v>
      </c>
      <c r="BK330" s="332"/>
      <c r="BL330" s="332"/>
      <c r="BM330" s="332">
        <f>+Tabla14[[#This Row],[CUANTO SE REAJUSTA]]*3</f>
        <v>75144</v>
      </c>
    </row>
    <row r="331" spans="3:65" x14ac:dyDescent="0.25">
      <c r="C331" s="515">
        <v>45019</v>
      </c>
      <c r="D331" s="507">
        <f>YEAR(Tabla14[[#This Row],[Fecha]])</f>
        <v>2023</v>
      </c>
      <c r="E331" s="516">
        <f>IF(Tabla14[[#This Row],[Fecha]]&gt;0,_xlfn.ISOWEEKNUM(Tabla14[[#This Row],[Fecha]]),0)</f>
        <v>14</v>
      </c>
      <c r="F331" s="283">
        <v>44</v>
      </c>
      <c r="G331" s="275" t="s">
        <v>251</v>
      </c>
      <c r="H331" s="325" t="str">
        <f>_xlfn.XLOOKUP(Tabla14[[#This Row],[Codigo Finca]],Tabla4[Codigo Finca],Tabla4[Nombre Finca],"")</f>
        <v>Pedrito</v>
      </c>
      <c r="I331" s="277">
        <f>_xlfn.XLOOKUP(Tabla14[[#This Row],[Codigo Finca]],Tabla4[Codigo Finca],Tabla4[Precio Caja],0)</f>
        <v>1800</v>
      </c>
      <c r="J331" s="277">
        <f>_xlfn.XLOOKUP(Tabla14[[#This Row],[Codigo Finca]],Tabla4[Codigo Finca],Tabla4[Precio Caja Segunda],0)</f>
        <v>1150</v>
      </c>
      <c r="K331" s="277">
        <f>_xlfn.XLOOKUP(Tabla14[[#This Row],[Codigo Finca]],Tabla4[Codigo Finca],Tabla4[Precio Rechazo],0)</f>
        <v>575</v>
      </c>
      <c r="L331" s="277">
        <f t="shared" si="413"/>
        <v>540</v>
      </c>
      <c r="M331" s="278">
        <f t="shared" si="414"/>
        <v>12.272727272727273</v>
      </c>
      <c r="N331" s="283"/>
      <c r="O331" s="279"/>
      <c r="P331" s="280">
        <f t="shared" si="415"/>
        <v>0</v>
      </c>
      <c r="Q331" s="281">
        <f t="shared" si="416"/>
        <v>0</v>
      </c>
      <c r="R331" s="282">
        <f t="shared" si="417"/>
        <v>0</v>
      </c>
      <c r="S331" s="283">
        <v>540</v>
      </c>
      <c r="T331" s="275">
        <v>12</v>
      </c>
      <c r="U331" s="280">
        <f t="shared" si="418"/>
        <v>44</v>
      </c>
      <c r="V331" s="281">
        <f t="shared" si="419"/>
        <v>3.6666666666666665</v>
      </c>
      <c r="W331" s="282">
        <f t="shared" si="420"/>
        <v>6600</v>
      </c>
      <c r="X331" s="283"/>
      <c r="Y331" s="275"/>
      <c r="Z331" s="280">
        <f>Tabla14[[#This Row],[Cajas Segunda]]</f>
        <v>0</v>
      </c>
      <c r="AA331" s="281">
        <f t="shared" si="421"/>
        <v>0</v>
      </c>
      <c r="AB331" s="284">
        <f t="shared" si="422"/>
        <v>0</v>
      </c>
      <c r="AC331" s="285"/>
      <c r="AD331" s="286">
        <v>1118</v>
      </c>
      <c r="AE331" s="286"/>
      <c r="AF331" s="286"/>
      <c r="AG331" s="286">
        <v>12</v>
      </c>
      <c r="AH331" s="280">
        <f t="shared" si="423"/>
        <v>44.72</v>
      </c>
      <c r="AI331" s="281">
        <f t="shared" si="424"/>
        <v>3.7266666666666666</v>
      </c>
      <c r="AJ331" s="282">
        <f t="shared" si="425"/>
        <v>2142.8333333333335</v>
      </c>
      <c r="AK331" s="287">
        <f>Tabla14[[#This Row],[Cajas por Personas]]</f>
        <v>0</v>
      </c>
      <c r="AL331" s="288">
        <f>Tabla14[[#This Row],[Valor Precorte Pesona]]</f>
        <v>0</v>
      </c>
      <c r="AM331" s="294">
        <f>Tabla14[[#This Row],[Personas Precorte]]</f>
        <v>0</v>
      </c>
      <c r="AN331" s="308">
        <f>Tabla14[[#This Row],[Valor Precorte Pesona Precorte]]*Tabla14[[#This Row],[Perzonas Precorte]]</f>
        <v>0</v>
      </c>
      <c r="AO331" s="287">
        <f>Tabla14[[#This Row],[Cajas por Personas2]]</f>
        <v>3.6666666666666665</v>
      </c>
      <c r="AP331" s="288">
        <f>Tabla14[[#This Row],[Valor Embarque Pesona]]</f>
        <v>6600</v>
      </c>
      <c r="AQ331" s="295">
        <f>Tabla14[[#This Row],[Personas Precorte2]]</f>
        <v>12</v>
      </c>
      <c r="AR331" s="296">
        <f>Tabla14[[#This Row],[Valor Embarque Pesona3]]*Tabla14[[#This Row],[Perzona Primera]]</f>
        <v>79200</v>
      </c>
      <c r="AS331" s="287">
        <f>Tabla14[[#This Row],[Columna2]]</f>
        <v>0</v>
      </c>
      <c r="AT331" s="288">
        <f>Tabla14[[#This Row],[Columna1]]</f>
        <v>0</v>
      </c>
      <c r="AU331" s="302">
        <f>Tabla14[[#This Row],[Personas Intervienen]]</f>
        <v>0</v>
      </c>
      <c r="AV331" s="297">
        <f>Tabla14[[#This Row],[Valor Embarque Pesona5]]*Tabla14[[#This Row],[Presonas Segunda]]</f>
        <v>0</v>
      </c>
      <c r="AW331" s="287">
        <f>Tabla14[[#This Row],[Bolsas Por Personas]]</f>
        <v>3.7266666666666666</v>
      </c>
      <c r="AX331" s="288">
        <f>Tabla14[[#This Row],[Valor bolsas Pesona]]</f>
        <v>2142.8333333333335</v>
      </c>
      <c r="AY331" s="309">
        <f>Tabla14[[#This Row],[Personas13]]</f>
        <v>12</v>
      </c>
      <c r="AZ331" s="310">
        <f>Tabla14[[#This Row],[Valor bolsas Pesona2]]*Tabla14[[#This Row],[Personas Rechazo]]</f>
        <v>25714</v>
      </c>
      <c r="BA331" s="311">
        <f>+Tabla14[[#This Row],[Total Valor Segunda]]+Tabla14[[#This Row],[Total Valor Primera]]+Tabla14[[#This Row],[Total Valor Precorte]]</f>
        <v>79200</v>
      </c>
      <c r="BB331" s="292">
        <f>Tabla14[[#This Row],[Valor bolsas Pesona2]]+Tabla14[[#This Row],[Valor Embarque Pesona3]]</f>
        <v>8742.8333333333339</v>
      </c>
      <c r="BC331" s="332">
        <v>30000</v>
      </c>
      <c r="BD331" s="292">
        <f>Tabla14[[#This Row],[VALOR GANADO]]-Tabla14[[#This Row],[REAJUSTADO]]</f>
        <v>-21257.166666666664</v>
      </c>
      <c r="BE331" s="250">
        <f>Tabla14[[#This Row],[CUANTO SE REAJUSTA]]*Tabla14[[#This Row],[Personas Rechazo]]</f>
        <v>-255085.99999999997</v>
      </c>
      <c r="BF331" s="250">
        <f>Tabla14[[#This Row],[REAJUSTADO]]/25000</f>
        <v>1.2</v>
      </c>
      <c r="BG331" s="302">
        <f>Tabla14[[#This Row],[REAJUSTADO]]*Tabla14[[#This Row],[Personas Rechazo]]</f>
        <v>360000</v>
      </c>
      <c r="BH331" s="292" t="str">
        <f>Tabla14[[#This Row],[Finca]]</f>
        <v>Pedrito</v>
      </c>
      <c r="BJ331" s="332">
        <f>Tabla14[[#This Row],[Numero de Ocacionales]]*Tabla14[[#This Row],[REAJUSTADO]]</f>
        <v>0</v>
      </c>
      <c r="BK331" s="332"/>
      <c r="BL331" s="332"/>
      <c r="BM331" s="332">
        <f>+Tabla14[[#This Row],[CUANTO SE REAJUSTA]]*3</f>
        <v>-63771.499999999993</v>
      </c>
    </row>
    <row r="332" spans="3:65" x14ac:dyDescent="0.25">
      <c r="C332" s="515">
        <v>45027</v>
      </c>
      <c r="D332" s="507">
        <f>YEAR(Tabla14[[#This Row],[Fecha]])</f>
        <v>2023</v>
      </c>
      <c r="E332" s="516">
        <f>IF(Tabla14[[#This Row],[Fecha]]&gt;0,_xlfn.ISOWEEKNUM(Tabla14[[#This Row],[Fecha]]),0)</f>
        <v>15</v>
      </c>
      <c r="F332" s="283">
        <v>729</v>
      </c>
      <c r="G332" s="268" t="s">
        <v>250</v>
      </c>
      <c r="H332" s="325" t="str">
        <f>_xlfn.XLOOKUP(Tabla14[[#This Row],[Codigo Finca]],Tabla4[Codigo Finca],Tabla4[Nombre Finca],"")</f>
        <v>San Pedro</v>
      </c>
      <c r="I332" s="277">
        <f>_xlfn.XLOOKUP(Tabla14[[#This Row],[Codigo Finca]],Tabla4[Codigo Finca],Tabla4[Precio Caja],0)</f>
        <v>1800</v>
      </c>
      <c r="J332" s="277">
        <f>_xlfn.XLOOKUP(Tabla14[[#This Row],[Codigo Finca]],Tabla4[Codigo Finca],Tabla4[Precio Caja Segunda],0)</f>
        <v>1150</v>
      </c>
      <c r="K332" s="277">
        <f>_xlfn.XLOOKUP(Tabla14[[#This Row],[Codigo Finca]],Tabla4[Codigo Finca],Tabla4[Precio Rechazo],0)</f>
        <v>575</v>
      </c>
      <c r="L332" s="277">
        <f t="shared" si="413"/>
        <v>2513</v>
      </c>
      <c r="M332" s="278">
        <f t="shared" si="414"/>
        <v>3.4471879286694103</v>
      </c>
      <c r="N332" s="283"/>
      <c r="O332" s="279"/>
      <c r="P332" s="280">
        <f t="shared" si="415"/>
        <v>0</v>
      </c>
      <c r="Q332" s="281">
        <f t="shared" si="416"/>
        <v>0</v>
      </c>
      <c r="R332" s="282">
        <f t="shared" si="417"/>
        <v>0</v>
      </c>
      <c r="S332" s="283">
        <v>2513</v>
      </c>
      <c r="T332" s="275">
        <v>30</v>
      </c>
      <c r="U332" s="280">
        <f t="shared" si="418"/>
        <v>729</v>
      </c>
      <c r="V332" s="281">
        <f t="shared" si="419"/>
        <v>24.3</v>
      </c>
      <c r="W332" s="282">
        <f t="shared" si="420"/>
        <v>43740</v>
      </c>
      <c r="X332" s="283"/>
      <c r="Y332" s="275"/>
      <c r="Z332" s="280">
        <f>Tabla14[[#This Row],[Cajas Segunda]]</f>
        <v>0</v>
      </c>
      <c r="AA332" s="281">
        <f t="shared" si="421"/>
        <v>0</v>
      </c>
      <c r="AB332" s="284">
        <f t="shared" si="422"/>
        <v>0</v>
      </c>
      <c r="AC332" s="285"/>
      <c r="AD332" s="286">
        <f>2361+1124</f>
        <v>3485</v>
      </c>
      <c r="AE332" s="286"/>
      <c r="AF332" s="286"/>
      <c r="AG332" s="286">
        <v>30</v>
      </c>
      <c r="AH332" s="280">
        <f t="shared" si="423"/>
        <v>139.4</v>
      </c>
      <c r="AI332" s="281">
        <f t="shared" si="424"/>
        <v>4.6466666666666665</v>
      </c>
      <c r="AJ332" s="282">
        <f t="shared" si="425"/>
        <v>2671.833333333333</v>
      </c>
      <c r="AK332" s="287">
        <f>Tabla14[[#This Row],[Cajas por Personas]]</f>
        <v>0</v>
      </c>
      <c r="AL332" s="288">
        <f>Tabla14[[#This Row],[Valor Precorte Pesona]]</f>
        <v>0</v>
      </c>
      <c r="AM332" s="294">
        <f>Tabla14[[#This Row],[Personas Precorte]]</f>
        <v>0</v>
      </c>
      <c r="AN332" s="308">
        <f>Tabla14[[#This Row],[Valor Precorte Pesona Precorte]]*Tabla14[[#This Row],[Perzonas Precorte]]</f>
        <v>0</v>
      </c>
      <c r="AO332" s="287">
        <f>Tabla14[[#This Row],[Cajas por Personas2]]</f>
        <v>24.3</v>
      </c>
      <c r="AP332" s="288">
        <f>Tabla14[[#This Row],[Valor Embarque Pesona]]</f>
        <v>43740</v>
      </c>
      <c r="AQ332" s="295">
        <f>Tabla14[[#This Row],[Personas Precorte2]]</f>
        <v>30</v>
      </c>
      <c r="AR332" s="296">
        <f>Tabla14[[#This Row],[Valor Embarque Pesona3]]*Tabla14[[#This Row],[Perzona Primera]]</f>
        <v>1312200</v>
      </c>
      <c r="AS332" s="287">
        <f>Tabla14[[#This Row],[Columna2]]</f>
        <v>0</v>
      </c>
      <c r="AT332" s="288">
        <f>Tabla14[[#This Row],[Columna1]]</f>
        <v>0</v>
      </c>
      <c r="AU332" s="302">
        <f>Tabla14[[#This Row],[Personas Intervienen]]</f>
        <v>0</v>
      </c>
      <c r="AV332" s="297">
        <f>Tabla14[[#This Row],[Valor Embarque Pesona5]]*Tabla14[[#This Row],[Presonas Segunda]]</f>
        <v>0</v>
      </c>
      <c r="AW332" s="287">
        <f>Tabla14[[#This Row],[Bolsas Por Personas]]</f>
        <v>4.6466666666666665</v>
      </c>
      <c r="AX332" s="288">
        <f>Tabla14[[#This Row],[Valor bolsas Pesona]]</f>
        <v>2671.833333333333</v>
      </c>
      <c r="AY332" s="309">
        <f>Tabla14[[#This Row],[Personas13]]</f>
        <v>30</v>
      </c>
      <c r="AZ332" s="310">
        <f>Tabla14[[#This Row],[Valor bolsas Pesona2]]*Tabla14[[#This Row],[Personas Rechazo]]</f>
        <v>80154.999999999985</v>
      </c>
      <c r="BA332" s="311">
        <f>+Tabla14[[#This Row],[Total Valor Segunda]]+Tabla14[[#This Row],[Total Valor Primera]]+Tabla14[[#This Row],[Total Valor Precorte]]</f>
        <v>1312200</v>
      </c>
      <c r="BB332" s="470">
        <f>Tabla14[[#This Row],[Valor bolsas Pesona2]]+Tabla14[[#This Row],[Valor Embarque Pesona3]]</f>
        <v>46411.833333333336</v>
      </c>
      <c r="BC332" s="471">
        <v>49800</v>
      </c>
      <c r="BD332" s="470">
        <f>Tabla14[[#This Row],[VALOR GANADO]]-Tabla14[[#This Row],[REAJUSTADO]]</f>
        <v>-3388.1666666666642</v>
      </c>
      <c r="BE332" s="250">
        <f>Tabla14[[#This Row],[CUANTO SE REAJUSTA]]*Tabla14[[#This Row],[Personas Rechazo]]</f>
        <v>-101644.99999999993</v>
      </c>
      <c r="BF332" s="250">
        <f>Tabla14[[#This Row],[REAJUSTADO]]/25000</f>
        <v>1.992</v>
      </c>
      <c r="BG332" s="302">
        <f>Tabla14[[#This Row],[REAJUSTADO]]*Tabla14[[#This Row],[Personas Rechazo]]</f>
        <v>1494000</v>
      </c>
      <c r="BH332" s="292" t="str">
        <f>Tabla14[[#This Row],[Finca]]</f>
        <v>San Pedro</v>
      </c>
      <c r="BJ332" s="332">
        <f>Tabla14[[#This Row],[Numero de Ocacionales]]*Tabla14[[#This Row],[REAJUSTADO]]</f>
        <v>0</v>
      </c>
      <c r="BK332" s="332"/>
      <c r="BL332" s="332"/>
      <c r="BM332" s="332">
        <f>+Tabla14[[#This Row],[CUANTO SE REAJUSTA]]*3</f>
        <v>-10164.499999999993</v>
      </c>
    </row>
    <row r="333" spans="3:65" x14ac:dyDescent="0.25">
      <c r="C333" s="515">
        <v>45027</v>
      </c>
      <c r="D333" s="507">
        <f>YEAR(Tabla14[[#This Row],[Fecha]])</f>
        <v>2023</v>
      </c>
      <c r="E333" s="516">
        <f>IF(Tabla14[[#This Row],[Fecha]]&gt;0,_xlfn.ISOWEEKNUM(Tabla14[[#This Row],[Fecha]]),0)</f>
        <v>15</v>
      </c>
      <c r="F333" s="283">
        <v>47</v>
      </c>
      <c r="G333" s="275" t="s">
        <v>249</v>
      </c>
      <c r="H333" s="325" t="str">
        <f>_xlfn.XLOOKUP(Tabla14[[#This Row],[Codigo Finca]],Tabla4[Codigo Finca],Tabla4[Nombre Finca],"")</f>
        <v>San Pedro</v>
      </c>
      <c r="I333" s="277">
        <f>_xlfn.XLOOKUP(Tabla14[[#This Row],[Codigo Finca]],Tabla4[Codigo Finca],Tabla4[Precio Caja],0)</f>
        <v>2000</v>
      </c>
      <c r="J333" s="277">
        <f>_xlfn.XLOOKUP(Tabla14[[#This Row],[Codigo Finca]],Tabla4[Codigo Finca],Tabla4[Precio Caja Segunda],0)</f>
        <v>1150</v>
      </c>
      <c r="K333" s="277">
        <f>_xlfn.XLOOKUP(Tabla14[[#This Row],[Codigo Finca]],Tabla4[Codigo Finca],Tabla4[Precio Rechazo],0)</f>
        <v>675</v>
      </c>
      <c r="L333" s="277">
        <f t="shared" si="413"/>
        <v>217</v>
      </c>
      <c r="M333" s="278">
        <f t="shared" si="414"/>
        <v>4.6170212765957448</v>
      </c>
      <c r="N333" s="283"/>
      <c r="O333" s="279"/>
      <c r="P333" s="280">
        <f t="shared" si="415"/>
        <v>0</v>
      </c>
      <c r="Q333" s="281">
        <f t="shared" si="416"/>
        <v>0</v>
      </c>
      <c r="R333" s="282">
        <f t="shared" si="417"/>
        <v>0</v>
      </c>
      <c r="S333" s="283">
        <v>217</v>
      </c>
      <c r="T333" s="275">
        <v>30</v>
      </c>
      <c r="U333" s="280">
        <f t="shared" si="418"/>
        <v>47</v>
      </c>
      <c r="V333" s="281">
        <f t="shared" si="419"/>
        <v>1.5666666666666667</v>
      </c>
      <c r="W333" s="282">
        <f t="shared" si="420"/>
        <v>3133.3333333333335</v>
      </c>
      <c r="X333" s="283"/>
      <c r="Y333" s="275"/>
      <c r="Z333" s="280">
        <f>Tabla14[[#This Row],[Cajas Segunda]]</f>
        <v>0</v>
      </c>
      <c r="AA333" s="281">
        <f t="shared" si="421"/>
        <v>0</v>
      </c>
      <c r="AB333" s="284">
        <f t="shared" si="422"/>
        <v>0</v>
      </c>
      <c r="AC333" s="285"/>
      <c r="AD333" s="286">
        <v>230.02</v>
      </c>
      <c r="AE333" s="286"/>
      <c r="AF333" s="286"/>
      <c r="AG333" s="286">
        <v>30</v>
      </c>
      <c r="AH333" s="280">
        <f t="shared" si="423"/>
        <v>9.200800000000001</v>
      </c>
      <c r="AI333" s="281">
        <f t="shared" si="424"/>
        <v>0.30669333333333337</v>
      </c>
      <c r="AJ333" s="282">
        <f t="shared" si="425"/>
        <v>207.01800000000003</v>
      </c>
      <c r="AK333" s="287">
        <f>Tabla14[[#This Row],[Cajas por Personas]]</f>
        <v>0</v>
      </c>
      <c r="AL333" s="288">
        <f>Tabla14[[#This Row],[Valor Precorte Pesona]]</f>
        <v>0</v>
      </c>
      <c r="AM333" s="294">
        <f>Tabla14[[#This Row],[Personas Precorte]]</f>
        <v>0</v>
      </c>
      <c r="AN333" s="308">
        <f>Tabla14[[#This Row],[Valor Precorte Pesona Precorte]]*Tabla14[[#This Row],[Perzonas Precorte]]</f>
        <v>0</v>
      </c>
      <c r="AO333" s="287">
        <f>Tabla14[[#This Row],[Cajas por Personas2]]</f>
        <v>1.5666666666666667</v>
      </c>
      <c r="AP333" s="288">
        <f>Tabla14[[#This Row],[Valor Embarque Pesona]]</f>
        <v>3133.3333333333335</v>
      </c>
      <c r="AQ333" s="295">
        <f>Tabla14[[#This Row],[Personas Precorte2]]</f>
        <v>30</v>
      </c>
      <c r="AR333" s="296">
        <f>Tabla14[[#This Row],[Valor Embarque Pesona3]]*Tabla14[[#This Row],[Perzona Primera]]</f>
        <v>94000</v>
      </c>
      <c r="AS333" s="287">
        <f>Tabla14[[#This Row],[Columna2]]</f>
        <v>0</v>
      </c>
      <c r="AT333" s="288">
        <f>Tabla14[[#This Row],[Columna1]]</f>
        <v>0</v>
      </c>
      <c r="AU333" s="302">
        <f>Tabla14[[#This Row],[Personas Intervienen]]</f>
        <v>0</v>
      </c>
      <c r="AV333" s="297">
        <f>Tabla14[[#This Row],[Valor Embarque Pesona5]]*Tabla14[[#This Row],[Presonas Segunda]]</f>
        <v>0</v>
      </c>
      <c r="AW333" s="287">
        <f>Tabla14[[#This Row],[Bolsas Por Personas]]</f>
        <v>0.30669333333333337</v>
      </c>
      <c r="AX333" s="288">
        <f>Tabla14[[#This Row],[Valor bolsas Pesona]]</f>
        <v>207.01800000000003</v>
      </c>
      <c r="AY333" s="309">
        <f>Tabla14[[#This Row],[Personas13]]</f>
        <v>30</v>
      </c>
      <c r="AZ333" s="310">
        <f>Tabla14[[#This Row],[Valor bolsas Pesona2]]*Tabla14[[#This Row],[Personas Rechazo]]</f>
        <v>6210.5400000000009</v>
      </c>
      <c r="BA333" s="311">
        <f>+Tabla14[[#This Row],[Total Valor Segunda]]+Tabla14[[#This Row],[Total Valor Primera]]+Tabla14[[#This Row],[Total Valor Precorte]]</f>
        <v>94000</v>
      </c>
      <c r="BB333" s="470">
        <f>Tabla14[[#This Row],[Valor bolsas Pesona2]]+Tabla14[[#This Row],[Valor Embarque Pesona3]]</f>
        <v>3340.3513333333335</v>
      </c>
      <c r="BC333" s="471"/>
      <c r="BD333" s="470">
        <f>Tabla14[[#This Row],[VALOR GANADO]]-Tabla14[[#This Row],[REAJUSTADO]]</f>
        <v>3340.3513333333335</v>
      </c>
      <c r="BE333" s="250">
        <f>Tabla14[[#This Row],[CUANTO SE REAJUSTA]]*Tabla14[[#This Row],[Personas Rechazo]]</f>
        <v>100210.54000000001</v>
      </c>
      <c r="BF333" s="250">
        <f>Tabla14[[#This Row],[REAJUSTADO]]/25000</f>
        <v>0</v>
      </c>
      <c r="BG333" s="302">
        <f>Tabla14[[#This Row],[REAJUSTADO]]*Tabla14[[#This Row],[Personas Rechazo]]</f>
        <v>0</v>
      </c>
      <c r="BH333" s="292" t="str">
        <f>Tabla14[[#This Row],[Finca]]</f>
        <v>San Pedro</v>
      </c>
      <c r="BJ333" s="332">
        <f>Tabla14[[#This Row],[Numero de Ocacionales]]*Tabla14[[#This Row],[REAJUSTADO]]</f>
        <v>0</v>
      </c>
      <c r="BK333" s="332"/>
      <c r="BL333" s="332"/>
      <c r="BM333" s="332">
        <f>+Tabla14[[#This Row],[CUANTO SE REAJUSTA]]*3</f>
        <v>10021.054</v>
      </c>
    </row>
    <row r="334" spans="3:65" x14ac:dyDescent="0.25">
      <c r="C334" s="515">
        <v>45027</v>
      </c>
      <c r="D334" s="507">
        <f>YEAR(Tabla14[[#This Row],[Fecha]])</f>
        <v>2023</v>
      </c>
      <c r="E334" s="516">
        <f>IF(Tabla14[[#This Row],[Fecha]]&gt;0,_xlfn.ISOWEEKNUM(Tabla14[[#This Row],[Fecha]]),0)</f>
        <v>15</v>
      </c>
      <c r="F334" s="283">
        <v>83</v>
      </c>
      <c r="G334" s="275" t="s">
        <v>155</v>
      </c>
      <c r="H334" s="325" t="str">
        <f>_xlfn.XLOOKUP(Tabla14[[#This Row],[Codigo Finca]],Tabla4[Codigo Finca],Tabla4[Nombre Finca],"")</f>
        <v>Damaquiel</v>
      </c>
      <c r="I334" s="277">
        <f>_xlfn.XLOOKUP(Tabla14[[#This Row],[Codigo Finca]],Tabla4[Codigo Finca],Tabla4[Precio Caja],0)</f>
        <v>1500</v>
      </c>
      <c r="J334" s="277">
        <f>_xlfn.XLOOKUP(Tabla14[[#This Row],[Codigo Finca]],Tabla4[Codigo Finca],Tabla4[Precio Caja Segunda],0)</f>
        <v>1000</v>
      </c>
      <c r="K334" s="277">
        <f>_xlfn.XLOOKUP(Tabla14[[#This Row],[Codigo Finca]],Tabla4[Codigo Finca],Tabla4[Precio Rechazo],0)</f>
        <v>500</v>
      </c>
      <c r="L334" s="277">
        <f t="shared" si="413"/>
        <v>586</v>
      </c>
      <c r="M334" s="278">
        <f t="shared" si="414"/>
        <v>7.0602409638554215</v>
      </c>
      <c r="N334" s="283"/>
      <c r="O334" s="279"/>
      <c r="P334" s="280">
        <f t="shared" si="415"/>
        <v>0</v>
      </c>
      <c r="Q334" s="281">
        <f t="shared" si="416"/>
        <v>0</v>
      </c>
      <c r="R334" s="282">
        <f t="shared" si="417"/>
        <v>0</v>
      </c>
      <c r="S334" s="283">
        <v>586</v>
      </c>
      <c r="T334" s="275">
        <v>9</v>
      </c>
      <c r="U334" s="280">
        <f t="shared" si="418"/>
        <v>83</v>
      </c>
      <c r="V334" s="281">
        <f t="shared" si="419"/>
        <v>9.2222222222222214</v>
      </c>
      <c r="W334" s="282">
        <f t="shared" si="420"/>
        <v>13833.333333333334</v>
      </c>
      <c r="X334" s="283"/>
      <c r="Y334" s="275"/>
      <c r="Z334" s="280">
        <f>Tabla14[[#This Row],[Cajas Segunda]]</f>
        <v>0</v>
      </c>
      <c r="AA334" s="281">
        <f t="shared" si="421"/>
        <v>0</v>
      </c>
      <c r="AB334" s="284">
        <f t="shared" si="422"/>
        <v>0</v>
      </c>
      <c r="AC334" s="285"/>
      <c r="AD334" s="286">
        <v>1200</v>
      </c>
      <c r="AE334" s="286"/>
      <c r="AF334" s="286"/>
      <c r="AG334" s="286">
        <v>9</v>
      </c>
      <c r="AH334" s="280">
        <f t="shared" si="423"/>
        <v>48</v>
      </c>
      <c r="AI334" s="281">
        <f t="shared" si="424"/>
        <v>5.333333333333333</v>
      </c>
      <c r="AJ334" s="282">
        <f t="shared" si="425"/>
        <v>2666.6666666666665</v>
      </c>
      <c r="AK334" s="287">
        <f>Tabla14[[#This Row],[Cajas por Personas]]</f>
        <v>0</v>
      </c>
      <c r="AL334" s="288">
        <f>Tabla14[[#This Row],[Valor Precorte Pesona]]</f>
        <v>0</v>
      </c>
      <c r="AM334" s="294">
        <f>Tabla14[[#This Row],[Personas Precorte]]</f>
        <v>0</v>
      </c>
      <c r="AN334" s="308">
        <f>Tabla14[[#This Row],[Valor Precorte Pesona Precorte]]*Tabla14[[#This Row],[Perzonas Precorte]]</f>
        <v>0</v>
      </c>
      <c r="AO334" s="287">
        <f>Tabla14[[#This Row],[Cajas por Personas2]]</f>
        <v>9.2222222222222214</v>
      </c>
      <c r="AP334" s="288">
        <f>Tabla14[[#This Row],[Valor Embarque Pesona]]</f>
        <v>13833.333333333334</v>
      </c>
      <c r="AQ334" s="295">
        <f>Tabla14[[#This Row],[Personas Precorte2]]</f>
        <v>9</v>
      </c>
      <c r="AR334" s="296">
        <f>Tabla14[[#This Row],[Valor Embarque Pesona3]]*Tabla14[[#This Row],[Perzona Primera]]</f>
        <v>124500</v>
      </c>
      <c r="AS334" s="287">
        <f>Tabla14[[#This Row],[Columna2]]</f>
        <v>0</v>
      </c>
      <c r="AT334" s="288">
        <f>Tabla14[[#This Row],[Columna1]]</f>
        <v>0</v>
      </c>
      <c r="AU334" s="302">
        <f>Tabla14[[#This Row],[Personas Intervienen]]</f>
        <v>0</v>
      </c>
      <c r="AV334" s="297">
        <f>Tabla14[[#This Row],[Valor Embarque Pesona5]]*Tabla14[[#This Row],[Presonas Segunda]]</f>
        <v>0</v>
      </c>
      <c r="AW334" s="287">
        <f>Tabla14[[#This Row],[Bolsas Por Personas]]</f>
        <v>5.333333333333333</v>
      </c>
      <c r="AX334" s="288">
        <f>Tabla14[[#This Row],[Valor bolsas Pesona]]</f>
        <v>2666.6666666666665</v>
      </c>
      <c r="AY334" s="309">
        <f>Tabla14[[#This Row],[Personas13]]</f>
        <v>9</v>
      </c>
      <c r="AZ334" s="310">
        <f>Tabla14[[#This Row],[Valor bolsas Pesona2]]*Tabla14[[#This Row],[Personas Rechazo]]</f>
        <v>24000</v>
      </c>
      <c r="BA334" s="311">
        <f>+Tabla14[[#This Row],[Total Valor Segunda]]+Tabla14[[#This Row],[Total Valor Primera]]+Tabla14[[#This Row],[Total Valor Precorte]]</f>
        <v>124500</v>
      </c>
      <c r="BB334" s="292">
        <f>Tabla14[[#This Row],[Valor bolsas Pesona2]]+Tabla14[[#This Row],[Valor Embarque Pesona3]]</f>
        <v>16500</v>
      </c>
      <c r="BC334" s="332">
        <v>30000</v>
      </c>
      <c r="BD334" s="292">
        <f>Tabla14[[#This Row],[VALOR GANADO]]-Tabla14[[#This Row],[REAJUSTADO]]</f>
        <v>-13500</v>
      </c>
      <c r="BE334" s="250">
        <f>Tabla14[[#This Row],[CUANTO SE REAJUSTA]]*Tabla14[[#This Row],[Personas Rechazo]]</f>
        <v>-121500</v>
      </c>
      <c r="BF334" s="250">
        <f>Tabla14[[#This Row],[REAJUSTADO]]/25000</f>
        <v>1.2</v>
      </c>
      <c r="BG334" s="302">
        <f>Tabla14[[#This Row],[REAJUSTADO]]*Tabla14[[#This Row],[Personas Rechazo]]</f>
        <v>270000</v>
      </c>
      <c r="BH334" s="292" t="str">
        <f>Tabla14[[#This Row],[Finca]]</f>
        <v>Damaquiel</v>
      </c>
      <c r="BJ334" s="332">
        <f>Tabla14[[#This Row],[Numero de Ocacionales]]*Tabla14[[#This Row],[REAJUSTADO]]</f>
        <v>0</v>
      </c>
      <c r="BK334" s="332"/>
      <c r="BL334" s="332"/>
      <c r="BM334" s="332">
        <f>+Tabla14[[#This Row],[CUANTO SE REAJUSTA]]*3</f>
        <v>-40500</v>
      </c>
    </row>
    <row r="335" spans="3:65" x14ac:dyDescent="0.25">
      <c r="C335" s="515">
        <v>45028</v>
      </c>
      <c r="D335" s="507">
        <f>YEAR(Tabla14[[#This Row],[Fecha]])</f>
        <v>2023</v>
      </c>
      <c r="E335" s="516">
        <f>IF(Tabla14[[#This Row],[Fecha]]&gt;0,_xlfn.ISOWEEKNUM(Tabla14[[#This Row],[Fecha]]),0)</f>
        <v>15</v>
      </c>
      <c r="F335" s="283">
        <v>92</v>
      </c>
      <c r="G335" s="275" t="s">
        <v>247</v>
      </c>
      <c r="H335" s="325" t="str">
        <f>_xlfn.XLOOKUP(Tabla14[[#This Row],[Codigo Finca]],Tabla4[Codigo Finca],Tabla4[Nombre Finca],"")</f>
        <v>Uveros</v>
      </c>
      <c r="I335" s="277">
        <f>_xlfn.XLOOKUP(Tabla14[[#This Row],[Codigo Finca]],Tabla4[Codigo Finca],Tabla4[Precio Caja],0)</f>
        <v>1800</v>
      </c>
      <c r="J335" s="277">
        <f>_xlfn.XLOOKUP(Tabla14[[#This Row],[Codigo Finca]],Tabla4[Codigo Finca],Tabla4[Precio Caja Segunda],0)</f>
        <v>1150</v>
      </c>
      <c r="K335" s="277">
        <f>_xlfn.XLOOKUP(Tabla14[[#This Row],[Codigo Finca]],Tabla4[Codigo Finca],Tabla4[Precio Rechazo],0)</f>
        <v>575</v>
      </c>
      <c r="L335" s="277">
        <f t="shared" si="413"/>
        <v>406</v>
      </c>
      <c r="M335" s="278">
        <f t="shared" si="414"/>
        <v>4.4130434782608692</v>
      </c>
      <c r="N335" s="283"/>
      <c r="O335" s="279"/>
      <c r="P335" s="280">
        <f t="shared" si="415"/>
        <v>0</v>
      </c>
      <c r="Q335" s="281">
        <f t="shared" si="416"/>
        <v>0</v>
      </c>
      <c r="R335" s="282">
        <f t="shared" si="417"/>
        <v>0</v>
      </c>
      <c r="S335" s="283">
        <v>406</v>
      </c>
      <c r="T335" s="275">
        <v>6</v>
      </c>
      <c r="U335" s="280">
        <f t="shared" si="418"/>
        <v>92</v>
      </c>
      <c r="V335" s="281">
        <f t="shared" si="419"/>
        <v>15.333333333333334</v>
      </c>
      <c r="W335" s="282">
        <f t="shared" si="420"/>
        <v>27600</v>
      </c>
      <c r="X335" s="283"/>
      <c r="Y335" s="275"/>
      <c r="Z335" s="280">
        <f>Tabla14[[#This Row],[Cajas Segunda]]</f>
        <v>0</v>
      </c>
      <c r="AA335" s="281">
        <f t="shared" si="421"/>
        <v>0</v>
      </c>
      <c r="AB335" s="284">
        <f t="shared" si="422"/>
        <v>0</v>
      </c>
      <c r="AC335" s="285"/>
      <c r="AD335" s="286">
        <v>623</v>
      </c>
      <c r="AE335" s="286"/>
      <c r="AF335" s="286"/>
      <c r="AG335" s="286">
        <v>6</v>
      </c>
      <c r="AH335" s="280">
        <f t="shared" si="423"/>
        <v>24.92</v>
      </c>
      <c r="AI335" s="281">
        <f t="shared" si="424"/>
        <v>4.1533333333333333</v>
      </c>
      <c r="AJ335" s="282">
        <f t="shared" si="425"/>
        <v>2388.1666666666665</v>
      </c>
      <c r="AK335" s="287">
        <f>Tabla14[[#This Row],[Cajas por Personas]]</f>
        <v>0</v>
      </c>
      <c r="AL335" s="288">
        <f>Tabla14[[#This Row],[Valor Precorte Pesona]]</f>
        <v>0</v>
      </c>
      <c r="AM335" s="294">
        <f>Tabla14[[#This Row],[Personas Precorte]]</f>
        <v>0</v>
      </c>
      <c r="AN335" s="308">
        <f>Tabla14[[#This Row],[Valor Precorte Pesona Precorte]]*Tabla14[[#This Row],[Perzonas Precorte]]</f>
        <v>0</v>
      </c>
      <c r="AO335" s="287">
        <f>Tabla14[[#This Row],[Cajas por Personas2]]</f>
        <v>15.333333333333334</v>
      </c>
      <c r="AP335" s="288">
        <f>Tabla14[[#This Row],[Valor Embarque Pesona]]</f>
        <v>27600</v>
      </c>
      <c r="AQ335" s="295">
        <f>Tabla14[[#This Row],[Personas Precorte2]]</f>
        <v>6</v>
      </c>
      <c r="AR335" s="296">
        <f>Tabla14[[#This Row],[Valor Embarque Pesona3]]*Tabla14[[#This Row],[Perzona Primera]]</f>
        <v>165600</v>
      </c>
      <c r="AS335" s="287">
        <f>Tabla14[[#This Row],[Columna2]]</f>
        <v>0</v>
      </c>
      <c r="AT335" s="288">
        <f>Tabla14[[#This Row],[Columna1]]</f>
        <v>0</v>
      </c>
      <c r="AU335" s="302">
        <f>Tabla14[[#This Row],[Personas Intervienen]]</f>
        <v>0</v>
      </c>
      <c r="AV335" s="297">
        <f>Tabla14[[#This Row],[Valor Embarque Pesona5]]*Tabla14[[#This Row],[Presonas Segunda]]</f>
        <v>0</v>
      </c>
      <c r="AW335" s="287">
        <f>Tabla14[[#This Row],[Bolsas Por Personas]]</f>
        <v>4.1533333333333333</v>
      </c>
      <c r="AX335" s="288">
        <f>Tabla14[[#This Row],[Valor bolsas Pesona]]</f>
        <v>2388.1666666666665</v>
      </c>
      <c r="AY335" s="309">
        <f>Tabla14[[#This Row],[Personas13]]</f>
        <v>6</v>
      </c>
      <c r="AZ335" s="310">
        <f>Tabla14[[#This Row],[Valor bolsas Pesona2]]*Tabla14[[#This Row],[Personas Rechazo]]</f>
        <v>14329</v>
      </c>
      <c r="BA335" s="311">
        <f>+Tabla14[[#This Row],[Total Valor Segunda]]+Tabla14[[#This Row],[Total Valor Primera]]+Tabla14[[#This Row],[Total Valor Precorte]]</f>
        <v>165600</v>
      </c>
      <c r="BB335" s="292">
        <f>Tabla14[[#This Row],[Valor bolsas Pesona2]]+Tabla14[[#This Row],[Valor Embarque Pesona3]]</f>
        <v>29988.166666666668</v>
      </c>
      <c r="BC335" s="332">
        <v>30000</v>
      </c>
      <c r="BD335" s="292">
        <f>Tabla14[[#This Row],[VALOR GANADO]]-Tabla14[[#This Row],[REAJUSTADO]]</f>
        <v>-11.833333333332121</v>
      </c>
      <c r="BE335" s="250">
        <f>Tabla14[[#This Row],[CUANTO SE REAJUSTA]]*Tabla14[[#This Row],[Personas Rechazo]]</f>
        <v>-70.999999999992724</v>
      </c>
      <c r="BF335" s="250">
        <f>Tabla14[[#This Row],[REAJUSTADO]]/25000</f>
        <v>1.2</v>
      </c>
      <c r="BG335" s="302">
        <f>Tabla14[[#This Row],[REAJUSTADO]]*Tabla14[[#This Row],[Personas Rechazo]]</f>
        <v>180000</v>
      </c>
      <c r="BH335" s="292" t="str">
        <f>Tabla14[[#This Row],[Finca]]</f>
        <v>Uveros</v>
      </c>
      <c r="BJ335" s="332">
        <f>Tabla14[[#This Row],[Numero de Ocacionales]]*Tabla14[[#This Row],[REAJUSTADO]]</f>
        <v>0</v>
      </c>
      <c r="BK335" s="332"/>
      <c r="BL335" s="332"/>
      <c r="BM335" s="332">
        <f>+Tabla14[[#This Row],[CUANTO SE REAJUSTA]]*3</f>
        <v>-35.499999999996362</v>
      </c>
    </row>
    <row r="336" spans="3:65" x14ac:dyDescent="0.25">
      <c r="C336" s="515">
        <v>45028</v>
      </c>
      <c r="D336" s="507">
        <f>YEAR(Tabla14[[#This Row],[Fecha]])</f>
        <v>2023</v>
      </c>
      <c r="E336" s="516">
        <f>IF(Tabla14[[#This Row],[Fecha]]&gt;0,_xlfn.ISOWEEKNUM(Tabla14[[#This Row],[Fecha]]),0)</f>
        <v>15</v>
      </c>
      <c r="F336" s="283">
        <v>325</v>
      </c>
      <c r="G336" s="275" t="s">
        <v>251</v>
      </c>
      <c r="H336" s="325" t="str">
        <f>_xlfn.XLOOKUP(Tabla14[[#This Row],[Codigo Finca]],Tabla4[Codigo Finca],Tabla4[Nombre Finca],"")</f>
        <v>Pedrito</v>
      </c>
      <c r="I336" s="277">
        <f>_xlfn.XLOOKUP(Tabla14[[#This Row],[Codigo Finca]],Tabla4[Codigo Finca],Tabla4[Precio Caja],0)</f>
        <v>1800</v>
      </c>
      <c r="J336" s="277">
        <f>_xlfn.XLOOKUP(Tabla14[[#This Row],[Codigo Finca]],Tabla4[Codigo Finca],Tabla4[Precio Caja Segunda],0)</f>
        <v>1150</v>
      </c>
      <c r="K336" s="277">
        <f>_xlfn.XLOOKUP(Tabla14[[#This Row],[Codigo Finca]],Tabla4[Codigo Finca],Tabla4[Precio Rechazo],0)</f>
        <v>575</v>
      </c>
      <c r="L336" s="277">
        <f t="shared" si="413"/>
        <v>1618</v>
      </c>
      <c r="M336" s="278">
        <f t="shared" si="414"/>
        <v>4.9784615384615387</v>
      </c>
      <c r="N336" s="283"/>
      <c r="O336" s="279"/>
      <c r="P336" s="280">
        <f t="shared" si="415"/>
        <v>0</v>
      </c>
      <c r="Q336" s="281">
        <f t="shared" si="416"/>
        <v>0</v>
      </c>
      <c r="R336" s="282">
        <f t="shared" si="417"/>
        <v>0</v>
      </c>
      <c r="S336" s="283">
        <v>1618</v>
      </c>
      <c r="T336" s="275">
        <v>18</v>
      </c>
      <c r="U336" s="280">
        <f t="shared" si="418"/>
        <v>325</v>
      </c>
      <c r="V336" s="281">
        <f t="shared" si="419"/>
        <v>18.055555555555557</v>
      </c>
      <c r="W336" s="282">
        <f t="shared" si="420"/>
        <v>32500</v>
      </c>
      <c r="X336" s="283"/>
      <c r="Y336" s="275"/>
      <c r="Z336" s="280">
        <f>Tabla14[[#This Row],[Cajas Segunda]]</f>
        <v>0</v>
      </c>
      <c r="AA336" s="281">
        <f t="shared" si="421"/>
        <v>0</v>
      </c>
      <c r="AB336" s="284">
        <f t="shared" si="422"/>
        <v>0</v>
      </c>
      <c r="AC336" s="285"/>
      <c r="AD336" s="286">
        <v>3041</v>
      </c>
      <c r="AE336" s="286"/>
      <c r="AF336" s="286"/>
      <c r="AG336" s="286">
        <v>18</v>
      </c>
      <c r="AH336" s="280">
        <f t="shared" si="423"/>
        <v>121.64</v>
      </c>
      <c r="AI336" s="281">
        <f t="shared" si="424"/>
        <v>6.7577777777777781</v>
      </c>
      <c r="AJ336" s="282">
        <f t="shared" si="425"/>
        <v>3885.7222222222226</v>
      </c>
      <c r="AK336" s="287">
        <f>Tabla14[[#This Row],[Cajas por Personas]]</f>
        <v>0</v>
      </c>
      <c r="AL336" s="288">
        <f>Tabla14[[#This Row],[Valor Precorte Pesona]]</f>
        <v>0</v>
      </c>
      <c r="AM336" s="294">
        <f>Tabla14[[#This Row],[Personas Precorte]]</f>
        <v>0</v>
      </c>
      <c r="AN336" s="308">
        <f>Tabla14[[#This Row],[Valor Precorte Pesona Precorte]]*Tabla14[[#This Row],[Perzonas Precorte]]</f>
        <v>0</v>
      </c>
      <c r="AO336" s="287">
        <f>Tabla14[[#This Row],[Cajas por Personas2]]</f>
        <v>18.055555555555557</v>
      </c>
      <c r="AP336" s="288">
        <f>Tabla14[[#This Row],[Valor Embarque Pesona]]</f>
        <v>32500</v>
      </c>
      <c r="AQ336" s="295">
        <f>Tabla14[[#This Row],[Personas Precorte2]]</f>
        <v>18</v>
      </c>
      <c r="AR336" s="296">
        <f>Tabla14[[#This Row],[Valor Embarque Pesona3]]*Tabla14[[#This Row],[Perzona Primera]]</f>
        <v>585000</v>
      </c>
      <c r="AS336" s="287">
        <f>Tabla14[[#This Row],[Columna2]]</f>
        <v>0</v>
      </c>
      <c r="AT336" s="288">
        <f>Tabla14[[#This Row],[Columna1]]</f>
        <v>0</v>
      </c>
      <c r="AU336" s="302">
        <f>Tabla14[[#This Row],[Personas Intervienen]]</f>
        <v>0</v>
      </c>
      <c r="AV336" s="297">
        <f>Tabla14[[#This Row],[Valor Embarque Pesona5]]*Tabla14[[#This Row],[Presonas Segunda]]</f>
        <v>0</v>
      </c>
      <c r="AW336" s="287">
        <f>Tabla14[[#This Row],[Bolsas Por Personas]]</f>
        <v>6.7577777777777781</v>
      </c>
      <c r="AX336" s="288">
        <f>Tabla14[[#This Row],[Valor bolsas Pesona]]</f>
        <v>3885.7222222222226</v>
      </c>
      <c r="AY336" s="309">
        <f>Tabla14[[#This Row],[Personas13]]</f>
        <v>18</v>
      </c>
      <c r="AZ336" s="310">
        <f>Tabla14[[#This Row],[Valor bolsas Pesona2]]*Tabla14[[#This Row],[Personas Rechazo]]</f>
        <v>69943</v>
      </c>
      <c r="BA336" s="311">
        <f>+Tabla14[[#This Row],[Total Valor Segunda]]+Tabla14[[#This Row],[Total Valor Primera]]+Tabla14[[#This Row],[Total Valor Precorte]]</f>
        <v>585000</v>
      </c>
      <c r="BB336" s="292">
        <f>Tabla14[[#This Row],[Valor bolsas Pesona2]]+Tabla14[[#This Row],[Valor Embarque Pesona3]]</f>
        <v>36385.722222222219</v>
      </c>
      <c r="BC336" s="332">
        <v>36500</v>
      </c>
      <c r="BD336" s="292">
        <f>Tabla14[[#This Row],[VALOR GANADO]]-Tabla14[[#This Row],[REAJUSTADO]]</f>
        <v>-114.27777777778101</v>
      </c>
      <c r="BE336" s="250">
        <f>Tabla14[[#This Row],[CUANTO SE REAJUSTA]]*Tabla14[[#This Row],[Personas Rechazo]]</f>
        <v>-2057.0000000000582</v>
      </c>
      <c r="BF336" s="250">
        <f>Tabla14[[#This Row],[REAJUSTADO]]/25000</f>
        <v>1.46</v>
      </c>
      <c r="BG336" s="302">
        <f>Tabla14[[#This Row],[REAJUSTADO]]*Tabla14[[#This Row],[Personas Rechazo]]</f>
        <v>657000</v>
      </c>
      <c r="BH336" s="292" t="str">
        <f>Tabla14[[#This Row],[Finca]]</f>
        <v>Pedrito</v>
      </c>
      <c r="BJ336" s="332">
        <f>Tabla14[[#This Row],[Numero de Ocacionales]]*Tabla14[[#This Row],[REAJUSTADO]]</f>
        <v>0</v>
      </c>
      <c r="BK336" s="332"/>
      <c r="BL336" s="332"/>
      <c r="BM336" s="332">
        <f>+Tabla14[[#This Row],[CUANTO SE REAJUSTA]]*3</f>
        <v>-342.83333333334303</v>
      </c>
    </row>
    <row r="337" spans="3:65" x14ac:dyDescent="0.25">
      <c r="C337" s="515">
        <v>45034</v>
      </c>
      <c r="D337" s="507">
        <f>YEAR(Tabla14[[#This Row],[Fecha]])</f>
        <v>2023</v>
      </c>
      <c r="E337" s="516">
        <f>IF(Tabla14[[#This Row],[Fecha]]&gt;0,_xlfn.ISOWEEKNUM(Tabla14[[#This Row],[Fecha]]),0)</f>
        <v>16</v>
      </c>
      <c r="F337" s="283">
        <f>110+98+100</f>
        <v>308</v>
      </c>
      <c r="G337" s="275" t="s">
        <v>250</v>
      </c>
      <c r="H337" s="325" t="str">
        <f>_xlfn.XLOOKUP(Tabla14[[#This Row],[Codigo Finca]],Tabla4[Codigo Finca],Tabla4[Nombre Finca],"")</f>
        <v>San Pedro</v>
      </c>
      <c r="I337" s="277">
        <f>_xlfn.XLOOKUP(Tabla14[[#This Row],[Codigo Finca]],Tabla4[Codigo Finca],Tabla4[Precio Caja],0)</f>
        <v>1800</v>
      </c>
      <c r="J337" s="277">
        <f>_xlfn.XLOOKUP(Tabla14[[#This Row],[Codigo Finca]],Tabla4[Codigo Finca],Tabla4[Precio Caja Segunda],0)</f>
        <v>1150</v>
      </c>
      <c r="K337" s="277">
        <f>_xlfn.XLOOKUP(Tabla14[[#This Row],[Codigo Finca]],Tabla4[Codigo Finca],Tabla4[Precio Rechazo],0)</f>
        <v>575</v>
      </c>
      <c r="L337" s="277">
        <f t="shared" si="413"/>
        <v>1231</v>
      </c>
      <c r="M337" s="278">
        <f t="shared" si="414"/>
        <v>3.9967532467532467</v>
      </c>
      <c r="N337" s="283"/>
      <c r="O337" s="279"/>
      <c r="P337" s="280">
        <f t="shared" si="415"/>
        <v>0</v>
      </c>
      <c r="Q337" s="281">
        <f t="shared" si="416"/>
        <v>0</v>
      </c>
      <c r="R337" s="282">
        <f t="shared" si="417"/>
        <v>0</v>
      </c>
      <c r="S337" s="283">
        <f>154+207+184+110+130+156+139+151</f>
        <v>1231</v>
      </c>
      <c r="T337" s="275">
        <v>15</v>
      </c>
      <c r="U337" s="280">
        <f t="shared" si="418"/>
        <v>308</v>
      </c>
      <c r="V337" s="281">
        <f t="shared" si="419"/>
        <v>20.533333333333335</v>
      </c>
      <c r="W337" s="282">
        <f t="shared" si="420"/>
        <v>36960</v>
      </c>
      <c r="X337" s="283"/>
      <c r="Y337" s="275"/>
      <c r="Z337" s="280">
        <f>Tabla14[[#This Row],[Cajas Segunda]]</f>
        <v>0</v>
      </c>
      <c r="AA337" s="281">
        <f t="shared" si="421"/>
        <v>0</v>
      </c>
      <c r="AB337" s="284">
        <f t="shared" si="422"/>
        <v>0</v>
      </c>
      <c r="AC337" s="285"/>
      <c r="AD337" s="286">
        <v>2010</v>
      </c>
      <c r="AE337" s="286"/>
      <c r="AF337" s="286"/>
      <c r="AG337" s="286">
        <v>15</v>
      </c>
      <c r="AH337" s="280">
        <f t="shared" si="423"/>
        <v>80.400000000000006</v>
      </c>
      <c r="AI337" s="281">
        <f t="shared" si="424"/>
        <v>5.36</v>
      </c>
      <c r="AJ337" s="282">
        <f t="shared" si="425"/>
        <v>3082</v>
      </c>
      <c r="AK337" s="287">
        <f>Tabla14[[#This Row],[Cajas por Personas]]</f>
        <v>0</v>
      </c>
      <c r="AL337" s="288">
        <f>Tabla14[[#This Row],[Valor Precorte Pesona]]</f>
        <v>0</v>
      </c>
      <c r="AM337" s="294">
        <f>Tabla14[[#This Row],[Personas Precorte]]</f>
        <v>0</v>
      </c>
      <c r="AN337" s="308">
        <f>Tabla14[[#This Row],[Valor Precorte Pesona Precorte]]*Tabla14[[#This Row],[Perzonas Precorte]]</f>
        <v>0</v>
      </c>
      <c r="AO337" s="287">
        <f>Tabla14[[#This Row],[Cajas por Personas2]]</f>
        <v>20.533333333333335</v>
      </c>
      <c r="AP337" s="288">
        <f>Tabla14[[#This Row],[Valor Embarque Pesona]]</f>
        <v>36960</v>
      </c>
      <c r="AQ337" s="295">
        <f>Tabla14[[#This Row],[Personas Precorte2]]</f>
        <v>15</v>
      </c>
      <c r="AR337" s="296">
        <f>Tabla14[[#This Row],[Valor Embarque Pesona3]]*Tabla14[[#This Row],[Perzona Primera]]</f>
        <v>554400</v>
      </c>
      <c r="AS337" s="287">
        <f>Tabla14[[#This Row],[Columna2]]</f>
        <v>0</v>
      </c>
      <c r="AT337" s="288">
        <f>Tabla14[[#This Row],[Columna1]]</f>
        <v>0</v>
      </c>
      <c r="AU337" s="302">
        <f>Tabla14[[#This Row],[Personas Intervienen]]</f>
        <v>0</v>
      </c>
      <c r="AV337" s="297">
        <f>Tabla14[[#This Row],[Valor Embarque Pesona5]]*Tabla14[[#This Row],[Presonas Segunda]]</f>
        <v>0</v>
      </c>
      <c r="AW337" s="287">
        <f>Tabla14[[#This Row],[Bolsas Por Personas]]</f>
        <v>5.36</v>
      </c>
      <c r="AX337" s="288">
        <f>Tabla14[[#This Row],[Valor bolsas Pesona]]</f>
        <v>3082</v>
      </c>
      <c r="AY337" s="309">
        <f>Tabla14[[#This Row],[Personas13]]</f>
        <v>15</v>
      </c>
      <c r="AZ337" s="310">
        <f>Tabla14[[#This Row],[Valor bolsas Pesona2]]*Tabla14[[#This Row],[Personas Rechazo]]</f>
        <v>46230</v>
      </c>
      <c r="BA337" s="311">
        <f>+Tabla14[[#This Row],[Total Valor Segunda]]+Tabla14[[#This Row],[Total Valor Primera]]+Tabla14[[#This Row],[Total Valor Precorte]]</f>
        <v>554400</v>
      </c>
      <c r="BB337" s="470">
        <f>Tabla14[[#This Row],[Valor bolsas Pesona2]]+Tabla14[[#This Row],[Valor Embarque Pesona3]]</f>
        <v>40042</v>
      </c>
      <c r="BC337" s="471">
        <v>43090</v>
      </c>
      <c r="BD337" s="470">
        <f>Tabla14[[#This Row],[VALOR GANADO]]-Tabla14[[#This Row],[REAJUSTADO]]</f>
        <v>-3048</v>
      </c>
      <c r="BE337" s="250">
        <f>Tabla14[[#This Row],[CUANTO SE REAJUSTA]]*Tabla14[[#This Row],[Personas Rechazo]]</f>
        <v>-45720</v>
      </c>
      <c r="BF337" s="250">
        <f>Tabla14[[#This Row],[REAJUSTADO]]/25000</f>
        <v>1.7236</v>
      </c>
      <c r="BG337" s="302">
        <f>Tabla14[[#This Row],[REAJUSTADO]]*Tabla14[[#This Row],[Personas Rechazo]]</f>
        <v>646350</v>
      </c>
      <c r="BH337" s="292" t="str">
        <f>Tabla14[[#This Row],[Finca]]</f>
        <v>San Pedro</v>
      </c>
      <c r="BJ337" s="332">
        <f>Tabla14[[#This Row],[Numero de Ocacionales]]*Tabla14[[#This Row],[REAJUSTADO]]</f>
        <v>0</v>
      </c>
      <c r="BK337" s="332"/>
      <c r="BL337" s="332"/>
      <c r="BM337" s="332">
        <f>+Tabla14[[#This Row],[CUANTO SE REAJUSTA]]*3</f>
        <v>-9144</v>
      </c>
    </row>
    <row r="338" spans="3:65" x14ac:dyDescent="0.25">
      <c r="C338" s="515">
        <v>45034</v>
      </c>
      <c r="D338" s="507">
        <f>YEAR(Tabla14[[#This Row],[Fecha]])</f>
        <v>2023</v>
      </c>
      <c r="E338" s="516">
        <f>IF(Tabla14[[#This Row],[Fecha]]&gt;0,_xlfn.ISOWEEKNUM(Tabla14[[#This Row],[Fecha]]),0)</f>
        <v>16</v>
      </c>
      <c r="F338" s="283">
        <v>21</v>
      </c>
      <c r="G338" s="275" t="s">
        <v>249</v>
      </c>
      <c r="H338" s="325" t="str">
        <f>_xlfn.XLOOKUP(Tabla14[[#This Row],[Codigo Finca]],Tabla4[Codigo Finca],Tabla4[Nombre Finca],"")</f>
        <v>San Pedro</v>
      </c>
      <c r="I338" s="277">
        <f>_xlfn.XLOOKUP(Tabla14[[#This Row],[Codigo Finca]],Tabla4[Codigo Finca],Tabla4[Precio Caja],0)</f>
        <v>2000</v>
      </c>
      <c r="J338" s="277">
        <f>_xlfn.XLOOKUP(Tabla14[[#This Row],[Codigo Finca]],Tabla4[Codigo Finca],Tabla4[Precio Caja Segunda],0)</f>
        <v>1150</v>
      </c>
      <c r="K338" s="277">
        <f>_xlfn.XLOOKUP(Tabla14[[#This Row],[Codigo Finca]],Tabla4[Codigo Finca],Tabla4[Precio Rechazo],0)</f>
        <v>675</v>
      </c>
      <c r="L338" s="277">
        <f t="shared" si="413"/>
        <v>103</v>
      </c>
      <c r="M338" s="278">
        <f t="shared" si="414"/>
        <v>4.9047619047619051</v>
      </c>
      <c r="N338" s="283"/>
      <c r="O338" s="279"/>
      <c r="P338" s="280">
        <f t="shared" si="415"/>
        <v>0</v>
      </c>
      <c r="Q338" s="281">
        <f t="shared" si="416"/>
        <v>0</v>
      </c>
      <c r="R338" s="282">
        <f t="shared" si="417"/>
        <v>0</v>
      </c>
      <c r="S338" s="283">
        <v>103</v>
      </c>
      <c r="T338" s="275">
        <v>15</v>
      </c>
      <c r="U338" s="280">
        <f t="shared" si="418"/>
        <v>21</v>
      </c>
      <c r="V338" s="281">
        <f t="shared" si="419"/>
        <v>1.4</v>
      </c>
      <c r="W338" s="282">
        <f t="shared" si="420"/>
        <v>2800</v>
      </c>
      <c r="X338" s="283"/>
      <c r="Y338" s="275"/>
      <c r="Z338" s="280">
        <f>Tabla14[[#This Row],[Cajas Segunda]]</f>
        <v>0</v>
      </c>
      <c r="AA338" s="281">
        <f t="shared" si="421"/>
        <v>0</v>
      </c>
      <c r="AB338" s="284">
        <f t="shared" si="422"/>
        <v>0</v>
      </c>
      <c r="AC338" s="285"/>
      <c r="AD338" s="286">
        <v>137</v>
      </c>
      <c r="AE338" s="286"/>
      <c r="AF338" s="286"/>
      <c r="AG338" s="286">
        <v>15</v>
      </c>
      <c r="AH338" s="280">
        <f t="shared" si="423"/>
        <v>5.48</v>
      </c>
      <c r="AI338" s="281">
        <f t="shared" si="424"/>
        <v>0.36533333333333334</v>
      </c>
      <c r="AJ338" s="282">
        <f t="shared" si="425"/>
        <v>246.6</v>
      </c>
      <c r="AK338" s="287">
        <f>Tabla14[[#This Row],[Cajas por Personas]]</f>
        <v>0</v>
      </c>
      <c r="AL338" s="288">
        <f>Tabla14[[#This Row],[Valor Precorte Pesona]]</f>
        <v>0</v>
      </c>
      <c r="AM338" s="294">
        <f>Tabla14[[#This Row],[Personas Precorte]]</f>
        <v>0</v>
      </c>
      <c r="AN338" s="308">
        <f>Tabla14[[#This Row],[Valor Precorte Pesona Precorte]]*Tabla14[[#This Row],[Perzonas Precorte]]</f>
        <v>0</v>
      </c>
      <c r="AO338" s="287">
        <f>Tabla14[[#This Row],[Cajas por Personas2]]</f>
        <v>1.4</v>
      </c>
      <c r="AP338" s="288">
        <f>Tabla14[[#This Row],[Valor Embarque Pesona]]</f>
        <v>2800</v>
      </c>
      <c r="AQ338" s="295">
        <f>Tabla14[[#This Row],[Personas Precorte2]]</f>
        <v>15</v>
      </c>
      <c r="AR338" s="296">
        <f>Tabla14[[#This Row],[Valor Embarque Pesona3]]*Tabla14[[#This Row],[Perzona Primera]]</f>
        <v>42000</v>
      </c>
      <c r="AS338" s="287">
        <f>Tabla14[[#This Row],[Columna2]]</f>
        <v>0</v>
      </c>
      <c r="AT338" s="288">
        <f>Tabla14[[#This Row],[Columna1]]</f>
        <v>0</v>
      </c>
      <c r="AU338" s="302">
        <f>Tabla14[[#This Row],[Personas Intervienen]]</f>
        <v>0</v>
      </c>
      <c r="AV338" s="297">
        <f>Tabla14[[#This Row],[Valor Embarque Pesona5]]*Tabla14[[#This Row],[Presonas Segunda]]</f>
        <v>0</v>
      </c>
      <c r="AW338" s="287">
        <f>Tabla14[[#This Row],[Bolsas Por Personas]]</f>
        <v>0.36533333333333334</v>
      </c>
      <c r="AX338" s="288">
        <f>Tabla14[[#This Row],[Valor bolsas Pesona]]</f>
        <v>246.6</v>
      </c>
      <c r="AY338" s="309">
        <f>Tabla14[[#This Row],[Personas13]]</f>
        <v>15</v>
      </c>
      <c r="AZ338" s="310">
        <f>Tabla14[[#This Row],[Valor bolsas Pesona2]]*Tabla14[[#This Row],[Personas Rechazo]]</f>
        <v>3699</v>
      </c>
      <c r="BA338" s="311">
        <f>+Tabla14[[#This Row],[Total Valor Segunda]]+Tabla14[[#This Row],[Total Valor Primera]]+Tabla14[[#This Row],[Total Valor Precorte]]</f>
        <v>42000</v>
      </c>
      <c r="BB338" s="470">
        <f>Tabla14[[#This Row],[Valor bolsas Pesona2]]+Tabla14[[#This Row],[Valor Embarque Pesona3]]</f>
        <v>3046.6</v>
      </c>
      <c r="BC338" s="471"/>
      <c r="BD338" s="470">
        <f>Tabla14[[#This Row],[VALOR GANADO]]-Tabla14[[#This Row],[REAJUSTADO]]</f>
        <v>3046.6</v>
      </c>
      <c r="BE338" s="250">
        <f>Tabla14[[#This Row],[CUANTO SE REAJUSTA]]*Tabla14[[#This Row],[Personas Rechazo]]</f>
        <v>45699</v>
      </c>
      <c r="BF338" s="250">
        <f>Tabla14[[#This Row],[REAJUSTADO]]/25000</f>
        <v>0</v>
      </c>
      <c r="BG338" s="302">
        <f>Tabla14[[#This Row],[REAJUSTADO]]*Tabla14[[#This Row],[Personas Rechazo]]</f>
        <v>0</v>
      </c>
      <c r="BH338" s="292" t="str">
        <f>Tabla14[[#This Row],[Finca]]</f>
        <v>San Pedro</v>
      </c>
      <c r="BJ338" s="332">
        <f>Tabla14[[#This Row],[Numero de Ocacionales]]*Tabla14[[#This Row],[REAJUSTADO]]</f>
        <v>0</v>
      </c>
      <c r="BK338" s="332"/>
      <c r="BL338" s="332"/>
      <c r="BM338" s="332">
        <f>+Tabla14[[#This Row],[CUANTO SE REAJUSTA]]*3</f>
        <v>9139.7999999999993</v>
      </c>
    </row>
    <row r="339" spans="3:65" x14ac:dyDescent="0.25">
      <c r="C339" s="515">
        <v>45034</v>
      </c>
      <c r="D339" s="507">
        <f>YEAR(Tabla14[[#This Row],[Fecha]])</f>
        <v>2023</v>
      </c>
      <c r="E339" s="516">
        <f>IF(Tabla14[[#This Row],[Fecha]]&gt;0,_xlfn.ISOWEEKNUM(Tabla14[[#This Row],[Fecha]]),0)</f>
        <v>16</v>
      </c>
      <c r="F339" s="283">
        <v>62</v>
      </c>
      <c r="G339" s="275" t="s">
        <v>247</v>
      </c>
      <c r="H339" s="325" t="str">
        <f>_xlfn.XLOOKUP(Tabla14[[#This Row],[Codigo Finca]],Tabla4[Codigo Finca],Tabla4[Nombre Finca],"")</f>
        <v>Uveros</v>
      </c>
      <c r="I339" s="277">
        <f>_xlfn.XLOOKUP(Tabla14[[#This Row],[Codigo Finca]],Tabla4[Codigo Finca],Tabla4[Precio Caja],0)</f>
        <v>1800</v>
      </c>
      <c r="J339" s="277">
        <f>_xlfn.XLOOKUP(Tabla14[[#This Row],[Codigo Finca]],Tabla4[Codigo Finca],Tabla4[Precio Caja Segunda],0)</f>
        <v>1150</v>
      </c>
      <c r="K339" s="277">
        <f>_xlfn.XLOOKUP(Tabla14[[#This Row],[Codigo Finca]],Tabla4[Codigo Finca],Tabla4[Precio Rechazo],0)</f>
        <v>575</v>
      </c>
      <c r="L339" s="277">
        <f t="shared" si="413"/>
        <v>318</v>
      </c>
      <c r="M339" s="278">
        <f t="shared" si="414"/>
        <v>5.129032258064516</v>
      </c>
      <c r="N339" s="283"/>
      <c r="O339" s="279"/>
      <c r="P339" s="280">
        <f t="shared" si="415"/>
        <v>0</v>
      </c>
      <c r="Q339" s="281">
        <f t="shared" si="416"/>
        <v>0</v>
      </c>
      <c r="R339" s="282">
        <f t="shared" si="417"/>
        <v>0</v>
      </c>
      <c r="S339" s="283">
        <v>318</v>
      </c>
      <c r="T339" s="275">
        <v>4</v>
      </c>
      <c r="U339" s="280">
        <f t="shared" si="418"/>
        <v>62</v>
      </c>
      <c r="V339" s="281">
        <f t="shared" si="419"/>
        <v>15.5</v>
      </c>
      <c r="W339" s="282">
        <f t="shared" si="420"/>
        <v>27900</v>
      </c>
      <c r="X339" s="283"/>
      <c r="Y339" s="275"/>
      <c r="Z339" s="280">
        <f>Tabla14[[#This Row],[Cajas Segunda]]</f>
        <v>0</v>
      </c>
      <c r="AA339" s="281">
        <f t="shared" si="421"/>
        <v>0</v>
      </c>
      <c r="AB339" s="284">
        <f t="shared" si="422"/>
        <v>0</v>
      </c>
      <c r="AC339" s="285"/>
      <c r="AD339" s="286">
        <v>580</v>
      </c>
      <c r="AE339" s="286"/>
      <c r="AF339" s="286"/>
      <c r="AG339" s="286">
        <v>4</v>
      </c>
      <c r="AH339" s="280">
        <f t="shared" si="423"/>
        <v>23.2</v>
      </c>
      <c r="AI339" s="281">
        <f t="shared" si="424"/>
        <v>5.8</v>
      </c>
      <c r="AJ339" s="282">
        <f t="shared" si="425"/>
        <v>3335</v>
      </c>
      <c r="AK339" s="287">
        <f>Tabla14[[#This Row],[Cajas por Personas]]</f>
        <v>0</v>
      </c>
      <c r="AL339" s="288">
        <f>Tabla14[[#This Row],[Valor Precorte Pesona]]</f>
        <v>0</v>
      </c>
      <c r="AM339" s="294">
        <f>Tabla14[[#This Row],[Personas Precorte]]</f>
        <v>0</v>
      </c>
      <c r="AN339" s="308">
        <f>Tabla14[[#This Row],[Valor Precorte Pesona Precorte]]*Tabla14[[#This Row],[Perzonas Precorte]]</f>
        <v>0</v>
      </c>
      <c r="AO339" s="287">
        <f>Tabla14[[#This Row],[Cajas por Personas2]]</f>
        <v>15.5</v>
      </c>
      <c r="AP339" s="288">
        <f>Tabla14[[#This Row],[Valor Embarque Pesona]]</f>
        <v>27900</v>
      </c>
      <c r="AQ339" s="295">
        <f>Tabla14[[#This Row],[Personas Precorte2]]</f>
        <v>4</v>
      </c>
      <c r="AR339" s="296">
        <f>Tabla14[[#This Row],[Valor Embarque Pesona3]]*Tabla14[[#This Row],[Perzona Primera]]</f>
        <v>111600</v>
      </c>
      <c r="AS339" s="287">
        <f>Tabla14[[#This Row],[Columna2]]</f>
        <v>0</v>
      </c>
      <c r="AT339" s="288">
        <f>Tabla14[[#This Row],[Columna1]]</f>
        <v>0</v>
      </c>
      <c r="AU339" s="302">
        <f>Tabla14[[#This Row],[Personas Intervienen]]</f>
        <v>0</v>
      </c>
      <c r="AV339" s="297">
        <f>Tabla14[[#This Row],[Valor Embarque Pesona5]]*Tabla14[[#This Row],[Presonas Segunda]]</f>
        <v>0</v>
      </c>
      <c r="AW339" s="287">
        <f>Tabla14[[#This Row],[Bolsas Por Personas]]</f>
        <v>5.8</v>
      </c>
      <c r="AX339" s="288">
        <f>Tabla14[[#This Row],[Valor bolsas Pesona]]</f>
        <v>3335</v>
      </c>
      <c r="AY339" s="309">
        <f>Tabla14[[#This Row],[Personas13]]</f>
        <v>4</v>
      </c>
      <c r="AZ339" s="310">
        <f>Tabla14[[#This Row],[Valor bolsas Pesona2]]*Tabla14[[#This Row],[Personas Rechazo]]</f>
        <v>13340</v>
      </c>
      <c r="BA339" s="311">
        <f>+Tabla14[[#This Row],[Total Valor Segunda]]+Tabla14[[#This Row],[Total Valor Primera]]+Tabla14[[#This Row],[Total Valor Precorte]]</f>
        <v>111600</v>
      </c>
      <c r="BB339" s="292">
        <f>Tabla14[[#This Row],[Valor bolsas Pesona2]]+Tabla14[[#This Row],[Valor Embarque Pesona3]]</f>
        <v>31235</v>
      </c>
      <c r="BC339" s="332">
        <v>30000</v>
      </c>
      <c r="BD339" s="292">
        <f>Tabla14[[#This Row],[VALOR GANADO]]-Tabla14[[#This Row],[REAJUSTADO]]</f>
        <v>1235</v>
      </c>
      <c r="BE339" s="250">
        <f>Tabla14[[#This Row],[CUANTO SE REAJUSTA]]*Tabla14[[#This Row],[Personas Rechazo]]</f>
        <v>4940</v>
      </c>
      <c r="BF339" s="250">
        <f>Tabla14[[#This Row],[REAJUSTADO]]/25000</f>
        <v>1.2</v>
      </c>
      <c r="BG339" s="302">
        <f>Tabla14[[#This Row],[REAJUSTADO]]*Tabla14[[#This Row],[Personas Rechazo]]</f>
        <v>120000</v>
      </c>
      <c r="BH339" s="292" t="str">
        <f>Tabla14[[#This Row],[Finca]]</f>
        <v>Uveros</v>
      </c>
      <c r="BJ339" s="332">
        <f>Tabla14[[#This Row],[Numero de Ocacionales]]*Tabla14[[#This Row],[REAJUSTADO]]</f>
        <v>0</v>
      </c>
      <c r="BK339" s="332"/>
      <c r="BL339" s="332"/>
      <c r="BM339" s="332">
        <f>+Tabla14[[#This Row],[CUANTO SE REAJUSTA]]*3</f>
        <v>3705</v>
      </c>
    </row>
    <row r="340" spans="3:65" x14ac:dyDescent="0.25">
      <c r="C340" s="515">
        <v>45035</v>
      </c>
      <c r="D340" s="507">
        <f>YEAR(Tabla14[[#This Row],[Fecha]])</f>
        <v>2023</v>
      </c>
      <c r="E340" s="516">
        <f>IF(Tabla14[[#This Row],[Fecha]]&gt;0,_xlfn.ISOWEEKNUM(Tabla14[[#This Row],[Fecha]]),0)</f>
        <v>16</v>
      </c>
      <c r="F340" s="283">
        <v>58</v>
      </c>
      <c r="G340" s="275" t="s">
        <v>248</v>
      </c>
      <c r="H340" s="325" t="str">
        <f>_xlfn.XLOOKUP(Tabla14[[#This Row],[Codigo Finca]],Tabla4[Codigo Finca],Tabla4[Nombre Finca],"")</f>
        <v>Damaquiel</v>
      </c>
      <c r="I340" s="277">
        <f>_xlfn.XLOOKUP(Tabla14[[#This Row],[Codigo Finca]],Tabla4[Codigo Finca],Tabla4[Precio Caja],0)</f>
        <v>1800</v>
      </c>
      <c r="J340" s="277">
        <f>_xlfn.XLOOKUP(Tabla14[[#This Row],[Codigo Finca]],Tabla4[Codigo Finca],Tabla4[Precio Caja Segunda],0)</f>
        <v>1150</v>
      </c>
      <c r="K340" s="277">
        <f>_xlfn.XLOOKUP(Tabla14[[#This Row],[Codigo Finca]],Tabla4[Codigo Finca],Tabla4[Precio Rechazo],0)</f>
        <v>575</v>
      </c>
      <c r="L340" s="277">
        <f t="shared" si="413"/>
        <v>339</v>
      </c>
      <c r="M340" s="278">
        <f t="shared" si="414"/>
        <v>5.8448275862068968</v>
      </c>
      <c r="N340" s="283"/>
      <c r="O340" s="279"/>
      <c r="P340" s="280">
        <f t="shared" si="415"/>
        <v>0</v>
      </c>
      <c r="Q340" s="281">
        <f t="shared" si="416"/>
        <v>0</v>
      </c>
      <c r="R340" s="282">
        <f t="shared" si="417"/>
        <v>0</v>
      </c>
      <c r="S340" s="283">
        <v>339</v>
      </c>
      <c r="T340" s="275">
        <v>5</v>
      </c>
      <c r="U340" s="280">
        <f t="shared" si="418"/>
        <v>58</v>
      </c>
      <c r="V340" s="281">
        <f t="shared" si="419"/>
        <v>11.6</v>
      </c>
      <c r="W340" s="282">
        <f t="shared" si="420"/>
        <v>20880</v>
      </c>
      <c r="X340" s="283"/>
      <c r="Y340" s="275"/>
      <c r="Z340" s="280">
        <f>Tabla14[[#This Row],[Cajas Segunda]]</f>
        <v>0</v>
      </c>
      <c r="AA340" s="281">
        <f t="shared" si="421"/>
        <v>0</v>
      </c>
      <c r="AB340" s="284">
        <f t="shared" si="422"/>
        <v>0</v>
      </c>
      <c r="AC340" s="285"/>
      <c r="AD340" s="286">
        <f>96+100+99+85+98+89+89</f>
        <v>656</v>
      </c>
      <c r="AE340" s="286"/>
      <c r="AF340" s="286"/>
      <c r="AG340" s="286">
        <v>5</v>
      </c>
      <c r="AH340" s="280">
        <f t="shared" si="423"/>
        <v>26.24</v>
      </c>
      <c r="AI340" s="281">
        <f t="shared" si="424"/>
        <v>5.2479999999999993</v>
      </c>
      <c r="AJ340" s="282">
        <f t="shared" si="425"/>
        <v>3017.5999999999995</v>
      </c>
      <c r="AK340" s="287">
        <f>Tabla14[[#This Row],[Cajas por Personas]]</f>
        <v>0</v>
      </c>
      <c r="AL340" s="288">
        <f>Tabla14[[#This Row],[Valor Precorte Pesona]]</f>
        <v>0</v>
      </c>
      <c r="AM340" s="294">
        <f>Tabla14[[#This Row],[Personas Precorte]]</f>
        <v>0</v>
      </c>
      <c r="AN340" s="308">
        <f>Tabla14[[#This Row],[Valor Precorte Pesona Precorte]]*Tabla14[[#This Row],[Perzonas Precorte]]</f>
        <v>0</v>
      </c>
      <c r="AO340" s="287">
        <f>Tabla14[[#This Row],[Cajas por Personas2]]</f>
        <v>11.6</v>
      </c>
      <c r="AP340" s="288">
        <f>Tabla14[[#This Row],[Valor Embarque Pesona]]</f>
        <v>20880</v>
      </c>
      <c r="AQ340" s="295">
        <f>Tabla14[[#This Row],[Personas Precorte2]]</f>
        <v>5</v>
      </c>
      <c r="AR340" s="296">
        <f>Tabla14[[#This Row],[Valor Embarque Pesona3]]*Tabla14[[#This Row],[Perzona Primera]]</f>
        <v>104400</v>
      </c>
      <c r="AS340" s="287">
        <f>Tabla14[[#This Row],[Columna2]]</f>
        <v>0</v>
      </c>
      <c r="AT340" s="288">
        <f>Tabla14[[#This Row],[Columna1]]</f>
        <v>0</v>
      </c>
      <c r="AU340" s="302">
        <f>Tabla14[[#This Row],[Personas Intervienen]]</f>
        <v>0</v>
      </c>
      <c r="AV340" s="297">
        <f>Tabla14[[#This Row],[Valor Embarque Pesona5]]*Tabla14[[#This Row],[Presonas Segunda]]</f>
        <v>0</v>
      </c>
      <c r="AW340" s="287">
        <f>Tabla14[[#This Row],[Bolsas Por Personas]]</f>
        <v>5.2479999999999993</v>
      </c>
      <c r="AX340" s="288">
        <f>Tabla14[[#This Row],[Valor bolsas Pesona]]</f>
        <v>3017.5999999999995</v>
      </c>
      <c r="AY340" s="309">
        <f>Tabla14[[#This Row],[Personas13]]</f>
        <v>5</v>
      </c>
      <c r="AZ340" s="310">
        <f>Tabla14[[#This Row],[Valor bolsas Pesona2]]*Tabla14[[#This Row],[Personas Rechazo]]</f>
        <v>15087.999999999996</v>
      </c>
      <c r="BA340" s="311">
        <f>+Tabla14[[#This Row],[Total Valor Segunda]]+Tabla14[[#This Row],[Total Valor Primera]]+Tabla14[[#This Row],[Total Valor Precorte]]</f>
        <v>104400</v>
      </c>
      <c r="BB340" s="292">
        <f>Tabla14[[#This Row],[Valor bolsas Pesona2]]+Tabla14[[#This Row],[Valor Embarque Pesona3]]</f>
        <v>23897.599999999999</v>
      </c>
      <c r="BC340" s="332">
        <v>30000</v>
      </c>
      <c r="BD340" s="292">
        <f>Tabla14[[#This Row],[VALOR GANADO]]-Tabla14[[#This Row],[REAJUSTADO]]</f>
        <v>-6102.4000000000015</v>
      </c>
      <c r="BE340" s="250">
        <f>Tabla14[[#This Row],[CUANTO SE REAJUSTA]]*Tabla14[[#This Row],[Personas Rechazo]]</f>
        <v>-30512.000000000007</v>
      </c>
      <c r="BF340" s="250">
        <f>Tabla14[[#This Row],[REAJUSTADO]]/25000</f>
        <v>1.2</v>
      </c>
      <c r="BG340" s="302">
        <f>Tabla14[[#This Row],[REAJUSTADO]]*Tabla14[[#This Row],[Personas Rechazo]]</f>
        <v>150000</v>
      </c>
      <c r="BH340" s="292" t="str">
        <f>Tabla14[[#This Row],[Finca]]</f>
        <v>Damaquiel</v>
      </c>
      <c r="BJ340" s="332">
        <f>Tabla14[[#This Row],[Numero de Ocacionales]]*Tabla14[[#This Row],[REAJUSTADO]]</f>
        <v>0</v>
      </c>
      <c r="BK340" s="332"/>
      <c r="BL340" s="332"/>
      <c r="BM340" s="332">
        <f>+Tabla14[[#This Row],[CUANTO SE REAJUSTA]]*3</f>
        <v>-18307.200000000004</v>
      </c>
    </row>
    <row r="341" spans="3:65" x14ac:dyDescent="0.25">
      <c r="C341" s="515">
        <v>45035</v>
      </c>
      <c r="D341" s="507">
        <f>YEAR(Tabla14[[#This Row],[Fecha]])</f>
        <v>2023</v>
      </c>
      <c r="E341" s="516">
        <f>IF(Tabla14[[#This Row],[Fecha]]&gt;0,_xlfn.ISOWEEKNUM(Tabla14[[#This Row],[Fecha]]),0)</f>
        <v>16</v>
      </c>
      <c r="F341" s="283">
        <v>255</v>
      </c>
      <c r="G341" s="275" t="s">
        <v>251</v>
      </c>
      <c r="H341" s="325" t="str">
        <f>_xlfn.XLOOKUP(Tabla14[[#This Row],[Codigo Finca]],Tabla4[Codigo Finca],Tabla4[Nombre Finca],"")</f>
        <v>Pedrito</v>
      </c>
      <c r="I341" s="277">
        <f>_xlfn.XLOOKUP(Tabla14[[#This Row],[Codigo Finca]],Tabla4[Codigo Finca],Tabla4[Precio Caja],0)</f>
        <v>1800</v>
      </c>
      <c r="J341" s="277">
        <f>_xlfn.XLOOKUP(Tabla14[[#This Row],[Codigo Finca]],Tabla4[Codigo Finca],Tabla4[Precio Caja Segunda],0)</f>
        <v>1150</v>
      </c>
      <c r="K341" s="277">
        <f>_xlfn.XLOOKUP(Tabla14[[#This Row],[Codigo Finca]],Tabla4[Codigo Finca],Tabla4[Precio Rechazo],0)</f>
        <v>575</v>
      </c>
      <c r="L341" s="277">
        <f t="shared" si="413"/>
        <v>1211</v>
      </c>
      <c r="M341" s="278">
        <f t="shared" si="414"/>
        <v>4.7490196078431373</v>
      </c>
      <c r="N341" s="283"/>
      <c r="O341" s="279"/>
      <c r="P341" s="280">
        <f t="shared" si="415"/>
        <v>0</v>
      </c>
      <c r="Q341" s="281">
        <f t="shared" si="416"/>
        <v>0</v>
      </c>
      <c r="R341" s="282">
        <f t="shared" si="417"/>
        <v>0</v>
      </c>
      <c r="S341" s="283">
        <v>1211</v>
      </c>
      <c r="T341" s="275">
        <v>14</v>
      </c>
      <c r="U341" s="280">
        <f t="shared" si="418"/>
        <v>255</v>
      </c>
      <c r="V341" s="281">
        <f t="shared" si="419"/>
        <v>18.214285714285715</v>
      </c>
      <c r="W341" s="282">
        <f t="shared" si="420"/>
        <v>32785.714285714283</v>
      </c>
      <c r="X341" s="283"/>
      <c r="Y341" s="275"/>
      <c r="Z341" s="280">
        <f>Tabla14[[#This Row],[Cajas Segunda]]</f>
        <v>0</v>
      </c>
      <c r="AA341" s="281">
        <f t="shared" si="421"/>
        <v>0</v>
      </c>
      <c r="AB341" s="284">
        <f t="shared" si="422"/>
        <v>0</v>
      </c>
      <c r="AC341" s="285"/>
      <c r="AD341" s="286">
        <v>2159</v>
      </c>
      <c r="AE341" s="286"/>
      <c r="AF341" s="286"/>
      <c r="AG341" s="286">
        <v>14</v>
      </c>
      <c r="AH341" s="280">
        <f t="shared" si="423"/>
        <v>86.36</v>
      </c>
      <c r="AI341" s="281">
        <f t="shared" si="424"/>
        <v>6.1685714285714282</v>
      </c>
      <c r="AJ341" s="282">
        <f t="shared" si="425"/>
        <v>3546.9285714285711</v>
      </c>
      <c r="AK341" s="287">
        <f>Tabla14[[#This Row],[Cajas por Personas]]</f>
        <v>0</v>
      </c>
      <c r="AL341" s="288">
        <f>Tabla14[[#This Row],[Valor Precorte Pesona]]</f>
        <v>0</v>
      </c>
      <c r="AM341" s="294">
        <f>Tabla14[[#This Row],[Personas Precorte]]</f>
        <v>0</v>
      </c>
      <c r="AN341" s="308">
        <f>Tabla14[[#This Row],[Valor Precorte Pesona Precorte]]*Tabla14[[#This Row],[Perzonas Precorte]]</f>
        <v>0</v>
      </c>
      <c r="AO341" s="287">
        <f>Tabla14[[#This Row],[Cajas por Personas2]]</f>
        <v>18.214285714285715</v>
      </c>
      <c r="AP341" s="288">
        <f>Tabla14[[#This Row],[Valor Embarque Pesona]]</f>
        <v>32785.714285714283</v>
      </c>
      <c r="AQ341" s="295">
        <f>Tabla14[[#This Row],[Personas Precorte2]]</f>
        <v>14</v>
      </c>
      <c r="AR341" s="296">
        <f>Tabla14[[#This Row],[Valor Embarque Pesona3]]*Tabla14[[#This Row],[Perzona Primera]]</f>
        <v>458999.99999999994</v>
      </c>
      <c r="AS341" s="287">
        <f>Tabla14[[#This Row],[Columna2]]</f>
        <v>0</v>
      </c>
      <c r="AT341" s="288">
        <f>Tabla14[[#This Row],[Columna1]]</f>
        <v>0</v>
      </c>
      <c r="AU341" s="302">
        <f>Tabla14[[#This Row],[Personas Intervienen]]</f>
        <v>0</v>
      </c>
      <c r="AV341" s="297">
        <f>Tabla14[[#This Row],[Valor Embarque Pesona5]]*Tabla14[[#This Row],[Presonas Segunda]]</f>
        <v>0</v>
      </c>
      <c r="AW341" s="287">
        <f>Tabla14[[#This Row],[Bolsas Por Personas]]</f>
        <v>6.1685714285714282</v>
      </c>
      <c r="AX341" s="288">
        <f>Tabla14[[#This Row],[Valor bolsas Pesona]]</f>
        <v>3546.9285714285711</v>
      </c>
      <c r="AY341" s="309">
        <f>Tabla14[[#This Row],[Personas13]]</f>
        <v>14</v>
      </c>
      <c r="AZ341" s="310">
        <f>Tabla14[[#This Row],[Valor bolsas Pesona2]]*Tabla14[[#This Row],[Personas Rechazo]]</f>
        <v>49656.999999999993</v>
      </c>
      <c r="BA341" s="311">
        <f>+Tabla14[[#This Row],[Total Valor Segunda]]+Tabla14[[#This Row],[Total Valor Primera]]+Tabla14[[#This Row],[Total Valor Precorte]]</f>
        <v>458999.99999999994</v>
      </c>
      <c r="BB341" s="292">
        <f>Tabla14[[#This Row],[Valor bolsas Pesona2]]+Tabla14[[#This Row],[Valor Embarque Pesona3]]</f>
        <v>36332.642857142855</v>
      </c>
      <c r="BC341" s="332">
        <v>36340</v>
      </c>
      <c r="BD341" s="292">
        <f>Tabla14[[#This Row],[VALOR GANADO]]-Tabla14[[#This Row],[REAJUSTADO]]</f>
        <v>-7.357142857144936</v>
      </c>
      <c r="BE341" s="250">
        <f>Tabla14[[#This Row],[CUANTO SE REAJUSTA]]*Tabla14[[#This Row],[Personas Rechazo]]</f>
        <v>-103.0000000000291</v>
      </c>
      <c r="BF341" s="250">
        <f>Tabla14[[#This Row],[REAJUSTADO]]/25000</f>
        <v>1.4536</v>
      </c>
      <c r="BG341" s="302">
        <f>Tabla14[[#This Row],[REAJUSTADO]]*Tabla14[[#This Row],[Personas Rechazo]]</f>
        <v>508760</v>
      </c>
      <c r="BH341" s="292" t="str">
        <f>Tabla14[[#This Row],[Finca]]</f>
        <v>Pedrito</v>
      </c>
      <c r="BJ341" s="332">
        <f>Tabla14[[#This Row],[Numero de Ocacionales]]*Tabla14[[#This Row],[REAJUSTADO]]</f>
        <v>0</v>
      </c>
      <c r="BK341" s="332"/>
      <c r="BL341" s="332"/>
      <c r="BM341" s="332">
        <f>+Tabla14[[#This Row],[CUANTO SE REAJUSTA]]*3</f>
        <v>-22.071428571434808</v>
      </c>
    </row>
    <row r="342" spans="3:65" x14ac:dyDescent="0.25">
      <c r="C342" s="515">
        <v>45041</v>
      </c>
      <c r="D342" s="507">
        <f>YEAR(Tabla14[[#This Row],[Fecha]])</f>
        <v>2023</v>
      </c>
      <c r="E342" s="516">
        <f>IF(Tabla14[[#This Row],[Fecha]]&gt;0,_xlfn.ISOWEEKNUM(Tabla14[[#This Row],[Fecha]]),0)</f>
        <v>17</v>
      </c>
      <c r="F342" s="283">
        <f>100+103+78</f>
        <v>281</v>
      </c>
      <c r="G342" s="275" t="s">
        <v>259</v>
      </c>
      <c r="H342" s="325" t="str">
        <f>_xlfn.XLOOKUP(Tabla14[[#This Row],[Codigo Finca]],Tabla4[Codigo Finca],Tabla4[Nombre Finca],"")</f>
        <v>San Pedro</v>
      </c>
      <c r="I342" s="277">
        <f>_xlfn.XLOOKUP(Tabla14[[#This Row],[Codigo Finca]],Tabla4[Codigo Finca],Tabla4[Precio Caja],0)</f>
        <v>1800</v>
      </c>
      <c r="J342" s="277">
        <f>_xlfn.XLOOKUP(Tabla14[[#This Row],[Codigo Finca]],Tabla4[Codigo Finca],Tabla4[Precio Caja Segunda],0)</f>
        <v>1150</v>
      </c>
      <c r="K342" s="277">
        <f>_xlfn.XLOOKUP(Tabla14[[#This Row],[Codigo Finca]],Tabla4[Codigo Finca],Tabla4[Precio Rechazo],0)</f>
        <v>575</v>
      </c>
      <c r="L342" s="277">
        <f t="shared" si="413"/>
        <v>1153</v>
      </c>
      <c r="M342" s="278">
        <f t="shared" si="414"/>
        <v>4.1032028469750887</v>
      </c>
      <c r="N342" s="283"/>
      <c r="O342" s="279"/>
      <c r="P342" s="280">
        <f t="shared" si="415"/>
        <v>0</v>
      </c>
      <c r="Q342" s="281">
        <f t="shared" si="416"/>
        <v>0</v>
      </c>
      <c r="R342" s="282">
        <f t="shared" si="417"/>
        <v>0</v>
      </c>
      <c r="S342" s="283">
        <v>1153</v>
      </c>
      <c r="T342" s="275">
        <v>16</v>
      </c>
      <c r="U342" s="280">
        <f t="shared" si="418"/>
        <v>281</v>
      </c>
      <c r="V342" s="281">
        <f t="shared" si="419"/>
        <v>17.5625</v>
      </c>
      <c r="W342" s="282">
        <f t="shared" si="420"/>
        <v>31612.5</v>
      </c>
      <c r="X342" s="283"/>
      <c r="Y342" s="275"/>
      <c r="Z342" s="280">
        <f>Tabla14[[#This Row],[Cajas Segunda]]</f>
        <v>0</v>
      </c>
      <c r="AA342" s="281">
        <f t="shared" si="421"/>
        <v>0</v>
      </c>
      <c r="AB342" s="284">
        <f t="shared" si="422"/>
        <v>0</v>
      </c>
      <c r="AC342" s="285"/>
      <c r="AD342" s="286">
        <v>1937</v>
      </c>
      <c r="AE342" s="286"/>
      <c r="AF342" s="286"/>
      <c r="AG342" s="286">
        <v>16</v>
      </c>
      <c r="AH342" s="280">
        <f t="shared" si="423"/>
        <v>77.48</v>
      </c>
      <c r="AI342" s="281">
        <f t="shared" si="424"/>
        <v>4.8425000000000002</v>
      </c>
      <c r="AJ342" s="282">
        <f t="shared" si="425"/>
        <v>2784.4375</v>
      </c>
      <c r="AK342" s="287">
        <f>Tabla14[[#This Row],[Cajas por Personas]]</f>
        <v>0</v>
      </c>
      <c r="AL342" s="288">
        <f>Tabla14[[#This Row],[Valor Precorte Pesona]]</f>
        <v>0</v>
      </c>
      <c r="AM342" s="294">
        <f>Tabla14[[#This Row],[Personas Precorte]]</f>
        <v>0</v>
      </c>
      <c r="AN342" s="308">
        <f>Tabla14[[#This Row],[Valor Precorte Pesona Precorte]]*Tabla14[[#This Row],[Perzonas Precorte]]</f>
        <v>0</v>
      </c>
      <c r="AO342" s="287">
        <f>Tabla14[[#This Row],[Cajas por Personas2]]</f>
        <v>17.5625</v>
      </c>
      <c r="AP342" s="288">
        <f>Tabla14[[#This Row],[Valor Embarque Pesona]]</f>
        <v>31612.5</v>
      </c>
      <c r="AQ342" s="295">
        <f>Tabla14[[#This Row],[Personas Precorte2]]</f>
        <v>16</v>
      </c>
      <c r="AR342" s="296">
        <f>Tabla14[[#This Row],[Valor Embarque Pesona3]]*Tabla14[[#This Row],[Perzona Primera]]</f>
        <v>505800</v>
      </c>
      <c r="AS342" s="287">
        <f>Tabla14[[#This Row],[Columna2]]</f>
        <v>0</v>
      </c>
      <c r="AT342" s="288">
        <f>Tabla14[[#This Row],[Columna1]]</f>
        <v>0</v>
      </c>
      <c r="AU342" s="302">
        <f>Tabla14[[#This Row],[Personas Intervienen]]</f>
        <v>0</v>
      </c>
      <c r="AV342" s="297">
        <f>Tabla14[[#This Row],[Valor Embarque Pesona5]]*Tabla14[[#This Row],[Presonas Segunda]]</f>
        <v>0</v>
      </c>
      <c r="AW342" s="287">
        <f>Tabla14[[#This Row],[Bolsas Por Personas]]</f>
        <v>4.8425000000000002</v>
      </c>
      <c r="AX342" s="288">
        <f>Tabla14[[#This Row],[Valor bolsas Pesona]]</f>
        <v>2784.4375</v>
      </c>
      <c r="AY342" s="309">
        <f>Tabla14[[#This Row],[Personas13]]</f>
        <v>16</v>
      </c>
      <c r="AZ342" s="310">
        <f>Tabla14[[#This Row],[Valor bolsas Pesona2]]*Tabla14[[#This Row],[Personas Rechazo]]</f>
        <v>44551</v>
      </c>
      <c r="BA342" s="311">
        <f>+Tabla14[[#This Row],[Total Valor Segunda]]+Tabla14[[#This Row],[Total Valor Primera]]+Tabla14[[#This Row],[Total Valor Precorte]]</f>
        <v>505800</v>
      </c>
      <c r="BB342" s="451">
        <f>Tabla14[[#This Row],[Valor bolsas Pesona2]]+Tabla14[[#This Row],[Valor Embarque Pesona3]]</f>
        <v>34396.9375</v>
      </c>
      <c r="BC342" s="452">
        <v>38000</v>
      </c>
      <c r="BD342" s="451">
        <f>Tabla14[[#This Row],[VALOR GANADO]]-Tabla14[[#This Row],[REAJUSTADO]]</f>
        <v>-3603.0625</v>
      </c>
      <c r="BE342" s="250">
        <f>Tabla14[[#This Row],[CUANTO SE REAJUSTA]]*Tabla14[[#This Row],[Personas Rechazo]]</f>
        <v>-57649</v>
      </c>
      <c r="BF342" s="250">
        <f>Tabla14[[#This Row],[REAJUSTADO]]/25000</f>
        <v>1.52</v>
      </c>
      <c r="BG342" s="302">
        <f>Tabla14[[#This Row],[REAJUSTADO]]*Tabla14[[#This Row],[Personas Rechazo]]</f>
        <v>608000</v>
      </c>
      <c r="BH342" s="292" t="str">
        <f>Tabla14[[#This Row],[Finca]]</f>
        <v>San Pedro</v>
      </c>
      <c r="BJ342" s="332">
        <f>Tabla14[[#This Row],[Numero de Ocacionales]]*Tabla14[[#This Row],[REAJUSTADO]]</f>
        <v>0</v>
      </c>
      <c r="BK342" s="332"/>
      <c r="BL342" s="332"/>
      <c r="BM342" s="332">
        <f>+Tabla14[[#This Row],[CUANTO SE REAJUSTA]]*3</f>
        <v>-10809.1875</v>
      </c>
    </row>
    <row r="343" spans="3:65" x14ac:dyDescent="0.25">
      <c r="C343" s="515">
        <v>45041</v>
      </c>
      <c r="D343" s="507">
        <f>YEAR(Tabla14[[#This Row],[Fecha]])</f>
        <v>2023</v>
      </c>
      <c r="E343" s="516">
        <f>IF(Tabla14[[#This Row],[Fecha]]&gt;0,_xlfn.ISOWEEKNUM(Tabla14[[#This Row],[Fecha]]),0)</f>
        <v>17</v>
      </c>
      <c r="F343" s="283">
        <v>25</v>
      </c>
      <c r="G343" s="275" t="s">
        <v>249</v>
      </c>
      <c r="H343" s="325" t="str">
        <f>_xlfn.XLOOKUP(Tabla14[[#This Row],[Codigo Finca]],Tabla4[Codigo Finca],Tabla4[Nombre Finca],"")</f>
        <v>San Pedro</v>
      </c>
      <c r="I343" s="277">
        <f>_xlfn.XLOOKUP(Tabla14[[#This Row],[Codigo Finca]],Tabla4[Codigo Finca],Tabla4[Precio Caja],0)</f>
        <v>2000</v>
      </c>
      <c r="J343" s="277">
        <f>_xlfn.XLOOKUP(Tabla14[[#This Row],[Codigo Finca]],Tabla4[Codigo Finca],Tabla4[Precio Caja Segunda],0)</f>
        <v>1150</v>
      </c>
      <c r="K343" s="277">
        <f>_xlfn.XLOOKUP(Tabla14[[#This Row],[Codigo Finca]],Tabla4[Codigo Finca],Tabla4[Precio Rechazo],0)</f>
        <v>675</v>
      </c>
      <c r="L343" s="277">
        <f t="shared" si="413"/>
        <v>131</v>
      </c>
      <c r="M343" s="278">
        <f t="shared" si="414"/>
        <v>5.24</v>
      </c>
      <c r="N343" s="283"/>
      <c r="O343" s="279"/>
      <c r="P343" s="280">
        <f t="shared" si="415"/>
        <v>0</v>
      </c>
      <c r="Q343" s="281">
        <f t="shared" si="416"/>
        <v>0</v>
      </c>
      <c r="R343" s="282">
        <f t="shared" si="417"/>
        <v>0</v>
      </c>
      <c r="S343" s="283">
        <v>131</v>
      </c>
      <c r="T343" s="275">
        <v>16</v>
      </c>
      <c r="U343" s="280">
        <f t="shared" si="418"/>
        <v>25</v>
      </c>
      <c r="V343" s="281">
        <f t="shared" si="419"/>
        <v>1.5625</v>
      </c>
      <c r="W343" s="282">
        <f t="shared" si="420"/>
        <v>3125</v>
      </c>
      <c r="X343" s="283"/>
      <c r="Y343" s="275"/>
      <c r="Z343" s="280">
        <f>Tabla14[[#This Row],[Cajas Segunda]]</f>
        <v>0</v>
      </c>
      <c r="AA343" s="281">
        <f t="shared" si="421"/>
        <v>0</v>
      </c>
      <c r="AB343" s="284">
        <f t="shared" si="422"/>
        <v>0</v>
      </c>
      <c r="AC343" s="285"/>
      <c r="AD343" s="286">
        <v>231</v>
      </c>
      <c r="AE343" s="286"/>
      <c r="AF343" s="286"/>
      <c r="AG343" s="286">
        <v>16</v>
      </c>
      <c r="AH343" s="280">
        <f t="shared" si="423"/>
        <v>9.24</v>
      </c>
      <c r="AI343" s="281">
        <f t="shared" si="424"/>
        <v>0.57750000000000001</v>
      </c>
      <c r="AJ343" s="282">
        <f t="shared" si="425"/>
        <v>389.8125</v>
      </c>
      <c r="AK343" s="287">
        <f>Tabla14[[#This Row],[Cajas por Personas]]</f>
        <v>0</v>
      </c>
      <c r="AL343" s="288">
        <f>Tabla14[[#This Row],[Valor Precorte Pesona]]</f>
        <v>0</v>
      </c>
      <c r="AM343" s="294">
        <f>Tabla14[[#This Row],[Personas Precorte]]</f>
        <v>0</v>
      </c>
      <c r="AN343" s="308">
        <f>Tabla14[[#This Row],[Valor Precorte Pesona Precorte]]*Tabla14[[#This Row],[Perzonas Precorte]]</f>
        <v>0</v>
      </c>
      <c r="AO343" s="287">
        <f>Tabla14[[#This Row],[Cajas por Personas2]]</f>
        <v>1.5625</v>
      </c>
      <c r="AP343" s="288">
        <f>Tabla14[[#This Row],[Valor Embarque Pesona]]</f>
        <v>3125</v>
      </c>
      <c r="AQ343" s="295">
        <f>Tabla14[[#This Row],[Personas Precorte2]]</f>
        <v>16</v>
      </c>
      <c r="AR343" s="296">
        <f>Tabla14[[#This Row],[Valor Embarque Pesona3]]*Tabla14[[#This Row],[Perzona Primera]]</f>
        <v>50000</v>
      </c>
      <c r="AS343" s="287">
        <f>Tabla14[[#This Row],[Columna2]]</f>
        <v>0</v>
      </c>
      <c r="AT343" s="288">
        <f>Tabla14[[#This Row],[Columna1]]</f>
        <v>0</v>
      </c>
      <c r="AU343" s="302">
        <f>Tabla14[[#This Row],[Personas Intervienen]]</f>
        <v>0</v>
      </c>
      <c r="AV343" s="297">
        <f>Tabla14[[#This Row],[Valor Embarque Pesona5]]*Tabla14[[#This Row],[Presonas Segunda]]</f>
        <v>0</v>
      </c>
      <c r="AW343" s="287">
        <f>Tabla14[[#This Row],[Bolsas Por Personas]]</f>
        <v>0.57750000000000001</v>
      </c>
      <c r="AX343" s="288">
        <f>Tabla14[[#This Row],[Valor bolsas Pesona]]</f>
        <v>389.8125</v>
      </c>
      <c r="AY343" s="309">
        <f>Tabla14[[#This Row],[Personas13]]</f>
        <v>16</v>
      </c>
      <c r="AZ343" s="310">
        <f>Tabla14[[#This Row],[Valor bolsas Pesona2]]*Tabla14[[#This Row],[Personas Rechazo]]</f>
        <v>6237</v>
      </c>
      <c r="BA343" s="311">
        <f>+Tabla14[[#This Row],[Total Valor Segunda]]+Tabla14[[#This Row],[Total Valor Primera]]+Tabla14[[#This Row],[Total Valor Precorte]]</f>
        <v>50000</v>
      </c>
      <c r="BB343" s="451">
        <f>Tabla14[[#This Row],[Valor bolsas Pesona2]]+Tabla14[[#This Row],[Valor Embarque Pesona3]]</f>
        <v>3514.8125</v>
      </c>
      <c r="BC343" s="452"/>
      <c r="BD343" s="451">
        <f>Tabla14[[#This Row],[VALOR GANADO]]-Tabla14[[#This Row],[REAJUSTADO]]</f>
        <v>3514.8125</v>
      </c>
      <c r="BE343" s="250">
        <f>Tabla14[[#This Row],[CUANTO SE REAJUSTA]]*Tabla14[[#This Row],[Personas Rechazo]]</f>
        <v>56237</v>
      </c>
      <c r="BF343" s="250">
        <f>Tabla14[[#This Row],[REAJUSTADO]]/25000</f>
        <v>0</v>
      </c>
      <c r="BG343" s="302">
        <f>Tabla14[[#This Row],[REAJUSTADO]]*Tabla14[[#This Row],[Personas Rechazo]]</f>
        <v>0</v>
      </c>
      <c r="BH343" s="292" t="str">
        <f>Tabla14[[#This Row],[Finca]]</f>
        <v>San Pedro</v>
      </c>
      <c r="BJ343" s="332">
        <f>Tabla14[[#This Row],[Numero de Ocacionales]]*Tabla14[[#This Row],[REAJUSTADO]]</f>
        <v>0</v>
      </c>
      <c r="BK343" s="332"/>
      <c r="BL343" s="332"/>
      <c r="BM343" s="332">
        <f>+Tabla14[[#This Row],[CUANTO SE REAJUSTA]]*3</f>
        <v>10544.4375</v>
      </c>
    </row>
    <row r="344" spans="3:65" x14ac:dyDescent="0.25">
      <c r="C344" s="515">
        <v>45041</v>
      </c>
      <c r="D344" s="507">
        <f>YEAR(Tabla14[[#This Row],[Fecha]])</f>
        <v>2023</v>
      </c>
      <c r="E344" s="516">
        <f>IF(Tabla14[[#This Row],[Fecha]]&gt;0,_xlfn.ISOWEEKNUM(Tabla14[[#This Row],[Fecha]]),0)</f>
        <v>17</v>
      </c>
      <c r="F344" s="283">
        <v>55</v>
      </c>
      <c r="G344" s="275" t="s">
        <v>247</v>
      </c>
      <c r="H344" s="325" t="str">
        <f>_xlfn.XLOOKUP(Tabla14[[#This Row],[Codigo Finca]],Tabla4[Codigo Finca],Tabla4[Nombre Finca],"")</f>
        <v>Uveros</v>
      </c>
      <c r="I344" s="277">
        <f>_xlfn.XLOOKUP(Tabla14[[#This Row],[Codigo Finca]],Tabla4[Codigo Finca],Tabla4[Precio Caja],0)</f>
        <v>1800</v>
      </c>
      <c r="J344" s="277">
        <f>_xlfn.XLOOKUP(Tabla14[[#This Row],[Codigo Finca]],Tabla4[Codigo Finca],Tabla4[Precio Caja Segunda],0)</f>
        <v>1150</v>
      </c>
      <c r="K344" s="277">
        <f>_xlfn.XLOOKUP(Tabla14[[#This Row],[Codigo Finca]],Tabla4[Codigo Finca],Tabla4[Precio Rechazo],0)</f>
        <v>575</v>
      </c>
      <c r="L344" s="277">
        <f t="shared" si="413"/>
        <v>323</v>
      </c>
      <c r="M344" s="278">
        <f t="shared" si="414"/>
        <v>5.872727272727273</v>
      </c>
      <c r="N344" s="283"/>
      <c r="O344" s="279"/>
      <c r="P344" s="280">
        <f t="shared" si="415"/>
        <v>0</v>
      </c>
      <c r="Q344" s="281">
        <f t="shared" si="416"/>
        <v>0</v>
      </c>
      <c r="R344" s="282">
        <f t="shared" si="417"/>
        <v>0</v>
      </c>
      <c r="S344" s="283">
        <v>323</v>
      </c>
      <c r="T344" s="275">
        <v>3</v>
      </c>
      <c r="U344" s="280">
        <f t="shared" si="418"/>
        <v>55</v>
      </c>
      <c r="V344" s="281">
        <f t="shared" si="419"/>
        <v>18.333333333333332</v>
      </c>
      <c r="W344" s="282">
        <f t="shared" si="420"/>
        <v>33000</v>
      </c>
      <c r="X344" s="283"/>
      <c r="Y344" s="275"/>
      <c r="Z344" s="280">
        <f>Tabla14[[#This Row],[Cajas Segunda]]</f>
        <v>0</v>
      </c>
      <c r="AA344" s="281">
        <f t="shared" si="421"/>
        <v>0</v>
      </c>
      <c r="AB344" s="284">
        <f t="shared" si="422"/>
        <v>0</v>
      </c>
      <c r="AC344" s="285"/>
      <c r="AD344" s="286">
        <v>548</v>
      </c>
      <c r="AE344" s="286"/>
      <c r="AF344" s="286"/>
      <c r="AG344" s="286">
        <v>3</v>
      </c>
      <c r="AH344" s="280">
        <f t="shared" si="423"/>
        <v>21.92</v>
      </c>
      <c r="AI344" s="281">
        <f t="shared" si="424"/>
        <v>7.3066666666666675</v>
      </c>
      <c r="AJ344" s="282">
        <f t="shared" si="425"/>
        <v>4201.3333333333339</v>
      </c>
      <c r="AK344" s="287">
        <f>Tabla14[[#This Row],[Cajas por Personas]]</f>
        <v>0</v>
      </c>
      <c r="AL344" s="288">
        <f>Tabla14[[#This Row],[Valor Precorte Pesona]]</f>
        <v>0</v>
      </c>
      <c r="AM344" s="294">
        <f>Tabla14[[#This Row],[Personas Precorte]]</f>
        <v>0</v>
      </c>
      <c r="AN344" s="308">
        <f>Tabla14[[#This Row],[Valor Precorte Pesona Precorte]]*Tabla14[[#This Row],[Perzonas Precorte]]</f>
        <v>0</v>
      </c>
      <c r="AO344" s="287">
        <f>Tabla14[[#This Row],[Cajas por Personas2]]</f>
        <v>18.333333333333332</v>
      </c>
      <c r="AP344" s="288">
        <f>Tabla14[[#This Row],[Valor Embarque Pesona]]</f>
        <v>33000</v>
      </c>
      <c r="AQ344" s="295">
        <f>Tabla14[[#This Row],[Personas Precorte2]]</f>
        <v>3</v>
      </c>
      <c r="AR344" s="296">
        <f>Tabla14[[#This Row],[Valor Embarque Pesona3]]*Tabla14[[#This Row],[Perzona Primera]]</f>
        <v>99000</v>
      </c>
      <c r="AS344" s="287">
        <f>Tabla14[[#This Row],[Columna2]]</f>
        <v>0</v>
      </c>
      <c r="AT344" s="288">
        <f>Tabla14[[#This Row],[Columna1]]</f>
        <v>0</v>
      </c>
      <c r="AU344" s="302">
        <f>Tabla14[[#This Row],[Personas Intervienen]]</f>
        <v>0</v>
      </c>
      <c r="AV344" s="297">
        <f>Tabla14[[#This Row],[Valor Embarque Pesona5]]*Tabla14[[#This Row],[Presonas Segunda]]</f>
        <v>0</v>
      </c>
      <c r="AW344" s="287">
        <f>Tabla14[[#This Row],[Bolsas Por Personas]]</f>
        <v>7.3066666666666675</v>
      </c>
      <c r="AX344" s="288">
        <f>Tabla14[[#This Row],[Valor bolsas Pesona]]</f>
        <v>4201.3333333333339</v>
      </c>
      <c r="AY344" s="309">
        <f>Tabla14[[#This Row],[Personas13]]</f>
        <v>3</v>
      </c>
      <c r="AZ344" s="310">
        <f>Tabla14[[#This Row],[Valor bolsas Pesona2]]*Tabla14[[#This Row],[Personas Rechazo]]</f>
        <v>12604.000000000002</v>
      </c>
      <c r="BA344" s="311">
        <f>+Tabla14[[#This Row],[Total Valor Segunda]]+Tabla14[[#This Row],[Total Valor Primera]]+Tabla14[[#This Row],[Total Valor Precorte]]</f>
        <v>99000</v>
      </c>
      <c r="BB344" s="292">
        <f>Tabla14[[#This Row],[Valor bolsas Pesona2]]+Tabla14[[#This Row],[Valor Embarque Pesona3]]</f>
        <v>37201.333333333336</v>
      </c>
      <c r="BC344" s="332">
        <v>37000</v>
      </c>
      <c r="BD344" s="292">
        <f>Tabla14[[#This Row],[VALOR GANADO]]-Tabla14[[#This Row],[REAJUSTADO]]</f>
        <v>201.33333333333576</v>
      </c>
      <c r="BE344" s="250">
        <f>Tabla14[[#This Row],[CUANTO SE REAJUSTA]]*Tabla14[[#This Row],[Personas Rechazo]]</f>
        <v>604.00000000000728</v>
      </c>
      <c r="BF344" s="250">
        <f>Tabla14[[#This Row],[REAJUSTADO]]/25000</f>
        <v>1.48</v>
      </c>
      <c r="BG344" s="302">
        <f>Tabla14[[#This Row],[REAJUSTADO]]*Tabla14[[#This Row],[Personas Rechazo]]</f>
        <v>111000</v>
      </c>
      <c r="BH344" s="292" t="str">
        <f>Tabla14[[#This Row],[Finca]]</f>
        <v>Uveros</v>
      </c>
      <c r="BJ344" s="332">
        <f>Tabla14[[#This Row],[Numero de Ocacionales]]*Tabla14[[#This Row],[REAJUSTADO]]</f>
        <v>0</v>
      </c>
      <c r="BK344" s="332"/>
      <c r="BL344" s="332"/>
      <c r="BM344" s="332">
        <f>+Tabla14[[#This Row],[CUANTO SE REAJUSTA]]*3</f>
        <v>604.00000000000728</v>
      </c>
    </row>
    <row r="345" spans="3:65" x14ac:dyDescent="0.25">
      <c r="C345" s="515">
        <v>45042</v>
      </c>
      <c r="D345" s="507">
        <f>YEAR(Tabla14[[#This Row],[Fecha]])</f>
        <v>2023</v>
      </c>
      <c r="E345" s="516">
        <f>IF(Tabla14[[#This Row],[Fecha]]&gt;0,_xlfn.ISOWEEKNUM(Tabla14[[#This Row],[Fecha]]),0)</f>
        <v>17</v>
      </c>
      <c r="F345" s="283">
        <v>79</v>
      </c>
      <c r="G345" s="275" t="s">
        <v>251</v>
      </c>
      <c r="H345" s="325" t="str">
        <f>_xlfn.XLOOKUP(Tabla14[[#This Row],[Codigo Finca]],Tabla4[Codigo Finca],Tabla4[Nombre Finca],"")</f>
        <v>Pedrito</v>
      </c>
      <c r="I345" s="277">
        <f>_xlfn.XLOOKUP(Tabla14[[#This Row],[Codigo Finca]],Tabla4[Codigo Finca],Tabla4[Precio Caja],0)</f>
        <v>1800</v>
      </c>
      <c r="J345" s="277">
        <f>_xlfn.XLOOKUP(Tabla14[[#This Row],[Codigo Finca]],Tabla4[Codigo Finca],Tabla4[Precio Caja Segunda],0)</f>
        <v>1150</v>
      </c>
      <c r="K345" s="277">
        <f>_xlfn.XLOOKUP(Tabla14[[#This Row],[Codigo Finca]],Tabla4[Codigo Finca],Tabla4[Precio Rechazo],0)</f>
        <v>575</v>
      </c>
      <c r="L345" s="277">
        <f t="shared" si="413"/>
        <v>611</v>
      </c>
      <c r="M345" s="278">
        <f t="shared" si="414"/>
        <v>7.7341772151898738</v>
      </c>
      <c r="N345" s="283"/>
      <c r="O345" s="279"/>
      <c r="P345" s="280">
        <f t="shared" si="415"/>
        <v>0</v>
      </c>
      <c r="Q345" s="281">
        <f t="shared" si="416"/>
        <v>0</v>
      </c>
      <c r="R345" s="282">
        <f t="shared" si="417"/>
        <v>0</v>
      </c>
      <c r="S345" s="283">
        <v>611</v>
      </c>
      <c r="T345" s="275">
        <v>11</v>
      </c>
      <c r="U345" s="280">
        <f t="shared" si="418"/>
        <v>79</v>
      </c>
      <c r="V345" s="281">
        <f t="shared" si="419"/>
        <v>7.1818181818181817</v>
      </c>
      <c r="W345" s="282">
        <f t="shared" si="420"/>
        <v>12927.272727272728</v>
      </c>
      <c r="X345" s="283"/>
      <c r="Y345" s="275"/>
      <c r="Z345" s="280">
        <f>Tabla14[[#This Row],[Cajas Segunda]]</f>
        <v>0</v>
      </c>
      <c r="AA345" s="281">
        <f t="shared" si="421"/>
        <v>0</v>
      </c>
      <c r="AB345" s="284">
        <f t="shared" si="422"/>
        <v>0</v>
      </c>
      <c r="AC345" s="285"/>
      <c r="AD345" s="286">
        <v>1251</v>
      </c>
      <c r="AE345" s="286"/>
      <c r="AF345" s="286"/>
      <c r="AG345" s="286">
        <v>11</v>
      </c>
      <c r="AH345" s="280">
        <f t="shared" si="423"/>
        <v>50.04</v>
      </c>
      <c r="AI345" s="281">
        <f t="shared" si="424"/>
        <v>4.5490909090909089</v>
      </c>
      <c r="AJ345" s="282">
        <f t="shared" si="425"/>
        <v>2615.7272727272725</v>
      </c>
      <c r="AK345" s="287">
        <f>Tabla14[[#This Row],[Cajas por Personas]]</f>
        <v>0</v>
      </c>
      <c r="AL345" s="288">
        <f>Tabla14[[#This Row],[Valor Precorte Pesona]]</f>
        <v>0</v>
      </c>
      <c r="AM345" s="294">
        <f>Tabla14[[#This Row],[Personas Precorte]]</f>
        <v>0</v>
      </c>
      <c r="AN345" s="308">
        <f>Tabla14[[#This Row],[Valor Precorte Pesona Precorte]]*Tabla14[[#This Row],[Perzonas Precorte]]</f>
        <v>0</v>
      </c>
      <c r="AO345" s="287">
        <f>Tabla14[[#This Row],[Cajas por Personas2]]</f>
        <v>7.1818181818181817</v>
      </c>
      <c r="AP345" s="288">
        <f>Tabla14[[#This Row],[Valor Embarque Pesona]]</f>
        <v>12927.272727272728</v>
      </c>
      <c r="AQ345" s="295">
        <f>Tabla14[[#This Row],[Personas Precorte2]]</f>
        <v>11</v>
      </c>
      <c r="AR345" s="296">
        <f>Tabla14[[#This Row],[Valor Embarque Pesona3]]*Tabla14[[#This Row],[Perzona Primera]]</f>
        <v>142200</v>
      </c>
      <c r="AS345" s="287">
        <f>Tabla14[[#This Row],[Columna2]]</f>
        <v>0</v>
      </c>
      <c r="AT345" s="288">
        <f>Tabla14[[#This Row],[Columna1]]</f>
        <v>0</v>
      </c>
      <c r="AU345" s="302">
        <f>Tabla14[[#This Row],[Personas Intervienen]]</f>
        <v>0</v>
      </c>
      <c r="AV345" s="297">
        <f>Tabla14[[#This Row],[Valor Embarque Pesona5]]*Tabla14[[#This Row],[Presonas Segunda]]</f>
        <v>0</v>
      </c>
      <c r="AW345" s="287">
        <f>Tabla14[[#This Row],[Bolsas Por Personas]]</f>
        <v>4.5490909090909089</v>
      </c>
      <c r="AX345" s="288">
        <f>Tabla14[[#This Row],[Valor bolsas Pesona]]</f>
        <v>2615.7272727272725</v>
      </c>
      <c r="AY345" s="309">
        <f>Tabla14[[#This Row],[Personas13]]</f>
        <v>11</v>
      </c>
      <c r="AZ345" s="310">
        <f>Tabla14[[#This Row],[Valor bolsas Pesona2]]*Tabla14[[#This Row],[Personas Rechazo]]</f>
        <v>28772.999999999996</v>
      </c>
      <c r="BA345" s="311">
        <f>+Tabla14[[#This Row],[Total Valor Segunda]]+Tabla14[[#This Row],[Total Valor Primera]]+Tabla14[[#This Row],[Total Valor Precorte]]</f>
        <v>142200</v>
      </c>
      <c r="BB345" s="292">
        <f>Tabla14[[#This Row],[Valor bolsas Pesona2]]+Tabla14[[#This Row],[Valor Embarque Pesona3]]</f>
        <v>15543</v>
      </c>
      <c r="BC345" s="332">
        <v>30000</v>
      </c>
      <c r="BD345" s="292">
        <f>Tabla14[[#This Row],[VALOR GANADO]]-Tabla14[[#This Row],[REAJUSTADO]]</f>
        <v>-14457</v>
      </c>
      <c r="BE345" s="250">
        <f>Tabla14[[#This Row],[CUANTO SE REAJUSTA]]*Tabla14[[#This Row],[Personas Rechazo]]</f>
        <v>-159027</v>
      </c>
      <c r="BF345" s="250">
        <f>Tabla14[[#This Row],[REAJUSTADO]]/25000</f>
        <v>1.2</v>
      </c>
      <c r="BG345" s="302">
        <f>Tabla14[[#This Row],[REAJUSTADO]]*Tabla14[[#This Row],[Personas Rechazo]]</f>
        <v>330000</v>
      </c>
      <c r="BH345" s="292" t="str">
        <f>Tabla14[[#This Row],[Finca]]</f>
        <v>Pedrito</v>
      </c>
      <c r="BJ345" s="332">
        <f>Tabla14[[#This Row],[Numero de Ocacionales]]*Tabla14[[#This Row],[REAJUSTADO]]</f>
        <v>0</v>
      </c>
      <c r="BK345" s="332"/>
      <c r="BL345" s="332"/>
      <c r="BM345" s="332">
        <f>+Tabla14[[#This Row],[CUANTO SE REAJUSTA]]*3</f>
        <v>-43371</v>
      </c>
    </row>
    <row r="346" spans="3:65" x14ac:dyDescent="0.25">
      <c r="C346" s="515">
        <v>45042</v>
      </c>
      <c r="D346" s="507">
        <f>YEAR(Tabla14[[#This Row],[Fecha]])</f>
        <v>2023</v>
      </c>
      <c r="E346" s="516">
        <f>IF(Tabla14[[#This Row],[Fecha]]&gt;0,_xlfn.ISOWEEKNUM(Tabla14[[#This Row],[Fecha]]),0)</f>
        <v>17</v>
      </c>
      <c r="F346" s="283">
        <v>48</v>
      </c>
      <c r="G346" s="275" t="s">
        <v>248</v>
      </c>
      <c r="H346" s="325" t="str">
        <f>_xlfn.XLOOKUP(Tabla14[[#This Row],[Codigo Finca]],Tabla4[Codigo Finca],Tabla4[Nombre Finca],"")</f>
        <v>Damaquiel</v>
      </c>
      <c r="I346" s="277">
        <f>_xlfn.XLOOKUP(Tabla14[[#This Row],[Codigo Finca]],Tabla4[Codigo Finca],Tabla4[Precio Caja],0)</f>
        <v>1800</v>
      </c>
      <c r="J346" s="277">
        <f>_xlfn.XLOOKUP(Tabla14[[#This Row],[Codigo Finca]],Tabla4[Codigo Finca],Tabla4[Precio Caja Segunda],0)</f>
        <v>1150</v>
      </c>
      <c r="K346" s="277">
        <f>_xlfn.XLOOKUP(Tabla14[[#This Row],[Codigo Finca]],Tabla4[Codigo Finca],Tabla4[Precio Rechazo],0)</f>
        <v>575</v>
      </c>
      <c r="L346" s="277">
        <f t="shared" si="413"/>
        <v>385</v>
      </c>
      <c r="M346" s="278">
        <f t="shared" si="414"/>
        <v>8.0208333333333339</v>
      </c>
      <c r="N346" s="283"/>
      <c r="O346" s="279"/>
      <c r="P346" s="280">
        <f t="shared" si="415"/>
        <v>0</v>
      </c>
      <c r="Q346" s="281">
        <f t="shared" si="416"/>
        <v>0</v>
      </c>
      <c r="R346" s="282">
        <f t="shared" si="417"/>
        <v>0</v>
      </c>
      <c r="S346" s="283">
        <v>385</v>
      </c>
      <c r="T346" s="275">
        <v>5</v>
      </c>
      <c r="U346" s="280">
        <f t="shared" si="418"/>
        <v>48</v>
      </c>
      <c r="V346" s="281">
        <f t="shared" si="419"/>
        <v>9.6</v>
      </c>
      <c r="W346" s="282">
        <f t="shared" si="420"/>
        <v>17280</v>
      </c>
      <c r="X346" s="283"/>
      <c r="Y346" s="275"/>
      <c r="Z346" s="280">
        <f>Tabla14[[#This Row],[Cajas Segunda]]</f>
        <v>0</v>
      </c>
      <c r="AA346" s="281">
        <f t="shared" si="421"/>
        <v>0</v>
      </c>
      <c r="AB346" s="284">
        <f t="shared" si="422"/>
        <v>0</v>
      </c>
      <c r="AC346" s="285"/>
      <c r="AD346" s="286">
        <v>563</v>
      </c>
      <c r="AE346" s="286"/>
      <c r="AF346" s="286"/>
      <c r="AG346" s="286">
        <v>5</v>
      </c>
      <c r="AH346" s="280">
        <f t="shared" si="423"/>
        <v>22.52</v>
      </c>
      <c r="AI346" s="281">
        <f t="shared" si="424"/>
        <v>4.5039999999999996</v>
      </c>
      <c r="AJ346" s="282">
        <f t="shared" si="425"/>
        <v>2589.7999999999997</v>
      </c>
      <c r="AK346" s="287">
        <f>Tabla14[[#This Row],[Cajas por Personas]]</f>
        <v>0</v>
      </c>
      <c r="AL346" s="288">
        <f>Tabla14[[#This Row],[Valor Precorte Pesona]]</f>
        <v>0</v>
      </c>
      <c r="AM346" s="294">
        <f>Tabla14[[#This Row],[Personas Precorte]]</f>
        <v>0</v>
      </c>
      <c r="AN346" s="308">
        <f>Tabla14[[#This Row],[Valor Precorte Pesona Precorte]]*Tabla14[[#This Row],[Perzonas Precorte]]</f>
        <v>0</v>
      </c>
      <c r="AO346" s="287">
        <f>Tabla14[[#This Row],[Cajas por Personas2]]</f>
        <v>9.6</v>
      </c>
      <c r="AP346" s="288">
        <f>Tabla14[[#This Row],[Valor Embarque Pesona]]</f>
        <v>17280</v>
      </c>
      <c r="AQ346" s="295">
        <f>Tabla14[[#This Row],[Personas Precorte2]]</f>
        <v>5</v>
      </c>
      <c r="AR346" s="296">
        <f>Tabla14[[#This Row],[Valor Embarque Pesona3]]*Tabla14[[#This Row],[Perzona Primera]]</f>
        <v>86400</v>
      </c>
      <c r="AS346" s="287">
        <f>Tabla14[[#This Row],[Columna2]]</f>
        <v>0</v>
      </c>
      <c r="AT346" s="288">
        <f>Tabla14[[#This Row],[Columna1]]</f>
        <v>0</v>
      </c>
      <c r="AU346" s="302">
        <f>Tabla14[[#This Row],[Personas Intervienen]]</f>
        <v>0</v>
      </c>
      <c r="AV346" s="297">
        <f>Tabla14[[#This Row],[Valor Embarque Pesona5]]*Tabla14[[#This Row],[Presonas Segunda]]</f>
        <v>0</v>
      </c>
      <c r="AW346" s="287">
        <f>Tabla14[[#This Row],[Bolsas Por Personas]]</f>
        <v>4.5039999999999996</v>
      </c>
      <c r="AX346" s="288">
        <f>Tabla14[[#This Row],[Valor bolsas Pesona]]</f>
        <v>2589.7999999999997</v>
      </c>
      <c r="AY346" s="309">
        <f>Tabla14[[#This Row],[Personas13]]</f>
        <v>5</v>
      </c>
      <c r="AZ346" s="310">
        <f>Tabla14[[#This Row],[Valor bolsas Pesona2]]*Tabla14[[#This Row],[Personas Rechazo]]</f>
        <v>12948.999999999998</v>
      </c>
      <c r="BA346" s="311">
        <f>+Tabla14[[#This Row],[Total Valor Segunda]]+Tabla14[[#This Row],[Total Valor Primera]]+Tabla14[[#This Row],[Total Valor Precorte]]</f>
        <v>86400</v>
      </c>
      <c r="BB346" s="292">
        <f>Tabla14[[#This Row],[Valor bolsas Pesona2]]+Tabla14[[#This Row],[Valor Embarque Pesona3]]</f>
        <v>19869.8</v>
      </c>
      <c r="BC346" s="332">
        <v>30000</v>
      </c>
      <c r="BD346" s="292">
        <f>Tabla14[[#This Row],[VALOR GANADO]]-Tabla14[[#This Row],[REAJUSTADO]]</f>
        <v>-10130.200000000001</v>
      </c>
      <c r="BE346" s="250">
        <f>Tabla14[[#This Row],[CUANTO SE REAJUSTA]]*Tabla14[[#This Row],[Personas Rechazo]]</f>
        <v>-50651</v>
      </c>
      <c r="BF346" s="250">
        <f>Tabla14[[#This Row],[REAJUSTADO]]/25000</f>
        <v>1.2</v>
      </c>
      <c r="BG346" s="302">
        <f>Tabla14[[#This Row],[REAJUSTADO]]*Tabla14[[#This Row],[Personas Rechazo]]</f>
        <v>150000</v>
      </c>
      <c r="BH346" s="292" t="str">
        <f>Tabla14[[#This Row],[Finca]]</f>
        <v>Damaquiel</v>
      </c>
      <c r="BJ346" s="332">
        <f>Tabla14[[#This Row],[Numero de Ocacionales]]*Tabla14[[#This Row],[REAJUSTADO]]</f>
        <v>0</v>
      </c>
      <c r="BK346" s="332"/>
      <c r="BL346" s="332"/>
      <c r="BM346" s="332">
        <f>+Tabla14[[#This Row],[CUANTO SE REAJUSTA]]*3</f>
        <v>-30390.600000000002</v>
      </c>
    </row>
    <row r="347" spans="3:65" x14ac:dyDescent="0.25">
      <c r="C347" s="515">
        <v>45047</v>
      </c>
      <c r="D347" s="507">
        <f>YEAR(Tabla14[[#This Row],[Fecha]])</f>
        <v>2023</v>
      </c>
      <c r="E347" s="516">
        <f>IF(Tabla14[[#This Row],[Fecha]]&gt;0,_xlfn.ISOWEEKNUM(Tabla14[[#This Row],[Fecha]]),0)</f>
        <v>18</v>
      </c>
      <c r="F347" s="283">
        <v>290</v>
      </c>
      <c r="G347" s="275" t="s">
        <v>259</v>
      </c>
      <c r="H347" s="325" t="str">
        <f>_xlfn.XLOOKUP(Tabla14[[#This Row],[Codigo Finca]],Tabla4[Codigo Finca],Tabla4[Nombre Finca],"")</f>
        <v>San Pedro</v>
      </c>
      <c r="I347" s="277">
        <f>_xlfn.XLOOKUP(Tabla14[[#This Row],[Codigo Finca]],Tabla4[Codigo Finca],Tabla4[Precio Caja],0)</f>
        <v>1800</v>
      </c>
      <c r="J347" s="277">
        <f>_xlfn.XLOOKUP(Tabla14[[#This Row],[Codigo Finca]],Tabla4[Codigo Finca],Tabla4[Precio Caja Segunda],0)</f>
        <v>1150</v>
      </c>
      <c r="K347" s="277">
        <f>_xlfn.XLOOKUP(Tabla14[[#This Row],[Codigo Finca]],Tabla4[Codigo Finca],Tabla4[Precio Rechazo],0)</f>
        <v>575</v>
      </c>
      <c r="L347" s="277">
        <f t="shared" si="413"/>
        <v>1446</v>
      </c>
      <c r="M347" s="278">
        <f t="shared" si="414"/>
        <v>4.9862068965517246</v>
      </c>
      <c r="N347" s="283"/>
      <c r="O347" s="279"/>
      <c r="P347" s="280">
        <f t="shared" si="415"/>
        <v>0</v>
      </c>
      <c r="Q347" s="281">
        <f t="shared" si="416"/>
        <v>0</v>
      </c>
      <c r="R347" s="282">
        <f t="shared" si="417"/>
        <v>0</v>
      </c>
      <c r="S347" s="283">
        <f>188+210+303+188+151+147+123+136</f>
        <v>1446</v>
      </c>
      <c r="T347" s="275">
        <v>13</v>
      </c>
      <c r="U347" s="280">
        <f t="shared" si="418"/>
        <v>290</v>
      </c>
      <c r="V347" s="281">
        <f t="shared" si="419"/>
        <v>22.307692307692307</v>
      </c>
      <c r="W347" s="282">
        <f t="shared" si="420"/>
        <v>40153.846153846156</v>
      </c>
      <c r="X347" s="283"/>
      <c r="Y347" s="275"/>
      <c r="Z347" s="280">
        <f>Tabla14[[#This Row],[Cajas Segunda]]</f>
        <v>0</v>
      </c>
      <c r="AA347" s="281">
        <f t="shared" si="421"/>
        <v>0</v>
      </c>
      <c r="AB347" s="284">
        <f t="shared" si="422"/>
        <v>0</v>
      </c>
      <c r="AC347" s="285"/>
      <c r="AD347" s="286">
        <f>1637+1772</f>
        <v>3409</v>
      </c>
      <c r="AE347" s="286"/>
      <c r="AF347" s="286"/>
      <c r="AG347" s="286">
        <v>13</v>
      </c>
      <c r="AH347" s="280">
        <f t="shared" si="423"/>
        <v>136.36000000000001</v>
      </c>
      <c r="AI347" s="281">
        <f t="shared" si="424"/>
        <v>10.489230769230771</v>
      </c>
      <c r="AJ347" s="282">
        <f t="shared" si="425"/>
        <v>6031.3076923076933</v>
      </c>
      <c r="AK347" s="287">
        <f>Tabla14[[#This Row],[Cajas por Personas]]</f>
        <v>0</v>
      </c>
      <c r="AL347" s="288">
        <f>Tabla14[[#This Row],[Valor Precorte Pesona]]</f>
        <v>0</v>
      </c>
      <c r="AM347" s="294">
        <f>Tabla14[[#This Row],[Personas Precorte]]</f>
        <v>0</v>
      </c>
      <c r="AN347" s="308">
        <f>Tabla14[[#This Row],[Valor Precorte Pesona Precorte]]*Tabla14[[#This Row],[Perzonas Precorte]]</f>
        <v>0</v>
      </c>
      <c r="AO347" s="287">
        <f>Tabla14[[#This Row],[Cajas por Personas2]]</f>
        <v>22.307692307692307</v>
      </c>
      <c r="AP347" s="288">
        <f>Tabla14[[#This Row],[Valor Embarque Pesona]]</f>
        <v>40153.846153846156</v>
      </c>
      <c r="AQ347" s="295">
        <f>Tabla14[[#This Row],[Personas Precorte2]]</f>
        <v>13</v>
      </c>
      <c r="AR347" s="296">
        <f>Tabla14[[#This Row],[Valor Embarque Pesona3]]*Tabla14[[#This Row],[Perzona Primera]]</f>
        <v>522000</v>
      </c>
      <c r="AS347" s="287">
        <f>Tabla14[[#This Row],[Columna2]]</f>
        <v>0</v>
      </c>
      <c r="AT347" s="288">
        <f>Tabla14[[#This Row],[Columna1]]</f>
        <v>0</v>
      </c>
      <c r="AU347" s="302">
        <f>Tabla14[[#This Row],[Personas Intervienen]]</f>
        <v>0</v>
      </c>
      <c r="AV347" s="297">
        <f>Tabla14[[#This Row],[Valor Embarque Pesona5]]*Tabla14[[#This Row],[Presonas Segunda]]</f>
        <v>0</v>
      </c>
      <c r="AW347" s="287">
        <f>Tabla14[[#This Row],[Bolsas Por Personas]]</f>
        <v>10.489230769230771</v>
      </c>
      <c r="AX347" s="288">
        <f>Tabla14[[#This Row],[Valor bolsas Pesona]]</f>
        <v>6031.3076923076933</v>
      </c>
      <c r="AY347" s="309">
        <f>Tabla14[[#This Row],[Personas13]]</f>
        <v>13</v>
      </c>
      <c r="AZ347" s="310">
        <f>Tabla14[[#This Row],[Valor bolsas Pesona2]]*Tabla14[[#This Row],[Personas Rechazo]]</f>
        <v>78407.000000000015</v>
      </c>
      <c r="BA347" s="311">
        <f>+Tabla14[[#This Row],[Total Valor Segunda]]+Tabla14[[#This Row],[Total Valor Primera]]+Tabla14[[#This Row],[Total Valor Precorte]]</f>
        <v>522000</v>
      </c>
      <c r="BB347" s="470">
        <f>Tabla14[[#This Row],[Valor bolsas Pesona2]]+Tabla14[[#This Row],[Valor Embarque Pesona3]]</f>
        <v>46185.153846153851</v>
      </c>
      <c r="BC347" s="471">
        <v>47740</v>
      </c>
      <c r="BD347" s="470">
        <f>Tabla14[[#This Row],[VALOR GANADO]]-Tabla14[[#This Row],[REAJUSTADO]]</f>
        <v>-1554.8461538461488</v>
      </c>
      <c r="BE347" s="250">
        <f>Tabla14[[#This Row],[CUANTO SE REAJUSTA]]*Tabla14[[#This Row],[Personas Rechazo]]</f>
        <v>-20212.999999999935</v>
      </c>
      <c r="BF347" s="250">
        <f>Tabla14[[#This Row],[REAJUSTADO]]/25000</f>
        <v>1.9096</v>
      </c>
      <c r="BG347" s="302">
        <f>Tabla14[[#This Row],[REAJUSTADO]]*Tabla14[[#This Row],[Personas Rechazo]]</f>
        <v>620620</v>
      </c>
      <c r="BH347" s="292" t="str">
        <f>Tabla14[[#This Row],[Finca]]</f>
        <v>San Pedro</v>
      </c>
      <c r="BJ347" s="332">
        <f>Tabla14[[#This Row],[Numero de Ocacionales]]*Tabla14[[#This Row],[REAJUSTADO]]</f>
        <v>0</v>
      </c>
      <c r="BK347" s="332"/>
      <c r="BL347" s="332"/>
      <c r="BM347" s="332">
        <f>+Tabla14[[#This Row],[CUANTO SE REAJUSTA]]*3</f>
        <v>-4664.5384615384464</v>
      </c>
    </row>
    <row r="348" spans="3:65" x14ac:dyDescent="0.25">
      <c r="C348" s="515">
        <v>45047</v>
      </c>
      <c r="D348" s="507">
        <f>YEAR(Tabla14[[#This Row],[Fecha]])</f>
        <v>2023</v>
      </c>
      <c r="E348" s="516">
        <f>IF(Tabla14[[#This Row],[Fecha]]&gt;0,_xlfn.ISOWEEKNUM(Tabla14[[#This Row],[Fecha]]),0)</f>
        <v>18</v>
      </c>
      <c r="F348" s="283">
        <v>7</v>
      </c>
      <c r="G348" s="275" t="s">
        <v>249</v>
      </c>
      <c r="H348" s="325" t="str">
        <f>_xlfn.XLOOKUP(Tabla14[[#This Row],[Codigo Finca]],Tabla4[Codigo Finca],Tabla4[Nombre Finca],"")</f>
        <v>San Pedro</v>
      </c>
      <c r="I348" s="277">
        <f>_xlfn.XLOOKUP(Tabla14[[#This Row],[Codigo Finca]],Tabla4[Codigo Finca],Tabla4[Precio Caja],0)</f>
        <v>2000</v>
      </c>
      <c r="J348" s="277">
        <f>_xlfn.XLOOKUP(Tabla14[[#This Row],[Codigo Finca]],Tabla4[Codigo Finca],Tabla4[Precio Caja Segunda],0)</f>
        <v>1150</v>
      </c>
      <c r="K348" s="277">
        <f>_xlfn.XLOOKUP(Tabla14[[#This Row],[Codigo Finca]],Tabla4[Codigo Finca],Tabla4[Precio Rechazo],0)</f>
        <v>675</v>
      </c>
      <c r="L348" s="277">
        <f t="shared" si="413"/>
        <v>61</v>
      </c>
      <c r="M348" s="278">
        <f t="shared" si="414"/>
        <v>8.7142857142857135</v>
      </c>
      <c r="N348" s="283"/>
      <c r="O348" s="279"/>
      <c r="P348" s="280">
        <f t="shared" si="415"/>
        <v>0</v>
      </c>
      <c r="Q348" s="281">
        <f t="shared" si="416"/>
        <v>0</v>
      </c>
      <c r="R348" s="282">
        <f t="shared" si="417"/>
        <v>0</v>
      </c>
      <c r="S348" s="283">
        <v>61</v>
      </c>
      <c r="T348" s="275">
        <v>13</v>
      </c>
      <c r="U348" s="280">
        <f t="shared" si="418"/>
        <v>7</v>
      </c>
      <c r="V348" s="281">
        <f t="shared" si="419"/>
        <v>0.53846153846153844</v>
      </c>
      <c r="W348" s="282">
        <f t="shared" si="420"/>
        <v>1076.9230769230769</v>
      </c>
      <c r="X348" s="283"/>
      <c r="Y348" s="275"/>
      <c r="Z348" s="280">
        <f>Tabla14[[#This Row],[Cajas Segunda]]</f>
        <v>0</v>
      </c>
      <c r="AA348" s="281">
        <f t="shared" si="421"/>
        <v>0</v>
      </c>
      <c r="AB348" s="284">
        <f t="shared" si="422"/>
        <v>0</v>
      </c>
      <c r="AC348" s="285"/>
      <c r="AD348" s="286">
        <v>228</v>
      </c>
      <c r="AE348" s="286"/>
      <c r="AF348" s="286"/>
      <c r="AG348" s="286">
        <v>13</v>
      </c>
      <c r="AH348" s="280">
        <f t="shared" si="423"/>
        <v>9.1199999999999992</v>
      </c>
      <c r="AI348" s="281">
        <f t="shared" si="424"/>
        <v>0.70153846153846144</v>
      </c>
      <c r="AJ348" s="282">
        <f t="shared" si="425"/>
        <v>473.53846153846149</v>
      </c>
      <c r="AK348" s="287">
        <f>Tabla14[[#This Row],[Cajas por Personas]]</f>
        <v>0</v>
      </c>
      <c r="AL348" s="288">
        <f>Tabla14[[#This Row],[Valor Precorte Pesona]]</f>
        <v>0</v>
      </c>
      <c r="AM348" s="294">
        <f>Tabla14[[#This Row],[Personas Precorte]]</f>
        <v>0</v>
      </c>
      <c r="AN348" s="308">
        <f>Tabla14[[#This Row],[Valor Precorte Pesona Precorte]]*Tabla14[[#This Row],[Perzonas Precorte]]</f>
        <v>0</v>
      </c>
      <c r="AO348" s="287">
        <f>Tabla14[[#This Row],[Cajas por Personas2]]</f>
        <v>0.53846153846153844</v>
      </c>
      <c r="AP348" s="288">
        <f>Tabla14[[#This Row],[Valor Embarque Pesona]]</f>
        <v>1076.9230769230769</v>
      </c>
      <c r="AQ348" s="295">
        <f>Tabla14[[#This Row],[Personas Precorte2]]</f>
        <v>13</v>
      </c>
      <c r="AR348" s="296">
        <f>Tabla14[[#This Row],[Valor Embarque Pesona3]]*Tabla14[[#This Row],[Perzona Primera]]</f>
        <v>14000</v>
      </c>
      <c r="AS348" s="287">
        <f>Tabla14[[#This Row],[Columna2]]</f>
        <v>0</v>
      </c>
      <c r="AT348" s="288">
        <f>Tabla14[[#This Row],[Columna1]]</f>
        <v>0</v>
      </c>
      <c r="AU348" s="302">
        <f>Tabla14[[#This Row],[Personas Intervienen]]</f>
        <v>0</v>
      </c>
      <c r="AV348" s="297">
        <f>Tabla14[[#This Row],[Valor Embarque Pesona5]]*Tabla14[[#This Row],[Presonas Segunda]]</f>
        <v>0</v>
      </c>
      <c r="AW348" s="287">
        <f>Tabla14[[#This Row],[Bolsas Por Personas]]</f>
        <v>0.70153846153846144</v>
      </c>
      <c r="AX348" s="288">
        <f>Tabla14[[#This Row],[Valor bolsas Pesona]]</f>
        <v>473.53846153846149</v>
      </c>
      <c r="AY348" s="309">
        <f>Tabla14[[#This Row],[Personas13]]</f>
        <v>13</v>
      </c>
      <c r="AZ348" s="310">
        <f>Tabla14[[#This Row],[Valor bolsas Pesona2]]*Tabla14[[#This Row],[Personas Rechazo]]</f>
        <v>6155.9999999999991</v>
      </c>
      <c r="BA348" s="311">
        <f>+Tabla14[[#This Row],[Total Valor Segunda]]+Tabla14[[#This Row],[Total Valor Primera]]+Tabla14[[#This Row],[Total Valor Precorte]]</f>
        <v>14000</v>
      </c>
      <c r="BB348" s="470">
        <f>Tabla14[[#This Row],[Valor bolsas Pesona2]]+Tabla14[[#This Row],[Valor Embarque Pesona3]]</f>
        <v>1550.4615384615383</v>
      </c>
      <c r="BC348" s="471">
        <v>34310</v>
      </c>
      <c r="BD348" s="470">
        <f>Tabla14[[#This Row],[VALOR GANADO]]-Tabla14[[#This Row],[REAJUSTADO]]</f>
        <v>-32759.538461538461</v>
      </c>
      <c r="BE348" s="250">
        <f>Tabla14[[#This Row],[CUANTO SE REAJUSTA]]*Tabla14[[#This Row],[Personas Rechazo]]</f>
        <v>-425874</v>
      </c>
      <c r="BF348" s="250">
        <f>Tabla14[[#This Row],[REAJUSTADO]]/25000</f>
        <v>1.3724000000000001</v>
      </c>
      <c r="BG348" s="302">
        <f>Tabla14[[#This Row],[REAJUSTADO]]*Tabla14[[#This Row],[Personas Rechazo]]</f>
        <v>446030</v>
      </c>
      <c r="BH348" s="292" t="str">
        <f>Tabla14[[#This Row],[Finca]]</f>
        <v>San Pedro</v>
      </c>
      <c r="BJ348" s="332">
        <f>Tabla14[[#This Row],[Numero de Ocacionales]]*Tabla14[[#This Row],[REAJUSTADO]]</f>
        <v>0</v>
      </c>
      <c r="BK348" s="332"/>
      <c r="BL348" s="332"/>
      <c r="BM348" s="332">
        <f>+Tabla14[[#This Row],[CUANTO SE REAJUSTA]]*3</f>
        <v>-98278.615384615376</v>
      </c>
    </row>
    <row r="349" spans="3:65" x14ac:dyDescent="0.25">
      <c r="C349" s="515">
        <v>45048</v>
      </c>
      <c r="D349" s="507">
        <f>YEAR(Tabla14[[#This Row],[Fecha]])</f>
        <v>2023</v>
      </c>
      <c r="E349" s="516">
        <f>IF(Tabla14[[#This Row],[Fecha]]&gt;0,_xlfn.ISOWEEKNUM(Tabla14[[#This Row],[Fecha]]),0)</f>
        <v>18</v>
      </c>
      <c r="F349" s="283">
        <v>57</v>
      </c>
      <c r="G349" s="275" t="s">
        <v>247</v>
      </c>
      <c r="H349" s="325" t="str">
        <f>_xlfn.XLOOKUP(Tabla14[[#This Row],[Codigo Finca]],Tabla4[Codigo Finca],Tabla4[Nombre Finca],"")</f>
        <v>Uveros</v>
      </c>
      <c r="I349" s="277">
        <f>_xlfn.XLOOKUP(Tabla14[[#This Row],[Codigo Finca]],Tabla4[Codigo Finca],Tabla4[Precio Caja],0)</f>
        <v>1800</v>
      </c>
      <c r="J349" s="277">
        <f>_xlfn.XLOOKUP(Tabla14[[#This Row],[Codigo Finca]],Tabla4[Codigo Finca],Tabla4[Precio Caja Segunda],0)</f>
        <v>1150</v>
      </c>
      <c r="K349" s="277">
        <f>_xlfn.XLOOKUP(Tabla14[[#This Row],[Codigo Finca]],Tabla4[Codigo Finca],Tabla4[Precio Rechazo],0)</f>
        <v>575</v>
      </c>
      <c r="L349" s="277">
        <f t="shared" si="413"/>
        <v>292</v>
      </c>
      <c r="M349" s="278">
        <f t="shared" si="414"/>
        <v>5.1228070175438596</v>
      </c>
      <c r="N349" s="283"/>
      <c r="O349" s="279"/>
      <c r="P349" s="280">
        <f t="shared" si="415"/>
        <v>0</v>
      </c>
      <c r="Q349" s="281">
        <f t="shared" si="416"/>
        <v>0</v>
      </c>
      <c r="R349" s="282">
        <f t="shared" si="417"/>
        <v>0</v>
      </c>
      <c r="S349" s="283">
        <v>292</v>
      </c>
      <c r="T349" s="275">
        <v>3</v>
      </c>
      <c r="U349" s="280">
        <f t="shared" si="418"/>
        <v>57</v>
      </c>
      <c r="V349" s="281">
        <f t="shared" si="419"/>
        <v>19</v>
      </c>
      <c r="W349" s="282">
        <f t="shared" si="420"/>
        <v>34200</v>
      </c>
      <c r="X349" s="283"/>
      <c r="Y349" s="275"/>
      <c r="Z349" s="280">
        <f>Tabla14[[#This Row],[Cajas Segunda]]</f>
        <v>0</v>
      </c>
      <c r="AA349" s="281">
        <f t="shared" si="421"/>
        <v>0</v>
      </c>
      <c r="AB349" s="284">
        <f t="shared" si="422"/>
        <v>0</v>
      </c>
      <c r="AC349" s="285"/>
      <c r="AD349" s="286">
        <v>515</v>
      </c>
      <c r="AE349" s="286"/>
      <c r="AF349" s="286"/>
      <c r="AG349" s="286">
        <v>3</v>
      </c>
      <c r="AH349" s="280">
        <f t="shared" si="423"/>
        <v>20.6</v>
      </c>
      <c r="AI349" s="281">
        <f t="shared" si="424"/>
        <v>6.8666666666666671</v>
      </c>
      <c r="AJ349" s="282">
        <f t="shared" si="425"/>
        <v>3948.3333333333335</v>
      </c>
      <c r="AK349" s="287">
        <f>Tabla14[[#This Row],[Cajas por Personas]]</f>
        <v>0</v>
      </c>
      <c r="AL349" s="288">
        <f>Tabla14[[#This Row],[Valor Precorte Pesona]]</f>
        <v>0</v>
      </c>
      <c r="AM349" s="294">
        <f>Tabla14[[#This Row],[Personas Precorte]]</f>
        <v>0</v>
      </c>
      <c r="AN349" s="308">
        <f>Tabla14[[#This Row],[Valor Precorte Pesona Precorte]]*Tabla14[[#This Row],[Perzonas Precorte]]</f>
        <v>0</v>
      </c>
      <c r="AO349" s="287">
        <f>Tabla14[[#This Row],[Cajas por Personas2]]</f>
        <v>19</v>
      </c>
      <c r="AP349" s="288">
        <f>Tabla14[[#This Row],[Valor Embarque Pesona]]</f>
        <v>34200</v>
      </c>
      <c r="AQ349" s="295">
        <f>Tabla14[[#This Row],[Personas Precorte2]]</f>
        <v>3</v>
      </c>
      <c r="AR349" s="296">
        <f>Tabla14[[#This Row],[Valor Embarque Pesona3]]*Tabla14[[#This Row],[Perzona Primera]]</f>
        <v>102600</v>
      </c>
      <c r="AS349" s="287">
        <f>Tabla14[[#This Row],[Columna2]]</f>
        <v>0</v>
      </c>
      <c r="AT349" s="288">
        <f>Tabla14[[#This Row],[Columna1]]</f>
        <v>0</v>
      </c>
      <c r="AU349" s="302">
        <f>Tabla14[[#This Row],[Personas Intervienen]]</f>
        <v>0</v>
      </c>
      <c r="AV349" s="297">
        <f>Tabla14[[#This Row],[Valor Embarque Pesona5]]*Tabla14[[#This Row],[Presonas Segunda]]</f>
        <v>0</v>
      </c>
      <c r="AW349" s="287">
        <f>Tabla14[[#This Row],[Bolsas Por Personas]]</f>
        <v>6.8666666666666671</v>
      </c>
      <c r="AX349" s="288">
        <f>Tabla14[[#This Row],[Valor bolsas Pesona]]</f>
        <v>3948.3333333333335</v>
      </c>
      <c r="AY349" s="309">
        <f>Tabla14[[#This Row],[Personas13]]</f>
        <v>3</v>
      </c>
      <c r="AZ349" s="310">
        <f>Tabla14[[#This Row],[Valor bolsas Pesona2]]*Tabla14[[#This Row],[Personas Rechazo]]</f>
        <v>11845</v>
      </c>
      <c r="BA349" s="311">
        <f>+Tabla14[[#This Row],[Total Valor Segunda]]+Tabla14[[#This Row],[Total Valor Primera]]+Tabla14[[#This Row],[Total Valor Precorte]]</f>
        <v>102600</v>
      </c>
      <c r="BB349" s="292">
        <f>Tabla14[[#This Row],[Valor bolsas Pesona2]]+Tabla14[[#This Row],[Valor Embarque Pesona3]]</f>
        <v>38148.333333333336</v>
      </c>
      <c r="BC349" s="332">
        <v>38150</v>
      </c>
      <c r="BD349" s="292">
        <f>Tabla14[[#This Row],[VALOR GANADO]]-Tabla14[[#This Row],[REAJUSTADO]]</f>
        <v>-1.6666666666642413</v>
      </c>
      <c r="BE349" s="250">
        <f>Tabla14[[#This Row],[CUANTO SE REAJUSTA]]*Tabla14[[#This Row],[Personas Rechazo]]</f>
        <v>-4.999999999992724</v>
      </c>
      <c r="BF349" s="250">
        <f>Tabla14[[#This Row],[REAJUSTADO]]/25000</f>
        <v>1.526</v>
      </c>
      <c r="BG349" s="302">
        <f>Tabla14[[#This Row],[REAJUSTADO]]*Tabla14[[#This Row],[Personas Rechazo]]</f>
        <v>114450</v>
      </c>
      <c r="BH349" s="292" t="str">
        <f>Tabla14[[#This Row],[Finca]]</f>
        <v>Uveros</v>
      </c>
      <c r="BJ349" s="332">
        <f>Tabla14[[#This Row],[Numero de Ocacionales]]*Tabla14[[#This Row],[REAJUSTADO]]</f>
        <v>0</v>
      </c>
      <c r="BK349" s="332"/>
      <c r="BL349" s="332"/>
      <c r="BM349" s="332">
        <f>+Tabla14[[#This Row],[CUANTO SE REAJUSTA]]*3</f>
        <v>-4.999999999992724</v>
      </c>
    </row>
    <row r="350" spans="3:65" x14ac:dyDescent="0.25">
      <c r="C350" s="515">
        <v>45049</v>
      </c>
      <c r="D350" s="507">
        <f>YEAR(Tabla14[[#This Row],[Fecha]])</f>
        <v>2023</v>
      </c>
      <c r="E350" s="516">
        <f>IF(Tabla14[[#This Row],[Fecha]]&gt;0,_xlfn.ISOWEEKNUM(Tabla14[[#This Row],[Fecha]]),0)</f>
        <v>18</v>
      </c>
      <c r="F350" s="283">
        <v>157</v>
      </c>
      <c r="G350" s="275" t="s">
        <v>251</v>
      </c>
      <c r="H350" s="325" t="str">
        <f>_xlfn.XLOOKUP(Tabla14[[#This Row],[Codigo Finca]],Tabla4[Codigo Finca],Tabla4[Nombre Finca],"")</f>
        <v>Pedrito</v>
      </c>
      <c r="I350" s="277">
        <f>_xlfn.XLOOKUP(Tabla14[[#This Row],[Codigo Finca]],Tabla4[Codigo Finca],Tabla4[Precio Caja],0)</f>
        <v>1800</v>
      </c>
      <c r="J350" s="277">
        <f>_xlfn.XLOOKUP(Tabla14[[#This Row],[Codigo Finca]],Tabla4[Codigo Finca],Tabla4[Precio Caja Segunda],0)</f>
        <v>1150</v>
      </c>
      <c r="K350" s="277">
        <f>_xlfn.XLOOKUP(Tabla14[[#This Row],[Codigo Finca]],Tabla4[Codigo Finca],Tabla4[Precio Rechazo],0)</f>
        <v>575</v>
      </c>
      <c r="L350" s="277">
        <f t="shared" si="413"/>
        <v>975</v>
      </c>
      <c r="M350" s="278">
        <f t="shared" si="414"/>
        <v>6.2101910828025479</v>
      </c>
      <c r="N350" s="283"/>
      <c r="O350" s="279"/>
      <c r="P350" s="280">
        <f t="shared" si="415"/>
        <v>0</v>
      </c>
      <c r="Q350" s="281">
        <f t="shared" si="416"/>
        <v>0</v>
      </c>
      <c r="R350" s="282">
        <f t="shared" si="417"/>
        <v>0</v>
      </c>
      <c r="S350" s="283">
        <v>975</v>
      </c>
      <c r="T350" s="275">
        <v>11</v>
      </c>
      <c r="U350" s="280">
        <f t="shared" si="418"/>
        <v>157</v>
      </c>
      <c r="V350" s="281">
        <f t="shared" si="419"/>
        <v>14.272727272727273</v>
      </c>
      <c r="W350" s="282">
        <f t="shared" si="420"/>
        <v>25690.909090909092</v>
      </c>
      <c r="X350" s="283"/>
      <c r="Y350" s="275"/>
      <c r="Z350" s="280">
        <f>Tabla14[[#This Row],[Cajas Segunda]]</f>
        <v>0</v>
      </c>
      <c r="AA350" s="281">
        <f t="shared" si="421"/>
        <v>0</v>
      </c>
      <c r="AB350" s="284">
        <f t="shared" si="422"/>
        <v>0</v>
      </c>
      <c r="AC350" s="285"/>
      <c r="AD350" s="286">
        <v>2290</v>
      </c>
      <c r="AE350" s="286"/>
      <c r="AF350" s="286"/>
      <c r="AG350" s="286">
        <v>11</v>
      </c>
      <c r="AH350" s="280">
        <f t="shared" si="423"/>
        <v>91.6</v>
      </c>
      <c r="AI350" s="281">
        <f t="shared" si="424"/>
        <v>8.3272727272727263</v>
      </c>
      <c r="AJ350" s="282">
        <f t="shared" si="425"/>
        <v>4788.181818181818</v>
      </c>
      <c r="AK350" s="287">
        <f>Tabla14[[#This Row],[Cajas por Personas]]</f>
        <v>0</v>
      </c>
      <c r="AL350" s="288">
        <f>Tabla14[[#This Row],[Valor Precorte Pesona]]</f>
        <v>0</v>
      </c>
      <c r="AM350" s="294">
        <f>Tabla14[[#This Row],[Personas Precorte]]</f>
        <v>0</v>
      </c>
      <c r="AN350" s="308">
        <f>Tabla14[[#This Row],[Valor Precorte Pesona Precorte]]*Tabla14[[#This Row],[Perzonas Precorte]]</f>
        <v>0</v>
      </c>
      <c r="AO350" s="287">
        <f>Tabla14[[#This Row],[Cajas por Personas2]]</f>
        <v>14.272727272727273</v>
      </c>
      <c r="AP350" s="288">
        <f>Tabla14[[#This Row],[Valor Embarque Pesona]]</f>
        <v>25690.909090909092</v>
      </c>
      <c r="AQ350" s="295">
        <f>Tabla14[[#This Row],[Personas Precorte2]]</f>
        <v>11</v>
      </c>
      <c r="AR350" s="296">
        <f>Tabla14[[#This Row],[Valor Embarque Pesona3]]*Tabla14[[#This Row],[Perzona Primera]]</f>
        <v>282600</v>
      </c>
      <c r="AS350" s="287">
        <f>Tabla14[[#This Row],[Columna2]]</f>
        <v>0</v>
      </c>
      <c r="AT350" s="288">
        <f>Tabla14[[#This Row],[Columna1]]</f>
        <v>0</v>
      </c>
      <c r="AU350" s="302">
        <f>Tabla14[[#This Row],[Personas Intervienen]]</f>
        <v>0</v>
      </c>
      <c r="AV350" s="297">
        <f>Tabla14[[#This Row],[Valor Embarque Pesona5]]*Tabla14[[#This Row],[Presonas Segunda]]</f>
        <v>0</v>
      </c>
      <c r="AW350" s="287">
        <f>Tabla14[[#This Row],[Bolsas Por Personas]]</f>
        <v>8.3272727272727263</v>
      </c>
      <c r="AX350" s="288">
        <f>Tabla14[[#This Row],[Valor bolsas Pesona]]</f>
        <v>4788.181818181818</v>
      </c>
      <c r="AY350" s="309">
        <f>Tabla14[[#This Row],[Personas13]]</f>
        <v>11</v>
      </c>
      <c r="AZ350" s="310">
        <f>Tabla14[[#This Row],[Valor bolsas Pesona2]]*Tabla14[[#This Row],[Personas Rechazo]]</f>
        <v>52670</v>
      </c>
      <c r="BA350" s="311">
        <f>+Tabla14[[#This Row],[Total Valor Segunda]]+Tabla14[[#This Row],[Total Valor Primera]]+Tabla14[[#This Row],[Total Valor Precorte]]</f>
        <v>282600</v>
      </c>
      <c r="BB350" s="292">
        <f>Tabla14[[#This Row],[Valor bolsas Pesona2]]+Tabla14[[#This Row],[Valor Embarque Pesona3]]</f>
        <v>30479.090909090912</v>
      </c>
      <c r="BC350" s="332">
        <v>30500</v>
      </c>
      <c r="BD350" s="292">
        <f>Tabla14[[#This Row],[VALOR GANADO]]-Tabla14[[#This Row],[REAJUSTADO]]</f>
        <v>-20.909090909088263</v>
      </c>
      <c r="BE350" s="250">
        <f>Tabla14[[#This Row],[CUANTO SE REAJUSTA]]*Tabla14[[#This Row],[Personas Rechazo]]</f>
        <v>-229.9999999999709</v>
      </c>
      <c r="BF350" s="250">
        <f>Tabla14[[#This Row],[REAJUSTADO]]/25000</f>
        <v>1.22</v>
      </c>
      <c r="BG350" s="302">
        <f>Tabla14[[#This Row],[REAJUSTADO]]*Tabla14[[#This Row],[Personas Rechazo]]</f>
        <v>335500</v>
      </c>
      <c r="BH350" s="292" t="str">
        <f>Tabla14[[#This Row],[Finca]]</f>
        <v>Pedrito</v>
      </c>
      <c r="BJ350" s="332">
        <f>Tabla14[[#This Row],[Numero de Ocacionales]]*Tabla14[[#This Row],[REAJUSTADO]]</f>
        <v>0</v>
      </c>
      <c r="BK350" s="332"/>
      <c r="BL350" s="332"/>
      <c r="BM350" s="332">
        <f>+Tabla14[[#This Row],[CUANTO SE REAJUSTA]]*3</f>
        <v>-62.72727272726479</v>
      </c>
    </row>
    <row r="351" spans="3:65" x14ac:dyDescent="0.25">
      <c r="C351" s="517">
        <v>45049</v>
      </c>
      <c r="D351" s="507">
        <f>YEAR(Tabla14[[#This Row],[Fecha]])</f>
        <v>2023</v>
      </c>
      <c r="E351" s="518">
        <f>IF(Tabla14[[#This Row],[Fecha]]&gt;0,_xlfn.ISOWEEKNUM(Tabla14[[#This Row],[Fecha]]),0)</f>
        <v>18</v>
      </c>
      <c r="F351" s="269">
        <v>53</v>
      </c>
      <c r="G351" s="275" t="s">
        <v>248</v>
      </c>
      <c r="H351" s="266" t="str">
        <f>_xlfn.XLOOKUP(Tabla14[[#This Row],[Codigo Finca]],Tabla4[Codigo Finca],Tabla4[Nombre Finca],"")</f>
        <v>Damaquiel</v>
      </c>
      <c r="I351" s="262">
        <f>_xlfn.XLOOKUP(Tabla14[[#This Row],[Codigo Finca]],Tabla4[Codigo Finca],Tabla4[Precio Caja],0)</f>
        <v>1800</v>
      </c>
      <c r="J351" s="262">
        <f>_xlfn.XLOOKUP(Tabla14[[#This Row],[Codigo Finca]],Tabla4[Codigo Finca],Tabla4[Precio Caja Segunda],0)</f>
        <v>1150</v>
      </c>
      <c r="K351" s="262">
        <f>_xlfn.XLOOKUP(Tabla14[[#This Row],[Codigo Finca]],Tabla4[Codigo Finca],Tabla4[Precio Rechazo],0)</f>
        <v>575</v>
      </c>
      <c r="L351" s="262">
        <f t="shared" si="413"/>
        <v>278</v>
      </c>
      <c r="M351" s="272">
        <f t="shared" si="414"/>
        <v>5.2452830188679247</v>
      </c>
      <c r="N351" s="269"/>
      <c r="O351" s="270"/>
      <c r="P351" s="280">
        <f t="shared" si="415"/>
        <v>0</v>
      </c>
      <c r="Q351" s="263">
        <f t="shared" si="416"/>
        <v>0</v>
      </c>
      <c r="R351" s="322">
        <f t="shared" si="417"/>
        <v>0</v>
      </c>
      <c r="S351" s="269">
        <v>278</v>
      </c>
      <c r="T351" s="268">
        <v>5</v>
      </c>
      <c r="U351" s="251">
        <f t="shared" si="418"/>
        <v>53</v>
      </c>
      <c r="V351" s="263">
        <f t="shared" si="419"/>
        <v>10.6</v>
      </c>
      <c r="W351" s="322">
        <f t="shared" si="420"/>
        <v>19080</v>
      </c>
      <c r="X351" s="269"/>
      <c r="Y351" s="268"/>
      <c r="Z351" s="251">
        <f>Tabla14[[#This Row],[Cajas Segunda]]</f>
        <v>0</v>
      </c>
      <c r="AA351" s="263">
        <f t="shared" si="421"/>
        <v>0</v>
      </c>
      <c r="AB351" s="265">
        <f t="shared" si="422"/>
        <v>0</v>
      </c>
      <c r="AC351" s="273"/>
      <c r="AD351" s="271">
        <v>254</v>
      </c>
      <c r="AE351" s="271"/>
      <c r="AF351" s="271"/>
      <c r="AG351" s="271">
        <v>5</v>
      </c>
      <c r="AH351" s="251">
        <f t="shared" si="423"/>
        <v>10.16</v>
      </c>
      <c r="AI351" s="263">
        <f t="shared" si="424"/>
        <v>2.032</v>
      </c>
      <c r="AJ351" s="322">
        <f t="shared" si="425"/>
        <v>1168.4000000000001</v>
      </c>
      <c r="AK351" s="264">
        <f>Tabla14[[#This Row],[Cajas por Personas]]</f>
        <v>0</v>
      </c>
      <c r="AL351" s="267">
        <f>Tabla14[[#This Row],[Valor Precorte Pesona]]</f>
        <v>0</v>
      </c>
      <c r="AM351" s="294">
        <f>Tabla14[[#This Row],[Personas Precorte]]</f>
        <v>0</v>
      </c>
      <c r="AN351" s="308">
        <f>Tabla14[[#This Row],[Valor Precorte Pesona Precorte]]*Tabla14[[#This Row],[Perzonas Precorte]]</f>
        <v>0</v>
      </c>
      <c r="AO351" s="264">
        <f>Tabla14[[#This Row],[Cajas por Personas2]]</f>
        <v>10.6</v>
      </c>
      <c r="AP351" s="267">
        <f>Tabla14[[#This Row],[Valor Embarque Pesona]]</f>
        <v>19080</v>
      </c>
      <c r="AQ351" s="295">
        <f>Tabla14[[#This Row],[Personas Precorte2]]</f>
        <v>5</v>
      </c>
      <c r="AR351" s="296">
        <f>Tabla14[[#This Row],[Valor Embarque Pesona3]]*Tabla14[[#This Row],[Perzona Primera]]</f>
        <v>95400</v>
      </c>
      <c r="AS351" s="264">
        <f>Tabla14[[#This Row],[Columna2]]</f>
        <v>0</v>
      </c>
      <c r="AT351" s="267">
        <f>Tabla14[[#This Row],[Columna1]]</f>
        <v>0</v>
      </c>
      <c r="AU351" s="302">
        <f>Tabla14[[#This Row],[Personas Intervienen]]</f>
        <v>0</v>
      </c>
      <c r="AV351" s="297">
        <f>Tabla14[[#This Row],[Valor Embarque Pesona5]]*Tabla14[[#This Row],[Presonas Segunda]]</f>
        <v>0</v>
      </c>
      <c r="AW351" s="264">
        <f>Tabla14[[#This Row],[Bolsas Por Personas]]</f>
        <v>2.032</v>
      </c>
      <c r="AX351" s="267">
        <f>Tabla14[[#This Row],[Valor bolsas Pesona]]</f>
        <v>1168.4000000000001</v>
      </c>
      <c r="AY351" s="290">
        <f>Tabla14[[#This Row],[Personas13]]</f>
        <v>5</v>
      </c>
      <c r="AZ351" s="323">
        <f>Tabla14[[#This Row],[Valor bolsas Pesona2]]*Tabla14[[#This Row],[Personas Rechazo]]</f>
        <v>5842</v>
      </c>
      <c r="BA351" s="324">
        <f>+Tabla14[[#This Row],[Total Valor Segunda]]+Tabla14[[#This Row],[Total Valor Primera]]+Tabla14[[#This Row],[Total Valor Precorte]]</f>
        <v>95400</v>
      </c>
      <c r="BB351" s="292">
        <f>Tabla14[[#This Row],[Valor bolsas Pesona2]]+Tabla14[[#This Row],[Valor Embarque Pesona3]]</f>
        <v>20248.400000000001</v>
      </c>
      <c r="BC351" s="332">
        <v>30000</v>
      </c>
      <c r="BD351" s="292">
        <f>Tabla14[[#This Row],[VALOR GANADO]]-Tabla14[[#This Row],[REAJUSTADO]]</f>
        <v>-9751.5999999999985</v>
      </c>
      <c r="BE351" s="250">
        <f>Tabla14[[#This Row],[CUANTO SE REAJUSTA]]*Tabla14[[#This Row],[Personas Rechazo]]</f>
        <v>-48757.999999999993</v>
      </c>
      <c r="BF351" s="250">
        <f>Tabla14[[#This Row],[REAJUSTADO]]/25000</f>
        <v>1.2</v>
      </c>
      <c r="BG351" s="302">
        <f>Tabla14[[#This Row],[REAJUSTADO]]*Tabla14[[#This Row],[Personas Rechazo]]</f>
        <v>150000</v>
      </c>
      <c r="BH351" s="292" t="str">
        <f>Tabla14[[#This Row],[Finca]]</f>
        <v>Damaquiel</v>
      </c>
      <c r="BJ351" s="330">
        <f>Tabla14[[#This Row],[Numero de Ocacionales]]*Tabla14[[#This Row],[REAJUSTADO]]</f>
        <v>0</v>
      </c>
      <c r="BM351" s="330">
        <f>+Tabla14[[#This Row],[CUANTO SE REAJUSTA]]*3</f>
        <v>-29254.799999999996</v>
      </c>
    </row>
    <row r="352" spans="3:65" x14ac:dyDescent="0.25">
      <c r="C352" s="515">
        <v>45054</v>
      </c>
      <c r="D352" s="507">
        <f>YEAR(Tabla14[[#This Row],[Fecha]])</f>
        <v>2023</v>
      </c>
      <c r="E352" s="516">
        <f>IF(Tabla14[[#This Row],[Fecha]]&gt;0,_xlfn.ISOWEEKNUM(Tabla14[[#This Row],[Fecha]]),0)</f>
        <v>19</v>
      </c>
      <c r="F352" s="283">
        <f>224-9</f>
        <v>215</v>
      </c>
      <c r="G352" s="275" t="s">
        <v>259</v>
      </c>
      <c r="H352" s="325" t="str">
        <f>_xlfn.XLOOKUP(Tabla14[[#This Row],[Codigo Finca]],Tabla4[Codigo Finca],Tabla4[Nombre Finca],"")</f>
        <v>San Pedro</v>
      </c>
      <c r="I352" s="277">
        <f>_xlfn.XLOOKUP(Tabla14[[#This Row],[Codigo Finca]],Tabla4[Codigo Finca],Tabla4[Precio Caja],0)</f>
        <v>1800</v>
      </c>
      <c r="J352" s="277">
        <f>_xlfn.XLOOKUP(Tabla14[[#This Row],[Codigo Finca]],Tabla4[Codigo Finca],Tabla4[Precio Caja Segunda],0)</f>
        <v>1150</v>
      </c>
      <c r="K352" s="277">
        <f>_xlfn.XLOOKUP(Tabla14[[#This Row],[Codigo Finca]],Tabla4[Codigo Finca],Tabla4[Precio Rechazo],0)</f>
        <v>575</v>
      </c>
      <c r="L352" s="277">
        <f t="shared" si="413"/>
        <v>939</v>
      </c>
      <c r="M352" s="278">
        <f t="shared" si="414"/>
        <v>4.3674418604651164</v>
      </c>
      <c r="N352" s="283"/>
      <c r="O352" s="279"/>
      <c r="P352" s="280">
        <f t="shared" si="415"/>
        <v>0</v>
      </c>
      <c r="Q352" s="281">
        <f t="shared" si="416"/>
        <v>0</v>
      </c>
      <c r="R352" s="282">
        <f t="shared" si="417"/>
        <v>0</v>
      </c>
      <c r="S352" s="283">
        <f>1004-65</f>
        <v>939</v>
      </c>
      <c r="T352" s="275">
        <v>15</v>
      </c>
      <c r="U352" s="280">
        <f t="shared" si="418"/>
        <v>215</v>
      </c>
      <c r="V352" s="281">
        <f t="shared" si="419"/>
        <v>14.333333333333334</v>
      </c>
      <c r="W352" s="282">
        <f t="shared" si="420"/>
        <v>25800</v>
      </c>
      <c r="X352" s="283"/>
      <c r="Y352" s="275"/>
      <c r="Z352" s="280">
        <f>Tabla14[[#This Row],[Cajas Segunda]]</f>
        <v>0</v>
      </c>
      <c r="AA352" s="281">
        <f t="shared" si="421"/>
        <v>0</v>
      </c>
      <c r="AB352" s="284">
        <f t="shared" si="422"/>
        <v>0</v>
      </c>
      <c r="AC352" s="285"/>
      <c r="AD352" s="286">
        <f>2249+166+442</f>
        <v>2857</v>
      </c>
      <c r="AE352" s="286"/>
      <c r="AF352" s="286"/>
      <c r="AG352" s="286">
        <v>15</v>
      </c>
      <c r="AH352" s="280">
        <f t="shared" si="423"/>
        <v>114.28</v>
      </c>
      <c r="AI352" s="281">
        <f t="shared" si="424"/>
        <v>7.6186666666666669</v>
      </c>
      <c r="AJ352" s="282">
        <f t="shared" si="425"/>
        <v>4380.7333333333336</v>
      </c>
      <c r="AK352" s="287">
        <f>Tabla14[[#This Row],[Cajas por Personas]]</f>
        <v>0</v>
      </c>
      <c r="AL352" s="288">
        <f>Tabla14[[#This Row],[Valor Precorte Pesona]]</f>
        <v>0</v>
      </c>
      <c r="AM352" s="294">
        <f>Tabla14[[#This Row],[Personas Precorte]]</f>
        <v>0</v>
      </c>
      <c r="AN352" s="308">
        <f>Tabla14[[#This Row],[Valor Precorte Pesona Precorte]]*Tabla14[[#This Row],[Perzonas Precorte]]</f>
        <v>0</v>
      </c>
      <c r="AO352" s="287">
        <f>Tabla14[[#This Row],[Cajas por Personas2]]</f>
        <v>14.333333333333334</v>
      </c>
      <c r="AP352" s="288">
        <f>Tabla14[[#This Row],[Valor Embarque Pesona]]</f>
        <v>25800</v>
      </c>
      <c r="AQ352" s="295">
        <f>Tabla14[[#This Row],[Personas Precorte2]]</f>
        <v>15</v>
      </c>
      <c r="AR352" s="296">
        <f>Tabla14[[#This Row],[Valor Embarque Pesona3]]*Tabla14[[#This Row],[Perzona Primera]]</f>
        <v>387000</v>
      </c>
      <c r="AS352" s="287">
        <f>Tabla14[[#This Row],[Columna2]]</f>
        <v>0</v>
      </c>
      <c r="AT352" s="288">
        <f>Tabla14[[#This Row],[Columna1]]</f>
        <v>0</v>
      </c>
      <c r="AU352" s="302">
        <f>Tabla14[[#This Row],[Personas Intervienen]]</f>
        <v>0</v>
      </c>
      <c r="AV352" s="297">
        <f>Tabla14[[#This Row],[Valor Embarque Pesona5]]*Tabla14[[#This Row],[Presonas Segunda]]</f>
        <v>0</v>
      </c>
      <c r="AW352" s="287">
        <f>Tabla14[[#This Row],[Bolsas Por Personas]]</f>
        <v>7.6186666666666669</v>
      </c>
      <c r="AX352" s="288">
        <f>Tabla14[[#This Row],[Valor bolsas Pesona]]</f>
        <v>4380.7333333333336</v>
      </c>
      <c r="AY352" s="309">
        <f>Tabla14[[#This Row],[Personas13]]</f>
        <v>15</v>
      </c>
      <c r="AZ352" s="310">
        <f>Tabla14[[#This Row],[Valor bolsas Pesona2]]*Tabla14[[#This Row],[Personas Rechazo]]</f>
        <v>65711</v>
      </c>
      <c r="BA352" s="311">
        <f>+Tabla14[[#This Row],[Total Valor Segunda]]+Tabla14[[#This Row],[Total Valor Primera]]+Tabla14[[#This Row],[Total Valor Precorte]]</f>
        <v>387000</v>
      </c>
      <c r="BB352" s="292">
        <f>Tabla14[[#This Row],[Valor bolsas Pesona2]]+Tabla14[[#This Row],[Valor Embarque Pesona3]]</f>
        <v>30180.733333333334</v>
      </c>
      <c r="BC352" s="332">
        <v>30450</v>
      </c>
      <c r="BD352" s="292">
        <f>Tabla14[[#This Row],[VALOR GANADO]]-Tabla14[[#This Row],[REAJUSTADO]]</f>
        <v>-269.26666666666642</v>
      </c>
      <c r="BE352" s="250">
        <f>Tabla14[[#This Row],[CUANTO SE REAJUSTA]]*Tabla14[[#This Row],[Personas Rechazo]]</f>
        <v>-4038.9999999999964</v>
      </c>
      <c r="BF352" s="250">
        <f>Tabla14[[#This Row],[REAJUSTADO]]/25000</f>
        <v>1.218</v>
      </c>
      <c r="BG352" s="302">
        <f>Tabla14[[#This Row],[REAJUSTADO]]*Tabla14[[#This Row],[Personas Rechazo]]</f>
        <v>456750</v>
      </c>
      <c r="BH352" s="292" t="str">
        <f>Tabla14[[#This Row],[Finca]]</f>
        <v>San Pedro</v>
      </c>
      <c r="BJ352" s="332">
        <f>Tabla14[[#This Row],[Numero de Ocacionales]]*Tabla14[[#This Row],[REAJUSTADO]]</f>
        <v>0</v>
      </c>
      <c r="BK352" s="332"/>
      <c r="BL352" s="332"/>
      <c r="BM352" s="332">
        <f>+Tabla14[[#This Row],[CUANTO SE REAJUSTA]]*3</f>
        <v>-807.79999999999927</v>
      </c>
    </row>
    <row r="353" spans="3:65" x14ac:dyDescent="0.25">
      <c r="C353" s="515">
        <v>45054</v>
      </c>
      <c r="D353" s="507">
        <f>YEAR(Tabla14[[#This Row],[Fecha]])</f>
        <v>2023</v>
      </c>
      <c r="E353" s="516">
        <f>IF(Tabla14[[#This Row],[Fecha]]&gt;0,_xlfn.ISOWEEKNUM(Tabla14[[#This Row],[Fecha]]),0)</f>
        <v>19</v>
      </c>
      <c r="F353" s="283">
        <v>9</v>
      </c>
      <c r="G353" s="275" t="s">
        <v>249</v>
      </c>
      <c r="H353" s="325" t="str">
        <f>_xlfn.XLOOKUP(Tabla14[[#This Row],[Codigo Finca]],Tabla4[Codigo Finca],Tabla4[Nombre Finca],"")</f>
        <v>San Pedro</v>
      </c>
      <c r="I353" s="277">
        <f>_xlfn.XLOOKUP(Tabla14[[#This Row],[Codigo Finca]],Tabla4[Codigo Finca],Tabla4[Precio Caja],0)</f>
        <v>2000</v>
      </c>
      <c r="J353" s="277">
        <f>_xlfn.XLOOKUP(Tabla14[[#This Row],[Codigo Finca]],Tabla4[Codigo Finca],Tabla4[Precio Caja Segunda],0)</f>
        <v>1150</v>
      </c>
      <c r="K353" s="277">
        <f>_xlfn.XLOOKUP(Tabla14[[#This Row],[Codigo Finca]],Tabla4[Codigo Finca],Tabla4[Precio Rechazo],0)</f>
        <v>675</v>
      </c>
      <c r="L353" s="277">
        <f t="shared" si="413"/>
        <v>65</v>
      </c>
      <c r="M353" s="278">
        <f t="shared" si="414"/>
        <v>7.2222222222222223</v>
      </c>
      <c r="N353" s="283"/>
      <c r="O353" s="279"/>
      <c r="P353" s="280">
        <f t="shared" si="415"/>
        <v>0</v>
      </c>
      <c r="Q353" s="281">
        <f t="shared" si="416"/>
        <v>0</v>
      </c>
      <c r="R353" s="282">
        <f t="shared" si="417"/>
        <v>0</v>
      </c>
      <c r="S353" s="283">
        <v>65</v>
      </c>
      <c r="T353" s="275">
        <v>15</v>
      </c>
      <c r="U353" s="280">
        <f t="shared" si="418"/>
        <v>9</v>
      </c>
      <c r="V353" s="281">
        <f t="shared" si="419"/>
        <v>0.6</v>
      </c>
      <c r="W353" s="282">
        <f t="shared" si="420"/>
        <v>1200</v>
      </c>
      <c r="X353" s="283"/>
      <c r="Y353" s="275"/>
      <c r="Z353" s="280">
        <f>Tabla14[[#This Row],[Cajas Segunda]]</f>
        <v>0</v>
      </c>
      <c r="AA353" s="281">
        <f t="shared" si="421"/>
        <v>0</v>
      </c>
      <c r="AB353" s="284">
        <f t="shared" si="422"/>
        <v>0</v>
      </c>
      <c r="AC353" s="285"/>
      <c r="AD353" s="286"/>
      <c r="AE353" s="286"/>
      <c r="AF353" s="286"/>
      <c r="AG353" s="286">
        <v>15</v>
      </c>
      <c r="AH353" s="280">
        <f t="shared" si="423"/>
        <v>0</v>
      </c>
      <c r="AI353" s="281">
        <f t="shared" si="424"/>
        <v>0</v>
      </c>
      <c r="AJ353" s="282">
        <f t="shared" si="425"/>
        <v>0</v>
      </c>
      <c r="AK353" s="287">
        <f>Tabla14[[#This Row],[Cajas por Personas]]</f>
        <v>0</v>
      </c>
      <c r="AL353" s="288">
        <f>Tabla14[[#This Row],[Valor Precorte Pesona]]</f>
        <v>0</v>
      </c>
      <c r="AM353" s="294">
        <f>Tabla14[[#This Row],[Personas Precorte]]</f>
        <v>0</v>
      </c>
      <c r="AN353" s="308">
        <f>Tabla14[[#This Row],[Valor Precorte Pesona Precorte]]*Tabla14[[#This Row],[Perzonas Precorte]]</f>
        <v>0</v>
      </c>
      <c r="AO353" s="287">
        <f>Tabla14[[#This Row],[Cajas por Personas2]]</f>
        <v>0.6</v>
      </c>
      <c r="AP353" s="288">
        <f>Tabla14[[#This Row],[Valor Embarque Pesona]]</f>
        <v>1200</v>
      </c>
      <c r="AQ353" s="295">
        <f>Tabla14[[#This Row],[Personas Precorte2]]</f>
        <v>15</v>
      </c>
      <c r="AR353" s="296">
        <f>Tabla14[[#This Row],[Valor Embarque Pesona3]]*Tabla14[[#This Row],[Perzona Primera]]</f>
        <v>18000</v>
      </c>
      <c r="AS353" s="287">
        <f>Tabla14[[#This Row],[Columna2]]</f>
        <v>0</v>
      </c>
      <c r="AT353" s="288">
        <f>Tabla14[[#This Row],[Columna1]]</f>
        <v>0</v>
      </c>
      <c r="AU353" s="302">
        <f>Tabla14[[#This Row],[Personas Intervienen]]</f>
        <v>0</v>
      </c>
      <c r="AV353" s="297">
        <f>Tabla14[[#This Row],[Valor Embarque Pesona5]]*Tabla14[[#This Row],[Presonas Segunda]]</f>
        <v>0</v>
      </c>
      <c r="AW353" s="287">
        <f>Tabla14[[#This Row],[Bolsas Por Personas]]</f>
        <v>0</v>
      </c>
      <c r="AX353" s="288">
        <f>Tabla14[[#This Row],[Valor bolsas Pesona]]</f>
        <v>0</v>
      </c>
      <c r="AY353" s="309">
        <f>Tabla14[[#This Row],[Personas13]]</f>
        <v>15</v>
      </c>
      <c r="AZ353" s="310">
        <f>Tabla14[[#This Row],[Valor bolsas Pesona2]]*Tabla14[[#This Row],[Personas Rechazo]]</f>
        <v>0</v>
      </c>
      <c r="BA353" s="311">
        <f>+Tabla14[[#This Row],[Total Valor Segunda]]+Tabla14[[#This Row],[Total Valor Primera]]+Tabla14[[#This Row],[Total Valor Precorte]]</f>
        <v>18000</v>
      </c>
      <c r="BB353" s="292">
        <f>Tabla14[[#This Row],[Valor bolsas Pesona2]]+Tabla14[[#This Row],[Valor Embarque Pesona3]]</f>
        <v>1200</v>
      </c>
      <c r="BD353" s="292">
        <f>Tabla14[[#This Row],[VALOR GANADO]]-Tabla14[[#This Row],[REAJUSTADO]]</f>
        <v>1200</v>
      </c>
      <c r="BE353" s="250">
        <f>Tabla14[[#This Row],[CUANTO SE REAJUSTA]]*Tabla14[[#This Row],[Personas Rechazo]]</f>
        <v>18000</v>
      </c>
      <c r="BF353" s="250">
        <f>Tabla14[[#This Row],[REAJUSTADO]]/25000</f>
        <v>0</v>
      </c>
      <c r="BG353" s="302">
        <f>Tabla14[[#This Row],[REAJUSTADO]]*Tabla14[[#This Row],[Personas Rechazo]]</f>
        <v>0</v>
      </c>
      <c r="BH353" s="292" t="str">
        <f>Tabla14[[#This Row],[Finca]]</f>
        <v>San Pedro</v>
      </c>
      <c r="BJ353" s="332">
        <f>Tabla14[[#This Row],[Numero de Ocacionales]]*Tabla14[[#This Row],[REAJUSTADO]]</f>
        <v>0</v>
      </c>
      <c r="BK353" s="332"/>
      <c r="BL353" s="332"/>
      <c r="BM353" s="332">
        <f>+Tabla14[[#This Row],[CUANTO SE REAJUSTA]]*3</f>
        <v>3600</v>
      </c>
    </row>
    <row r="354" spans="3:65" x14ac:dyDescent="0.25">
      <c r="C354" s="515">
        <v>45054</v>
      </c>
      <c r="D354" s="507">
        <f>YEAR(Tabla14[[#This Row],[Fecha]])</f>
        <v>2023</v>
      </c>
      <c r="E354" s="516">
        <f>IF(Tabla14[[#This Row],[Fecha]]&gt;0,_xlfn.ISOWEEKNUM(Tabla14[[#This Row],[Fecha]]),0)</f>
        <v>19</v>
      </c>
      <c r="F354" s="283">
        <v>51</v>
      </c>
      <c r="G354" s="275" t="s">
        <v>153</v>
      </c>
      <c r="H354" s="325" t="str">
        <f>_xlfn.XLOOKUP(Tabla14[[#This Row],[Codigo Finca]],Tabla4[Codigo Finca],Tabla4[Nombre Finca],"")</f>
        <v>Uveros</v>
      </c>
      <c r="I354" s="277">
        <f>_xlfn.XLOOKUP(Tabla14[[#This Row],[Codigo Finca]],Tabla4[Codigo Finca],Tabla4[Precio Caja],0)</f>
        <v>1500</v>
      </c>
      <c r="J354" s="277">
        <f>_xlfn.XLOOKUP(Tabla14[[#This Row],[Codigo Finca]],Tabla4[Codigo Finca],Tabla4[Precio Caja Segunda],0)</f>
        <v>1000</v>
      </c>
      <c r="K354" s="277">
        <f>_xlfn.XLOOKUP(Tabla14[[#This Row],[Codigo Finca]],Tabla4[Codigo Finca],Tabla4[Precio Rechazo],0)</f>
        <v>500</v>
      </c>
      <c r="L354" s="277">
        <f t="shared" si="413"/>
        <v>313</v>
      </c>
      <c r="M354" s="278">
        <f t="shared" si="414"/>
        <v>6.1372549019607847</v>
      </c>
      <c r="N354" s="283"/>
      <c r="O354" s="279"/>
      <c r="P354" s="280">
        <f t="shared" si="415"/>
        <v>0</v>
      </c>
      <c r="Q354" s="281">
        <f t="shared" si="416"/>
        <v>0</v>
      </c>
      <c r="R354" s="282">
        <f t="shared" si="417"/>
        <v>0</v>
      </c>
      <c r="S354" s="283">
        <v>313</v>
      </c>
      <c r="T354" s="275">
        <v>4</v>
      </c>
      <c r="U354" s="280">
        <f t="shared" si="418"/>
        <v>51</v>
      </c>
      <c r="V354" s="281">
        <f t="shared" si="419"/>
        <v>12.75</v>
      </c>
      <c r="W354" s="282">
        <f t="shared" si="420"/>
        <v>19125</v>
      </c>
      <c r="X354" s="283"/>
      <c r="Y354" s="275"/>
      <c r="Z354" s="280">
        <f>Tabla14[[#This Row],[Cajas Segunda]]</f>
        <v>0</v>
      </c>
      <c r="AA354" s="281">
        <f t="shared" si="421"/>
        <v>0</v>
      </c>
      <c r="AB354" s="284">
        <f t="shared" si="422"/>
        <v>0</v>
      </c>
      <c r="AC354" s="285"/>
      <c r="AD354" s="286">
        <v>583</v>
      </c>
      <c r="AE354" s="286"/>
      <c r="AF354" s="286"/>
      <c r="AG354" s="286">
        <v>4</v>
      </c>
      <c r="AH354" s="280">
        <f t="shared" si="423"/>
        <v>23.32</v>
      </c>
      <c r="AI354" s="281">
        <f t="shared" si="424"/>
        <v>5.83</v>
      </c>
      <c r="AJ354" s="282">
        <f t="shared" si="425"/>
        <v>2915</v>
      </c>
      <c r="AK354" s="287">
        <f>Tabla14[[#This Row],[Cajas por Personas]]</f>
        <v>0</v>
      </c>
      <c r="AL354" s="288">
        <f>Tabla14[[#This Row],[Valor Precorte Pesona]]</f>
        <v>0</v>
      </c>
      <c r="AM354" s="294">
        <f>Tabla14[[#This Row],[Personas Precorte]]</f>
        <v>0</v>
      </c>
      <c r="AN354" s="308">
        <f>Tabla14[[#This Row],[Valor Precorte Pesona Precorte]]*Tabla14[[#This Row],[Perzonas Precorte]]</f>
        <v>0</v>
      </c>
      <c r="AO354" s="287">
        <f>Tabla14[[#This Row],[Cajas por Personas2]]</f>
        <v>12.75</v>
      </c>
      <c r="AP354" s="288">
        <f>Tabla14[[#This Row],[Valor Embarque Pesona]]</f>
        <v>19125</v>
      </c>
      <c r="AQ354" s="295">
        <f>Tabla14[[#This Row],[Personas Precorte2]]</f>
        <v>4</v>
      </c>
      <c r="AR354" s="296">
        <f>Tabla14[[#This Row],[Valor Embarque Pesona3]]*Tabla14[[#This Row],[Perzona Primera]]</f>
        <v>76500</v>
      </c>
      <c r="AS354" s="287">
        <f>Tabla14[[#This Row],[Columna2]]</f>
        <v>0</v>
      </c>
      <c r="AT354" s="288">
        <f>Tabla14[[#This Row],[Columna1]]</f>
        <v>0</v>
      </c>
      <c r="AU354" s="302">
        <f>Tabla14[[#This Row],[Personas Intervienen]]</f>
        <v>0</v>
      </c>
      <c r="AV354" s="297">
        <f>Tabla14[[#This Row],[Valor Embarque Pesona5]]*Tabla14[[#This Row],[Presonas Segunda]]</f>
        <v>0</v>
      </c>
      <c r="AW354" s="287">
        <f>Tabla14[[#This Row],[Bolsas Por Personas]]</f>
        <v>5.83</v>
      </c>
      <c r="AX354" s="288">
        <f>Tabla14[[#This Row],[Valor bolsas Pesona]]</f>
        <v>2915</v>
      </c>
      <c r="AY354" s="309">
        <f>Tabla14[[#This Row],[Personas13]]</f>
        <v>4</v>
      </c>
      <c r="AZ354" s="310">
        <f>Tabla14[[#This Row],[Valor bolsas Pesona2]]*Tabla14[[#This Row],[Personas Rechazo]]</f>
        <v>11660</v>
      </c>
      <c r="BA354" s="311">
        <f>+Tabla14[[#This Row],[Total Valor Segunda]]+Tabla14[[#This Row],[Total Valor Primera]]+Tabla14[[#This Row],[Total Valor Precorte]]</f>
        <v>76500</v>
      </c>
      <c r="BB354" s="292">
        <f>Tabla14[[#This Row],[Valor bolsas Pesona2]]+Tabla14[[#This Row],[Valor Embarque Pesona3]]</f>
        <v>22040</v>
      </c>
      <c r="BC354" s="332">
        <v>30000</v>
      </c>
      <c r="BD354" s="292">
        <f>Tabla14[[#This Row],[VALOR GANADO]]-Tabla14[[#This Row],[REAJUSTADO]]</f>
        <v>-7960</v>
      </c>
      <c r="BE354" s="250">
        <f>Tabla14[[#This Row],[CUANTO SE REAJUSTA]]*Tabla14[[#This Row],[Personas Rechazo]]</f>
        <v>-31840</v>
      </c>
      <c r="BF354" s="250">
        <f>Tabla14[[#This Row],[REAJUSTADO]]/25000</f>
        <v>1.2</v>
      </c>
      <c r="BG354" s="302">
        <f>Tabla14[[#This Row],[REAJUSTADO]]*Tabla14[[#This Row],[Personas Rechazo]]</f>
        <v>120000</v>
      </c>
      <c r="BH354" s="292" t="str">
        <f>Tabla14[[#This Row],[Finca]]</f>
        <v>Uveros</v>
      </c>
      <c r="BJ354" s="332">
        <f>Tabla14[[#This Row],[Numero de Ocacionales]]*Tabla14[[#This Row],[REAJUSTADO]]</f>
        <v>0</v>
      </c>
      <c r="BK354" s="332"/>
      <c r="BL354" s="332"/>
      <c r="BM354" s="332">
        <f>+Tabla14[[#This Row],[CUANTO SE REAJUSTA]]*3</f>
        <v>-23880</v>
      </c>
    </row>
    <row r="355" spans="3:65" x14ac:dyDescent="0.25">
      <c r="C355" s="515">
        <v>45055</v>
      </c>
      <c r="D355" s="507">
        <f>YEAR(Tabla14[[#This Row],[Fecha]])</f>
        <v>2023</v>
      </c>
      <c r="E355" s="516">
        <f>IF(Tabla14[[#This Row],[Fecha]]&gt;0,_xlfn.ISOWEEKNUM(Tabla14[[#This Row],[Fecha]]),0)</f>
        <v>19</v>
      </c>
      <c r="F355" s="283">
        <v>58</v>
      </c>
      <c r="G355" s="275" t="s">
        <v>248</v>
      </c>
      <c r="H355" s="325" t="str">
        <f>_xlfn.XLOOKUP(Tabla14[[#This Row],[Codigo Finca]],Tabla4[Codigo Finca],Tabla4[Nombre Finca],"")</f>
        <v>Damaquiel</v>
      </c>
      <c r="I355" s="277">
        <f>_xlfn.XLOOKUP(Tabla14[[#This Row],[Codigo Finca]],Tabla4[Codigo Finca],Tabla4[Precio Caja],0)</f>
        <v>1800</v>
      </c>
      <c r="J355" s="277">
        <f>_xlfn.XLOOKUP(Tabla14[[#This Row],[Codigo Finca]],Tabla4[Codigo Finca],Tabla4[Precio Caja Segunda],0)</f>
        <v>1150</v>
      </c>
      <c r="K355" s="277">
        <f>_xlfn.XLOOKUP(Tabla14[[#This Row],[Codigo Finca]],Tabla4[Codigo Finca],Tabla4[Precio Rechazo],0)</f>
        <v>575</v>
      </c>
      <c r="L355" s="277">
        <f t="shared" si="413"/>
        <v>356</v>
      </c>
      <c r="M355" s="278">
        <f t="shared" si="414"/>
        <v>6.1379310344827589</v>
      </c>
      <c r="N355" s="283"/>
      <c r="O355" s="279"/>
      <c r="P355" s="280">
        <f t="shared" si="415"/>
        <v>0</v>
      </c>
      <c r="Q355" s="281">
        <f t="shared" si="416"/>
        <v>0</v>
      </c>
      <c r="R355" s="282">
        <f t="shared" si="417"/>
        <v>0</v>
      </c>
      <c r="S355" s="283">
        <v>356</v>
      </c>
      <c r="T355" s="275">
        <v>4</v>
      </c>
      <c r="U355" s="280">
        <f t="shared" si="418"/>
        <v>58</v>
      </c>
      <c r="V355" s="281">
        <f t="shared" si="419"/>
        <v>14.5</v>
      </c>
      <c r="W355" s="282">
        <f t="shared" si="420"/>
        <v>26100</v>
      </c>
      <c r="X355" s="283"/>
      <c r="Y355" s="275"/>
      <c r="Z355" s="280">
        <f>Tabla14[[#This Row],[Cajas Segunda]]</f>
        <v>0</v>
      </c>
      <c r="AA355" s="281">
        <f t="shared" si="421"/>
        <v>0</v>
      </c>
      <c r="AB355" s="284">
        <f t="shared" si="422"/>
        <v>0</v>
      </c>
      <c r="AC355" s="285"/>
      <c r="AD355" s="286">
        <v>443</v>
      </c>
      <c r="AE355" s="286"/>
      <c r="AF355" s="286"/>
      <c r="AG355" s="286">
        <v>4</v>
      </c>
      <c r="AH355" s="280">
        <f t="shared" si="423"/>
        <v>17.72</v>
      </c>
      <c r="AI355" s="281">
        <f t="shared" si="424"/>
        <v>4.43</v>
      </c>
      <c r="AJ355" s="282">
        <f t="shared" si="425"/>
        <v>2547.25</v>
      </c>
      <c r="AK355" s="287">
        <f>Tabla14[[#This Row],[Cajas por Personas]]</f>
        <v>0</v>
      </c>
      <c r="AL355" s="288">
        <f>Tabla14[[#This Row],[Valor Precorte Pesona]]</f>
        <v>0</v>
      </c>
      <c r="AM355" s="294">
        <f>Tabla14[[#This Row],[Personas Precorte]]</f>
        <v>0</v>
      </c>
      <c r="AN355" s="308">
        <f>Tabla14[[#This Row],[Valor Precorte Pesona Precorte]]*Tabla14[[#This Row],[Perzonas Precorte]]</f>
        <v>0</v>
      </c>
      <c r="AO355" s="287">
        <f>Tabla14[[#This Row],[Cajas por Personas2]]</f>
        <v>14.5</v>
      </c>
      <c r="AP355" s="288">
        <f>Tabla14[[#This Row],[Valor Embarque Pesona]]</f>
        <v>26100</v>
      </c>
      <c r="AQ355" s="295">
        <f>Tabla14[[#This Row],[Personas Precorte2]]</f>
        <v>4</v>
      </c>
      <c r="AR355" s="296">
        <f>Tabla14[[#This Row],[Valor Embarque Pesona3]]*Tabla14[[#This Row],[Perzona Primera]]</f>
        <v>104400</v>
      </c>
      <c r="AS355" s="287">
        <f>Tabla14[[#This Row],[Columna2]]</f>
        <v>0</v>
      </c>
      <c r="AT355" s="288">
        <f>Tabla14[[#This Row],[Columna1]]</f>
        <v>0</v>
      </c>
      <c r="AU355" s="302">
        <f>Tabla14[[#This Row],[Personas Intervienen]]</f>
        <v>0</v>
      </c>
      <c r="AV355" s="297">
        <f>Tabla14[[#This Row],[Valor Embarque Pesona5]]*Tabla14[[#This Row],[Presonas Segunda]]</f>
        <v>0</v>
      </c>
      <c r="AW355" s="287">
        <f>Tabla14[[#This Row],[Bolsas Por Personas]]</f>
        <v>4.43</v>
      </c>
      <c r="AX355" s="288">
        <f>Tabla14[[#This Row],[Valor bolsas Pesona]]</f>
        <v>2547.25</v>
      </c>
      <c r="AY355" s="309">
        <f>Tabla14[[#This Row],[Personas13]]</f>
        <v>4</v>
      </c>
      <c r="AZ355" s="310">
        <f>Tabla14[[#This Row],[Valor bolsas Pesona2]]*Tabla14[[#This Row],[Personas Rechazo]]</f>
        <v>10189</v>
      </c>
      <c r="BA355" s="311">
        <f>+Tabla14[[#This Row],[Total Valor Segunda]]+Tabla14[[#This Row],[Total Valor Primera]]+Tabla14[[#This Row],[Total Valor Precorte]]</f>
        <v>104400</v>
      </c>
      <c r="BB355" s="292">
        <f>Tabla14[[#This Row],[Valor bolsas Pesona2]]+Tabla14[[#This Row],[Valor Embarque Pesona3]]</f>
        <v>28647.25</v>
      </c>
      <c r="BC355" s="332">
        <v>30000</v>
      </c>
      <c r="BD355" s="292">
        <f>Tabla14[[#This Row],[VALOR GANADO]]-Tabla14[[#This Row],[REAJUSTADO]]</f>
        <v>-1352.75</v>
      </c>
      <c r="BE355" s="250">
        <f>Tabla14[[#This Row],[CUANTO SE REAJUSTA]]*Tabla14[[#This Row],[Personas Rechazo]]</f>
        <v>-5411</v>
      </c>
      <c r="BF355" s="250">
        <f>Tabla14[[#This Row],[REAJUSTADO]]/25000</f>
        <v>1.2</v>
      </c>
      <c r="BG355" s="302">
        <f>Tabla14[[#This Row],[REAJUSTADO]]*Tabla14[[#This Row],[Personas Rechazo]]</f>
        <v>120000</v>
      </c>
      <c r="BH355" s="292" t="str">
        <f>Tabla14[[#This Row],[Finca]]</f>
        <v>Damaquiel</v>
      </c>
      <c r="BJ355" s="332">
        <f>Tabla14[[#This Row],[Numero de Ocacionales]]*Tabla14[[#This Row],[REAJUSTADO]]</f>
        <v>0</v>
      </c>
      <c r="BK355" s="332"/>
      <c r="BL355" s="332"/>
      <c r="BM355" s="332">
        <f>+Tabla14[[#This Row],[CUANTO SE REAJUSTA]]*3</f>
        <v>-4058.25</v>
      </c>
    </row>
    <row r="356" spans="3:65" x14ac:dyDescent="0.25">
      <c r="C356" s="515">
        <v>45055</v>
      </c>
      <c r="D356" s="507">
        <f>YEAR(Tabla14[[#This Row],[Fecha]])</f>
        <v>2023</v>
      </c>
      <c r="E356" s="516">
        <f>IF(Tabla14[[#This Row],[Fecha]]&gt;0,_xlfn.ISOWEEKNUM(Tabla14[[#This Row],[Fecha]]),0)</f>
        <v>19</v>
      </c>
      <c r="F356" s="283">
        <v>165</v>
      </c>
      <c r="G356" s="275" t="s">
        <v>251</v>
      </c>
      <c r="H356" s="325" t="str">
        <f>_xlfn.XLOOKUP(Tabla14[[#This Row],[Codigo Finca]],Tabla4[Codigo Finca],Tabla4[Nombre Finca],"")</f>
        <v>Pedrito</v>
      </c>
      <c r="I356" s="277">
        <f>_xlfn.XLOOKUP(Tabla14[[#This Row],[Codigo Finca]],Tabla4[Codigo Finca],Tabla4[Precio Caja],0)</f>
        <v>1800</v>
      </c>
      <c r="J356" s="277">
        <f>_xlfn.XLOOKUP(Tabla14[[#This Row],[Codigo Finca]],Tabla4[Codigo Finca],Tabla4[Precio Caja Segunda],0)</f>
        <v>1150</v>
      </c>
      <c r="K356" s="277">
        <f>_xlfn.XLOOKUP(Tabla14[[#This Row],[Codigo Finca]],Tabla4[Codigo Finca],Tabla4[Precio Rechazo],0)</f>
        <v>575</v>
      </c>
      <c r="L356" s="277">
        <f t="shared" si="413"/>
        <v>820</v>
      </c>
      <c r="M356" s="278">
        <f t="shared" si="414"/>
        <v>4.9696969696969697</v>
      </c>
      <c r="N356" s="283"/>
      <c r="O356" s="279"/>
      <c r="P356" s="280">
        <f t="shared" si="415"/>
        <v>0</v>
      </c>
      <c r="Q356" s="281">
        <f t="shared" si="416"/>
        <v>0</v>
      </c>
      <c r="R356" s="282">
        <f t="shared" si="417"/>
        <v>0</v>
      </c>
      <c r="S356" s="283">
        <v>820</v>
      </c>
      <c r="T356" s="275">
        <v>11</v>
      </c>
      <c r="U356" s="280">
        <f t="shared" si="418"/>
        <v>165</v>
      </c>
      <c r="V356" s="281">
        <f t="shared" si="419"/>
        <v>15</v>
      </c>
      <c r="W356" s="282">
        <f t="shared" si="420"/>
        <v>27000</v>
      </c>
      <c r="X356" s="283"/>
      <c r="Y356" s="275"/>
      <c r="Z356" s="280">
        <f>Tabla14[[#This Row],[Cajas Segunda]]</f>
        <v>0</v>
      </c>
      <c r="AA356" s="281">
        <f t="shared" si="421"/>
        <v>0</v>
      </c>
      <c r="AB356" s="284">
        <f t="shared" si="422"/>
        <v>0</v>
      </c>
      <c r="AC356" s="285"/>
      <c r="AD356" s="286">
        <v>1707</v>
      </c>
      <c r="AE356" s="286"/>
      <c r="AF356" s="286"/>
      <c r="AG356" s="286">
        <v>11</v>
      </c>
      <c r="AH356" s="280">
        <f t="shared" si="423"/>
        <v>68.28</v>
      </c>
      <c r="AI356" s="281">
        <f t="shared" si="424"/>
        <v>6.2072727272727271</v>
      </c>
      <c r="AJ356" s="282">
        <f t="shared" si="425"/>
        <v>3569.181818181818</v>
      </c>
      <c r="AK356" s="287">
        <f>Tabla14[[#This Row],[Cajas por Personas]]</f>
        <v>0</v>
      </c>
      <c r="AL356" s="288">
        <f>Tabla14[[#This Row],[Valor Precorte Pesona]]</f>
        <v>0</v>
      </c>
      <c r="AM356" s="294">
        <f>Tabla14[[#This Row],[Personas Precorte]]</f>
        <v>0</v>
      </c>
      <c r="AN356" s="308">
        <f>Tabla14[[#This Row],[Valor Precorte Pesona Precorte]]*Tabla14[[#This Row],[Perzonas Precorte]]</f>
        <v>0</v>
      </c>
      <c r="AO356" s="287">
        <f>Tabla14[[#This Row],[Cajas por Personas2]]</f>
        <v>15</v>
      </c>
      <c r="AP356" s="288">
        <f>Tabla14[[#This Row],[Valor Embarque Pesona]]</f>
        <v>27000</v>
      </c>
      <c r="AQ356" s="295">
        <f>Tabla14[[#This Row],[Personas Precorte2]]</f>
        <v>11</v>
      </c>
      <c r="AR356" s="296">
        <f>Tabla14[[#This Row],[Valor Embarque Pesona3]]*Tabla14[[#This Row],[Perzona Primera]]</f>
        <v>297000</v>
      </c>
      <c r="AS356" s="287">
        <f>Tabla14[[#This Row],[Columna2]]</f>
        <v>0</v>
      </c>
      <c r="AT356" s="288">
        <f>Tabla14[[#This Row],[Columna1]]</f>
        <v>0</v>
      </c>
      <c r="AU356" s="302">
        <f>Tabla14[[#This Row],[Personas Intervienen]]</f>
        <v>0</v>
      </c>
      <c r="AV356" s="297">
        <f>Tabla14[[#This Row],[Valor Embarque Pesona5]]*Tabla14[[#This Row],[Presonas Segunda]]</f>
        <v>0</v>
      </c>
      <c r="AW356" s="287">
        <f>Tabla14[[#This Row],[Bolsas Por Personas]]</f>
        <v>6.2072727272727271</v>
      </c>
      <c r="AX356" s="288">
        <f>Tabla14[[#This Row],[Valor bolsas Pesona]]</f>
        <v>3569.181818181818</v>
      </c>
      <c r="AY356" s="309">
        <f>Tabla14[[#This Row],[Personas13]]</f>
        <v>11</v>
      </c>
      <c r="AZ356" s="310">
        <f>Tabla14[[#This Row],[Valor bolsas Pesona2]]*Tabla14[[#This Row],[Personas Rechazo]]</f>
        <v>39261</v>
      </c>
      <c r="BA356" s="311">
        <f>+Tabla14[[#This Row],[Total Valor Segunda]]+Tabla14[[#This Row],[Total Valor Primera]]+Tabla14[[#This Row],[Total Valor Precorte]]</f>
        <v>297000</v>
      </c>
      <c r="BB356" s="292">
        <f>Tabla14[[#This Row],[Valor bolsas Pesona2]]+Tabla14[[#This Row],[Valor Embarque Pesona3]]</f>
        <v>30569.181818181816</v>
      </c>
      <c r="BC356" s="332">
        <v>30000</v>
      </c>
      <c r="BD356" s="292">
        <f>Tabla14[[#This Row],[VALOR GANADO]]-Tabla14[[#This Row],[REAJUSTADO]]</f>
        <v>569.1818181818162</v>
      </c>
      <c r="BE356" s="250">
        <f>Tabla14[[#This Row],[CUANTO SE REAJUSTA]]*Tabla14[[#This Row],[Personas Rechazo]]</f>
        <v>6260.9999999999782</v>
      </c>
      <c r="BF356" s="250">
        <f>Tabla14[[#This Row],[REAJUSTADO]]/25000</f>
        <v>1.2</v>
      </c>
      <c r="BG356" s="302">
        <f>Tabla14[[#This Row],[REAJUSTADO]]*Tabla14[[#This Row],[Personas Rechazo]]</f>
        <v>330000</v>
      </c>
      <c r="BH356" s="292" t="str">
        <f>Tabla14[[#This Row],[Finca]]</f>
        <v>Pedrito</v>
      </c>
      <c r="BJ356" s="332">
        <f>Tabla14[[#This Row],[Numero de Ocacionales]]*Tabla14[[#This Row],[REAJUSTADO]]</f>
        <v>0</v>
      </c>
      <c r="BK356" s="332"/>
      <c r="BL356" s="332"/>
      <c r="BM356" s="332">
        <f>+Tabla14[[#This Row],[CUANTO SE REAJUSTA]]*3</f>
        <v>1707.5454545454486</v>
      </c>
    </row>
    <row r="357" spans="3:65" x14ac:dyDescent="0.25">
      <c r="C357" s="515">
        <v>45056</v>
      </c>
      <c r="D357" s="507">
        <f>YEAR(Tabla14[[#This Row],[Fecha]])</f>
        <v>2023</v>
      </c>
      <c r="E357" s="516">
        <f>IF(Tabla14[[#This Row],[Fecha]]&gt;0,_xlfn.ISOWEEKNUM(Tabla14[[#This Row],[Fecha]]),0)</f>
        <v>19</v>
      </c>
      <c r="F357" s="283"/>
      <c r="G357" s="275" t="s">
        <v>250</v>
      </c>
      <c r="H357" s="325" t="str">
        <f>_xlfn.XLOOKUP(Tabla14[[#This Row],[Codigo Finca]],Tabla4[Codigo Finca],Tabla4[Nombre Finca],"")</f>
        <v>San Pedro</v>
      </c>
      <c r="I357" s="277">
        <f>_xlfn.XLOOKUP(Tabla14[[#This Row],[Codigo Finca]],Tabla4[Codigo Finca],Tabla4[Precio Caja],0)</f>
        <v>1800</v>
      </c>
      <c r="J357" s="277">
        <f>_xlfn.XLOOKUP(Tabla14[[#This Row],[Codigo Finca]],Tabla4[Codigo Finca],Tabla4[Precio Caja Segunda],0)</f>
        <v>1150</v>
      </c>
      <c r="K357" s="277">
        <f>_xlfn.XLOOKUP(Tabla14[[#This Row],[Codigo Finca]],Tabla4[Codigo Finca],Tabla4[Precio Rechazo],0)</f>
        <v>575</v>
      </c>
      <c r="L357" s="277">
        <f t="shared" si="413"/>
        <v>0</v>
      </c>
      <c r="M357" s="278">
        <f t="shared" si="414"/>
        <v>0</v>
      </c>
      <c r="N357" s="283"/>
      <c r="O357" s="279"/>
      <c r="P357" s="280">
        <f t="shared" si="415"/>
        <v>0</v>
      </c>
      <c r="Q357" s="281">
        <f t="shared" si="416"/>
        <v>0</v>
      </c>
      <c r="R357" s="282">
        <f t="shared" si="417"/>
        <v>0</v>
      </c>
      <c r="S357" s="283"/>
      <c r="T357" s="275">
        <v>2</v>
      </c>
      <c r="U357" s="280">
        <f t="shared" si="418"/>
        <v>0</v>
      </c>
      <c r="V357" s="281">
        <f t="shared" si="419"/>
        <v>0</v>
      </c>
      <c r="W357" s="282">
        <f t="shared" si="420"/>
        <v>0</v>
      </c>
      <c r="X357" s="283"/>
      <c r="Y357" s="275"/>
      <c r="Z357" s="280">
        <f>Tabla14[[#This Row],[Cajas Segunda]]</f>
        <v>0</v>
      </c>
      <c r="AA357" s="281">
        <f t="shared" si="421"/>
        <v>0</v>
      </c>
      <c r="AB357" s="284">
        <f t="shared" si="422"/>
        <v>0</v>
      </c>
      <c r="AC357" s="285"/>
      <c r="AD357" s="286"/>
      <c r="AE357" s="286"/>
      <c r="AF357" s="286"/>
      <c r="AG357" s="286"/>
      <c r="AH357" s="280">
        <f t="shared" si="423"/>
        <v>0</v>
      </c>
      <c r="AI357" s="281">
        <f t="shared" si="424"/>
        <v>0</v>
      </c>
      <c r="AJ357" s="282">
        <f t="shared" si="425"/>
        <v>0</v>
      </c>
      <c r="AK357" s="287">
        <f>Tabla14[[#This Row],[Cajas por Personas]]</f>
        <v>0</v>
      </c>
      <c r="AL357" s="288">
        <f>Tabla14[[#This Row],[Valor Precorte Pesona]]</f>
        <v>0</v>
      </c>
      <c r="AM357" s="294">
        <f>Tabla14[[#This Row],[Personas Precorte]]</f>
        <v>0</v>
      </c>
      <c r="AN357" s="308">
        <f>Tabla14[[#This Row],[Valor Precorte Pesona Precorte]]*Tabla14[[#This Row],[Perzonas Precorte]]</f>
        <v>0</v>
      </c>
      <c r="AO357" s="287">
        <f>Tabla14[[#This Row],[Cajas por Personas2]]</f>
        <v>0</v>
      </c>
      <c r="AP357" s="288">
        <f>Tabla14[[#This Row],[Valor Embarque Pesona]]</f>
        <v>0</v>
      </c>
      <c r="AQ357" s="295">
        <f>Tabla14[[#This Row],[Personas Precorte2]]</f>
        <v>2</v>
      </c>
      <c r="AR357" s="296">
        <f>Tabla14[[#This Row],[Valor Embarque Pesona3]]*Tabla14[[#This Row],[Perzona Primera]]</f>
        <v>0</v>
      </c>
      <c r="AS357" s="287">
        <f>Tabla14[[#This Row],[Columna2]]</f>
        <v>0</v>
      </c>
      <c r="AT357" s="288">
        <f>Tabla14[[#This Row],[Columna1]]</f>
        <v>0</v>
      </c>
      <c r="AU357" s="302">
        <f>Tabla14[[#This Row],[Personas Intervienen]]</f>
        <v>0</v>
      </c>
      <c r="AV357" s="297">
        <f>Tabla14[[#This Row],[Valor Embarque Pesona5]]*Tabla14[[#This Row],[Presonas Segunda]]</f>
        <v>0</v>
      </c>
      <c r="AW357" s="287">
        <f>Tabla14[[#This Row],[Bolsas Por Personas]]</f>
        <v>0</v>
      </c>
      <c r="AX357" s="288">
        <f>Tabla14[[#This Row],[Valor bolsas Pesona]]</f>
        <v>0</v>
      </c>
      <c r="AY357" s="309">
        <f>Tabla14[[#This Row],[Personas13]]</f>
        <v>0</v>
      </c>
      <c r="AZ357" s="310">
        <f>Tabla14[[#This Row],[Valor bolsas Pesona2]]*Tabla14[[#This Row],[Personas Rechazo]]</f>
        <v>0</v>
      </c>
      <c r="BA357" s="311">
        <f>+Tabla14[[#This Row],[Total Valor Segunda]]+Tabla14[[#This Row],[Total Valor Primera]]+Tabla14[[#This Row],[Total Valor Precorte]]</f>
        <v>0</v>
      </c>
      <c r="BB357" s="292">
        <f>Tabla14[[#This Row],[Valor bolsas Pesona2]]+Tabla14[[#This Row],[Valor Embarque Pesona3]]</f>
        <v>0</v>
      </c>
      <c r="BD357" s="292">
        <f>Tabla14[[#This Row],[VALOR GANADO]]-Tabla14[[#This Row],[REAJUSTADO]]</f>
        <v>0</v>
      </c>
      <c r="BE357" s="250">
        <f>Tabla14[[#This Row],[CUANTO SE REAJUSTA]]*Tabla14[[#This Row],[Personas Rechazo]]</f>
        <v>0</v>
      </c>
      <c r="BF357" s="250">
        <f>Tabla14[[#This Row],[REAJUSTADO]]/25000</f>
        <v>0</v>
      </c>
      <c r="BG357" s="302">
        <f>Tabla14[[#This Row],[REAJUSTADO]]*Tabla14[[#This Row],[Personas Rechazo]]</f>
        <v>0</v>
      </c>
      <c r="BH357" s="292" t="str">
        <f>Tabla14[[#This Row],[Finca]]</f>
        <v>San Pedro</v>
      </c>
      <c r="BJ357" s="332">
        <f>Tabla14[[#This Row],[Numero de Ocacionales]]*Tabla14[[#This Row],[REAJUSTADO]]</f>
        <v>0</v>
      </c>
      <c r="BK357" s="332"/>
      <c r="BL357" s="332"/>
      <c r="BM357" s="332">
        <f>+Tabla14[[#This Row],[CUANTO SE REAJUSTA]]*3</f>
        <v>0</v>
      </c>
    </row>
    <row r="358" spans="3:65" x14ac:dyDescent="0.25">
      <c r="C358" s="515">
        <v>45057</v>
      </c>
      <c r="D358" s="507">
        <f>YEAR(Tabla14[[#This Row],[Fecha]])</f>
        <v>2023</v>
      </c>
      <c r="E358" s="516">
        <f>IF(Tabla14[[#This Row],[Fecha]]&gt;0,_xlfn.ISOWEEKNUM(Tabla14[[#This Row],[Fecha]]),0)</f>
        <v>19</v>
      </c>
      <c r="F358" s="283">
        <v>42</v>
      </c>
      <c r="G358" s="275" t="s">
        <v>250</v>
      </c>
      <c r="H358" s="325" t="str">
        <f>_xlfn.XLOOKUP(Tabla14[[#This Row],[Codigo Finca]],Tabla4[Codigo Finca],Tabla4[Nombre Finca],"")</f>
        <v>San Pedro</v>
      </c>
      <c r="I358" s="277">
        <f>_xlfn.XLOOKUP(Tabla14[[#This Row],[Codigo Finca]],Tabla4[Codigo Finca],Tabla4[Precio Caja],0)</f>
        <v>1800</v>
      </c>
      <c r="J358" s="277">
        <f>_xlfn.XLOOKUP(Tabla14[[#This Row],[Codigo Finca]],Tabla4[Codigo Finca],Tabla4[Precio Caja Segunda],0)</f>
        <v>1150</v>
      </c>
      <c r="K358" s="277">
        <f>_xlfn.XLOOKUP(Tabla14[[#This Row],[Codigo Finca]],Tabla4[Codigo Finca],Tabla4[Precio Rechazo],0)</f>
        <v>575</v>
      </c>
      <c r="L358" s="277">
        <f t="shared" si="413"/>
        <v>0</v>
      </c>
      <c r="M358" s="278">
        <f t="shared" si="414"/>
        <v>0</v>
      </c>
      <c r="N358" s="283"/>
      <c r="O358" s="279"/>
      <c r="P358" s="280">
        <f t="shared" si="415"/>
        <v>0</v>
      </c>
      <c r="Q358" s="281">
        <f t="shared" si="416"/>
        <v>0</v>
      </c>
      <c r="R358" s="282">
        <f t="shared" si="417"/>
        <v>0</v>
      </c>
      <c r="S358" s="283"/>
      <c r="T358" s="275">
        <v>3</v>
      </c>
      <c r="U358" s="280">
        <f t="shared" si="418"/>
        <v>42</v>
      </c>
      <c r="V358" s="281">
        <f t="shared" si="419"/>
        <v>14</v>
      </c>
      <c r="W358" s="282">
        <f t="shared" si="420"/>
        <v>25200</v>
      </c>
      <c r="X358" s="283"/>
      <c r="Y358" s="275"/>
      <c r="Z358" s="280">
        <f>Tabla14[[#This Row],[Cajas Segunda]]</f>
        <v>0</v>
      </c>
      <c r="AA358" s="281">
        <f t="shared" si="421"/>
        <v>0</v>
      </c>
      <c r="AB358" s="284">
        <f t="shared" si="422"/>
        <v>0</v>
      </c>
      <c r="AC358" s="285"/>
      <c r="AD358" s="286"/>
      <c r="AE358" s="286"/>
      <c r="AF358" s="286"/>
      <c r="AG358" s="286"/>
      <c r="AH358" s="280">
        <f t="shared" si="423"/>
        <v>0</v>
      </c>
      <c r="AI358" s="281">
        <f t="shared" si="424"/>
        <v>0</v>
      </c>
      <c r="AJ358" s="282">
        <f t="shared" si="425"/>
        <v>0</v>
      </c>
      <c r="AK358" s="287">
        <f>Tabla14[[#This Row],[Cajas por Personas]]</f>
        <v>0</v>
      </c>
      <c r="AL358" s="288">
        <f>Tabla14[[#This Row],[Valor Precorte Pesona]]</f>
        <v>0</v>
      </c>
      <c r="AM358" s="294">
        <f>Tabla14[[#This Row],[Personas Precorte]]</f>
        <v>0</v>
      </c>
      <c r="AN358" s="308">
        <f>Tabla14[[#This Row],[Valor Precorte Pesona Precorte]]*Tabla14[[#This Row],[Perzonas Precorte]]</f>
        <v>0</v>
      </c>
      <c r="AO358" s="287">
        <f>Tabla14[[#This Row],[Cajas por Personas2]]</f>
        <v>14</v>
      </c>
      <c r="AP358" s="288">
        <f>Tabla14[[#This Row],[Valor Embarque Pesona]]</f>
        <v>25200</v>
      </c>
      <c r="AQ358" s="295">
        <f>Tabla14[[#This Row],[Personas Precorte2]]</f>
        <v>3</v>
      </c>
      <c r="AR358" s="296">
        <f>Tabla14[[#This Row],[Valor Embarque Pesona3]]*Tabla14[[#This Row],[Perzona Primera]]</f>
        <v>75600</v>
      </c>
      <c r="AS358" s="287">
        <f>Tabla14[[#This Row],[Columna2]]</f>
        <v>0</v>
      </c>
      <c r="AT358" s="288">
        <f>Tabla14[[#This Row],[Columna1]]</f>
        <v>0</v>
      </c>
      <c r="AU358" s="302">
        <f>Tabla14[[#This Row],[Personas Intervienen]]</f>
        <v>0</v>
      </c>
      <c r="AV358" s="297">
        <f>Tabla14[[#This Row],[Valor Embarque Pesona5]]*Tabla14[[#This Row],[Presonas Segunda]]</f>
        <v>0</v>
      </c>
      <c r="AW358" s="287">
        <f>Tabla14[[#This Row],[Bolsas Por Personas]]</f>
        <v>0</v>
      </c>
      <c r="AX358" s="288">
        <f>Tabla14[[#This Row],[Valor bolsas Pesona]]</f>
        <v>0</v>
      </c>
      <c r="AY358" s="309">
        <f>Tabla14[[#This Row],[Personas13]]</f>
        <v>0</v>
      </c>
      <c r="AZ358" s="310">
        <f>Tabla14[[#This Row],[Valor bolsas Pesona2]]*Tabla14[[#This Row],[Personas Rechazo]]</f>
        <v>0</v>
      </c>
      <c r="BA358" s="311">
        <f>+Tabla14[[#This Row],[Total Valor Segunda]]+Tabla14[[#This Row],[Total Valor Primera]]+Tabla14[[#This Row],[Total Valor Precorte]]</f>
        <v>75600</v>
      </c>
      <c r="BB358" s="292">
        <f>Tabla14[[#This Row],[Valor bolsas Pesona2]]+Tabla14[[#This Row],[Valor Embarque Pesona3]]</f>
        <v>25200</v>
      </c>
      <c r="BD358" s="292">
        <f>Tabla14[[#This Row],[VALOR GANADO]]-Tabla14[[#This Row],[REAJUSTADO]]</f>
        <v>25200</v>
      </c>
      <c r="BE358" s="250">
        <f>Tabla14[[#This Row],[CUANTO SE REAJUSTA]]*Tabla14[[#This Row],[Personas Rechazo]]</f>
        <v>0</v>
      </c>
      <c r="BF358" s="250">
        <f>Tabla14[[#This Row],[REAJUSTADO]]/25000</f>
        <v>0</v>
      </c>
      <c r="BG358" s="302">
        <f>Tabla14[[#This Row],[REAJUSTADO]]*Tabla14[[#This Row],[Personas Rechazo]]</f>
        <v>0</v>
      </c>
      <c r="BH358" s="292" t="str">
        <f>Tabla14[[#This Row],[Finca]]</f>
        <v>San Pedro</v>
      </c>
      <c r="BJ358" s="332">
        <f>Tabla14[[#This Row],[Numero de Ocacionales]]*Tabla14[[#This Row],[REAJUSTADO]]</f>
        <v>0</v>
      </c>
      <c r="BK358" s="332"/>
      <c r="BL358" s="332"/>
      <c r="BM358" s="332">
        <f>+Tabla14[[#This Row],[CUANTO SE REAJUSTA]]*3</f>
        <v>75600</v>
      </c>
    </row>
    <row r="359" spans="3:65" x14ac:dyDescent="0.25">
      <c r="C359" s="515">
        <v>45062</v>
      </c>
      <c r="D359" s="507">
        <f>YEAR(Tabla14[[#This Row],[Fecha]])</f>
        <v>2023</v>
      </c>
      <c r="E359" s="516">
        <f>IF(Tabla14[[#This Row],[Fecha]]&gt;0,_xlfn.ISOWEEKNUM(Tabla14[[#This Row],[Fecha]]),0)</f>
        <v>20</v>
      </c>
      <c r="F359" s="283">
        <v>184</v>
      </c>
      <c r="G359" s="275" t="s">
        <v>250</v>
      </c>
      <c r="H359" s="325" t="str">
        <f>_xlfn.XLOOKUP(Tabla14[[#This Row],[Codigo Finca]],Tabla4[Codigo Finca],Tabla4[Nombre Finca],"")</f>
        <v>San Pedro</v>
      </c>
      <c r="I359" s="277">
        <f>_xlfn.XLOOKUP(Tabla14[[#This Row],[Codigo Finca]],Tabla4[Codigo Finca],Tabla4[Precio Caja],0)</f>
        <v>1800</v>
      </c>
      <c r="J359" s="277">
        <f>_xlfn.XLOOKUP(Tabla14[[#This Row],[Codigo Finca]],Tabla4[Codigo Finca],Tabla4[Precio Caja Segunda],0)</f>
        <v>1150</v>
      </c>
      <c r="K359" s="277">
        <f>_xlfn.XLOOKUP(Tabla14[[#This Row],[Codigo Finca]],Tabla4[Codigo Finca],Tabla4[Precio Rechazo],0)</f>
        <v>575</v>
      </c>
      <c r="L359" s="277">
        <f t="shared" si="413"/>
        <v>989</v>
      </c>
      <c r="M359" s="278">
        <f t="shared" si="414"/>
        <v>5.375</v>
      </c>
      <c r="N359" s="283"/>
      <c r="O359" s="279"/>
      <c r="P359" s="280">
        <f t="shared" si="415"/>
        <v>0</v>
      </c>
      <c r="Q359" s="281">
        <f t="shared" si="416"/>
        <v>0</v>
      </c>
      <c r="R359" s="282">
        <f t="shared" si="417"/>
        <v>0</v>
      </c>
      <c r="S359" s="283">
        <v>989</v>
      </c>
      <c r="T359" s="275">
        <v>12</v>
      </c>
      <c r="U359" s="280">
        <f t="shared" si="418"/>
        <v>184</v>
      </c>
      <c r="V359" s="281">
        <f t="shared" si="419"/>
        <v>15.333333333333334</v>
      </c>
      <c r="W359" s="282">
        <f t="shared" si="420"/>
        <v>27600</v>
      </c>
      <c r="X359" s="283"/>
      <c r="Y359" s="275"/>
      <c r="Z359" s="280">
        <f>Tabla14[[#This Row],[Cajas Segunda]]</f>
        <v>0</v>
      </c>
      <c r="AA359" s="281">
        <f t="shared" si="421"/>
        <v>0</v>
      </c>
      <c r="AB359" s="284">
        <f t="shared" si="422"/>
        <v>0</v>
      </c>
      <c r="AC359" s="285"/>
      <c r="AD359" s="286">
        <f>3535+87</f>
        <v>3622</v>
      </c>
      <c r="AE359" s="286"/>
      <c r="AF359" s="286"/>
      <c r="AG359" s="286">
        <v>12</v>
      </c>
      <c r="AH359" s="280">
        <f t="shared" si="423"/>
        <v>144.88</v>
      </c>
      <c r="AI359" s="281">
        <f t="shared" si="424"/>
        <v>12.073333333333332</v>
      </c>
      <c r="AJ359" s="282">
        <f t="shared" si="425"/>
        <v>6942.1666666666661</v>
      </c>
      <c r="AK359" s="287">
        <f>Tabla14[[#This Row],[Cajas por Personas]]</f>
        <v>0</v>
      </c>
      <c r="AL359" s="288">
        <f>Tabla14[[#This Row],[Valor Precorte Pesona]]</f>
        <v>0</v>
      </c>
      <c r="AM359" s="294">
        <f>Tabla14[[#This Row],[Personas Precorte]]</f>
        <v>0</v>
      </c>
      <c r="AN359" s="308">
        <f>Tabla14[[#This Row],[Valor Precorte Pesona Precorte]]*Tabla14[[#This Row],[Perzonas Precorte]]</f>
        <v>0</v>
      </c>
      <c r="AO359" s="287">
        <f>Tabla14[[#This Row],[Cajas por Personas2]]</f>
        <v>15.333333333333334</v>
      </c>
      <c r="AP359" s="288">
        <f>Tabla14[[#This Row],[Valor Embarque Pesona]]</f>
        <v>27600</v>
      </c>
      <c r="AQ359" s="295">
        <f>Tabla14[[#This Row],[Personas Precorte2]]</f>
        <v>12</v>
      </c>
      <c r="AR359" s="296">
        <f>Tabla14[[#This Row],[Valor Embarque Pesona3]]*Tabla14[[#This Row],[Perzona Primera]]</f>
        <v>331200</v>
      </c>
      <c r="AS359" s="287">
        <f>Tabla14[[#This Row],[Columna2]]</f>
        <v>0</v>
      </c>
      <c r="AT359" s="288">
        <f>Tabla14[[#This Row],[Columna1]]</f>
        <v>0</v>
      </c>
      <c r="AU359" s="302">
        <f>Tabla14[[#This Row],[Personas Intervienen]]</f>
        <v>0</v>
      </c>
      <c r="AV359" s="297">
        <f>Tabla14[[#This Row],[Valor Embarque Pesona5]]*Tabla14[[#This Row],[Presonas Segunda]]</f>
        <v>0</v>
      </c>
      <c r="AW359" s="287">
        <f>Tabla14[[#This Row],[Bolsas Por Personas]]</f>
        <v>12.073333333333332</v>
      </c>
      <c r="AX359" s="288">
        <f>Tabla14[[#This Row],[Valor bolsas Pesona]]</f>
        <v>6942.1666666666661</v>
      </c>
      <c r="AY359" s="309">
        <f>Tabla14[[#This Row],[Personas13]]</f>
        <v>12</v>
      </c>
      <c r="AZ359" s="310">
        <f>Tabla14[[#This Row],[Valor bolsas Pesona2]]*Tabla14[[#This Row],[Personas Rechazo]]</f>
        <v>83306</v>
      </c>
      <c r="BA359" s="311">
        <f>+Tabla14[[#This Row],[Total Valor Segunda]]+Tabla14[[#This Row],[Total Valor Primera]]+Tabla14[[#This Row],[Total Valor Precorte]]</f>
        <v>331200</v>
      </c>
      <c r="BB359" s="538">
        <f>Tabla14[[#This Row],[Valor bolsas Pesona2]]+Tabla14[[#This Row],[Valor Embarque Pesona3]]</f>
        <v>34542.166666666664</v>
      </c>
      <c r="BC359" s="539">
        <v>35600</v>
      </c>
      <c r="BD359" s="538">
        <f>Tabla14[[#This Row],[VALOR GANADO]]-Tabla14[[#This Row],[REAJUSTADO]]</f>
        <v>-1057.8333333333358</v>
      </c>
      <c r="BE359" s="250">
        <f>Tabla14[[#This Row],[CUANTO SE REAJUSTA]]*Tabla14[[#This Row],[Personas Rechazo]]</f>
        <v>-12694.000000000029</v>
      </c>
      <c r="BF359" s="250">
        <f>Tabla14[[#This Row],[REAJUSTADO]]/25000</f>
        <v>1.4239999999999999</v>
      </c>
      <c r="BG359" s="302">
        <f>Tabla14[[#This Row],[REAJUSTADO]]*Tabla14[[#This Row],[Personas Rechazo]]</f>
        <v>427200</v>
      </c>
      <c r="BH359" s="292" t="str">
        <f>Tabla14[[#This Row],[Finca]]</f>
        <v>San Pedro</v>
      </c>
      <c r="BJ359" s="332">
        <f>Tabla14[[#This Row],[Numero de Ocacionales]]*Tabla14[[#This Row],[REAJUSTADO]]</f>
        <v>0</v>
      </c>
      <c r="BK359" s="332"/>
      <c r="BL359" s="332"/>
      <c r="BM359" s="332">
        <f>+Tabla14[[#This Row],[CUANTO SE REAJUSTA]]*3</f>
        <v>-3173.5000000000073</v>
      </c>
    </row>
    <row r="360" spans="3:65" x14ac:dyDescent="0.25">
      <c r="C360" s="515">
        <v>45062</v>
      </c>
      <c r="D360" s="507">
        <f>YEAR(Tabla14[[#This Row],[Fecha]])</f>
        <v>2023</v>
      </c>
      <c r="E360" s="516">
        <f>IF(Tabla14[[#This Row],[Fecha]]&gt;0,_xlfn.ISOWEEKNUM(Tabla14[[#This Row],[Fecha]]),0)</f>
        <v>20</v>
      </c>
      <c r="F360" s="283">
        <v>7</v>
      </c>
      <c r="G360" s="275" t="s">
        <v>250</v>
      </c>
      <c r="H360" s="325" t="str">
        <f>_xlfn.XLOOKUP(Tabla14[[#This Row],[Codigo Finca]],Tabla4[Codigo Finca],Tabla4[Nombre Finca],"")</f>
        <v>San Pedro</v>
      </c>
      <c r="I360" s="277">
        <f>_xlfn.XLOOKUP(Tabla14[[#This Row],[Codigo Finca]],Tabla4[Codigo Finca],Tabla4[Precio Caja],0)</f>
        <v>1800</v>
      </c>
      <c r="J360" s="277">
        <f>_xlfn.XLOOKUP(Tabla14[[#This Row],[Codigo Finca]],Tabla4[Codigo Finca],Tabla4[Precio Caja Segunda],0)</f>
        <v>1150</v>
      </c>
      <c r="K360" s="277">
        <f>_xlfn.XLOOKUP(Tabla14[[#This Row],[Codigo Finca]],Tabla4[Codigo Finca],Tabla4[Precio Rechazo],0)</f>
        <v>575</v>
      </c>
      <c r="L360" s="277">
        <f t="shared" si="413"/>
        <v>58</v>
      </c>
      <c r="M360" s="278">
        <f t="shared" si="414"/>
        <v>8.2857142857142865</v>
      </c>
      <c r="N360" s="283"/>
      <c r="O360" s="279"/>
      <c r="P360" s="280">
        <f t="shared" si="415"/>
        <v>0</v>
      </c>
      <c r="Q360" s="281">
        <f t="shared" si="416"/>
        <v>0</v>
      </c>
      <c r="R360" s="282">
        <f t="shared" si="417"/>
        <v>0</v>
      </c>
      <c r="S360" s="283">
        <v>58</v>
      </c>
      <c r="T360" s="275">
        <v>12</v>
      </c>
      <c r="U360" s="280">
        <f t="shared" si="418"/>
        <v>7</v>
      </c>
      <c r="V360" s="281">
        <f t="shared" si="419"/>
        <v>0.58333333333333337</v>
      </c>
      <c r="W360" s="282">
        <f t="shared" si="420"/>
        <v>1050</v>
      </c>
      <c r="X360" s="283"/>
      <c r="Y360" s="275"/>
      <c r="Z360" s="280">
        <f>Tabla14[[#This Row],[Cajas Segunda]]</f>
        <v>0</v>
      </c>
      <c r="AA360" s="281">
        <f t="shared" si="421"/>
        <v>0</v>
      </c>
      <c r="AB360" s="284">
        <f t="shared" si="422"/>
        <v>0</v>
      </c>
      <c r="AC360" s="285"/>
      <c r="AD360" s="286"/>
      <c r="AE360" s="286"/>
      <c r="AF360" s="286"/>
      <c r="AG360" s="286">
        <v>12</v>
      </c>
      <c r="AH360" s="280">
        <f t="shared" si="423"/>
        <v>0</v>
      </c>
      <c r="AI360" s="281">
        <f t="shared" si="424"/>
        <v>0</v>
      </c>
      <c r="AJ360" s="282">
        <f t="shared" si="425"/>
        <v>0</v>
      </c>
      <c r="AK360" s="287">
        <f>Tabla14[[#This Row],[Cajas por Personas]]</f>
        <v>0</v>
      </c>
      <c r="AL360" s="288">
        <f>Tabla14[[#This Row],[Valor Precorte Pesona]]</f>
        <v>0</v>
      </c>
      <c r="AM360" s="294">
        <f>Tabla14[[#This Row],[Personas Precorte]]</f>
        <v>0</v>
      </c>
      <c r="AN360" s="308">
        <f>Tabla14[[#This Row],[Valor Precorte Pesona Precorte]]*Tabla14[[#This Row],[Perzonas Precorte]]</f>
        <v>0</v>
      </c>
      <c r="AO360" s="287">
        <f>Tabla14[[#This Row],[Cajas por Personas2]]</f>
        <v>0.58333333333333337</v>
      </c>
      <c r="AP360" s="288">
        <f>Tabla14[[#This Row],[Valor Embarque Pesona]]</f>
        <v>1050</v>
      </c>
      <c r="AQ360" s="295">
        <f>Tabla14[[#This Row],[Personas Precorte2]]</f>
        <v>12</v>
      </c>
      <c r="AR360" s="296">
        <f>Tabla14[[#This Row],[Valor Embarque Pesona3]]*Tabla14[[#This Row],[Perzona Primera]]</f>
        <v>12600</v>
      </c>
      <c r="AS360" s="287">
        <f>Tabla14[[#This Row],[Columna2]]</f>
        <v>0</v>
      </c>
      <c r="AT360" s="288">
        <f>Tabla14[[#This Row],[Columna1]]</f>
        <v>0</v>
      </c>
      <c r="AU360" s="302">
        <f>Tabla14[[#This Row],[Personas Intervienen]]</f>
        <v>0</v>
      </c>
      <c r="AV360" s="297">
        <f>Tabla14[[#This Row],[Valor Embarque Pesona5]]*Tabla14[[#This Row],[Presonas Segunda]]</f>
        <v>0</v>
      </c>
      <c r="AW360" s="287">
        <f>Tabla14[[#This Row],[Bolsas Por Personas]]</f>
        <v>0</v>
      </c>
      <c r="AX360" s="288">
        <f>Tabla14[[#This Row],[Valor bolsas Pesona]]</f>
        <v>0</v>
      </c>
      <c r="AY360" s="309">
        <f>Tabla14[[#This Row],[Personas13]]</f>
        <v>12</v>
      </c>
      <c r="AZ360" s="310">
        <f>Tabla14[[#This Row],[Valor bolsas Pesona2]]*Tabla14[[#This Row],[Personas Rechazo]]</f>
        <v>0</v>
      </c>
      <c r="BA360" s="311">
        <f>+Tabla14[[#This Row],[Total Valor Segunda]]+Tabla14[[#This Row],[Total Valor Primera]]+Tabla14[[#This Row],[Total Valor Precorte]]</f>
        <v>12600</v>
      </c>
      <c r="BB360" s="538">
        <f>Tabla14[[#This Row],[Valor bolsas Pesona2]]+Tabla14[[#This Row],[Valor Embarque Pesona3]]</f>
        <v>1050</v>
      </c>
      <c r="BC360" s="539"/>
      <c r="BD360" s="538">
        <f>Tabla14[[#This Row],[VALOR GANADO]]-Tabla14[[#This Row],[REAJUSTADO]]</f>
        <v>1050</v>
      </c>
      <c r="BE360" s="250">
        <f>Tabla14[[#This Row],[CUANTO SE REAJUSTA]]*Tabla14[[#This Row],[Personas Rechazo]]</f>
        <v>12600</v>
      </c>
      <c r="BF360" s="250">
        <f>Tabla14[[#This Row],[REAJUSTADO]]/25000</f>
        <v>0</v>
      </c>
      <c r="BG360" s="302">
        <f>Tabla14[[#This Row],[REAJUSTADO]]*Tabla14[[#This Row],[Personas Rechazo]]</f>
        <v>0</v>
      </c>
      <c r="BH360" s="292" t="str">
        <f>Tabla14[[#This Row],[Finca]]</f>
        <v>San Pedro</v>
      </c>
      <c r="BJ360" s="332">
        <f>Tabla14[[#This Row],[Numero de Ocacionales]]*Tabla14[[#This Row],[REAJUSTADO]]</f>
        <v>0</v>
      </c>
      <c r="BK360" s="332"/>
      <c r="BL360" s="332"/>
      <c r="BM360" s="332">
        <f>+Tabla14[[#This Row],[CUANTO SE REAJUSTA]]*3</f>
        <v>3150</v>
      </c>
    </row>
    <row r="361" spans="3:65" x14ac:dyDescent="0.25">
      <c r="C361" s="515">
        <v>45062</v>
      </c>
      <c r="D361" s="507">
        <f>YEAR(Tabla14[[#This Row],[Fecha]])</f>
        <v>2023</v>
      </c>
      <c r="E361" s="516">
        <f>IF(Tabla14[[#This Row],[Fecha]]&gt;0,_xlfn.ISOWEEKNUM(Tabla14[[#This Row],[Fecha]]),0)</f>
        <v>20</v>
      </c>
      <c r="F361" s="283">
        <v>43</v>
      </c>
      <c r="G361" s="275" t="s">
        <v>247</v>
      </c>
      <c r="H361" s="325" t="str">
        <f>_xlfn.XLOOKUP(Tabla14[[#This Row],[Codigo Finca]],Tabla4[Codigo Finca],Tabla4[Nombre Finca],"")</f>
        <v>Uveros</v>
      </c>
      <c r="I361" s="277">
        <f>_xlfn.XLOOKUP(Tabla14[[#This Row],[Codigo Finca]],Tabla4[Codigo Finca],Tabla4[Precio Caja],0)</f>
        <v>1800</v>
      </c>
      <c r="J361" s="277">
        <f>_xlfn.XLOOKUP(Tabla14[[#This Row],[Codigo Finca]],Tabla4[Codigo Finca],Tabla4[Precio Caja Segunda],0)</f>
        <v>1150</v>
      </c>
      <c r="K361" s="277">
        <f>_xlfn.XLOOKUP(Tabla14[[#This Row],[Codigo Finca]],Tabla4[Codigo Finca],Tabla4[Precio Rechazo],0)</f>
        <v>575</v>
      </c>
      <c r="L361" s="277">
        <f t="shared" si="413"/>
        <v>335</v>
      </c>
      <c r="M361" s="278">
        <f t="shared" si="414"/>
        <v>7.7906976744186043</v>
      </c>
      <c r="N361" s="283"/>
      <c r="O361" s="279"/>
      <c r="P361" s="280">
        <f t="shared" si="415"/>
        <v>0</v>
      </c>
      <c r="Q361" s="281">
        <f t="shared" si="416"/>
        <v>0</v>
      </c>
      <c r="R361" s="282">
        <f t="shared" si="417"/>
        <v>0</v>
      </c>
      <c r="S361" s="283">
        <v>335</v>
      </c>
      <c r="T361" s="275">
        <v>3</v>
      </c>
      <c r="U361" s="280">
        <f t="shared" si="418"/>
        <v>43</v>
      </c>
      <c r="V361" s="281">
        <f t="shared" si="419"/>
        <v>14.333333333333334</v>
      </c>
      <c r="W361" s="282">
        <f t="shared" si="420"/>
        <v>25800</v>
      </c>
      <c r="X361" s="283"/>
      <c r="Y361" s="275"/>
      <c r="Z361" s="280">
        <f>Tabla14[[#This Row],[Cajas Segunda]]</f>
        <v>0</v>
      </c>
      <c r="AA361" s="281">
        <f t="shared" si="421"/>
        <v>0</v>
      </c>
      <c r="AB361" s="284">
        <f t="shared" si="422"/>
        <v>0</v>
      </c>
      <c r="AC361" s="285"/>
      <c r="AD361" s="286">
        <v>713</v>
      </c>
      <c r="AE361" s="286"/>
      <c r="AF361" s="286"/>
      <c r="AG361" s="286">
        <v>3</v>
      </c>
      <c r="AH361" s="280">
        <f t="shared" si="423"/>
        <v>28.52</v>
      </c>
      <c r="AI361" s="281">
        <f t="shared" si="424"/>
        <v>9.5066666666666659</v>
      </c>
      <c r="AJ361" s="282">
        <f t="shared" si="425"/>
        <v>5466.333333333333</v>
      </c>
      <c r="AK361" s="287">
        <f>Tabla14[[#This Row],[Cajas por Personas]]</f>
        <v>0</v>
      </c>
      <c r="AL361" s="288">
        <f>Tabla14[[#This Row],[Valor Precorte Pesona]]</f>
        <v>0</v>
      </c>
      <c r="AM361" s="294">
        <f>Tabla14[[#This Row],[Personas Precorte]]</f>
        <v>0</v>
      </c>
      <c r="AN361" s="308">
        <f>Tabla14[[#This Row],[Valor Precorte Pesona Precorte]]*Tabla14[[#This Row],[Perzonas Precorte]]</f>
        <v>0</v>
      </c>
      <c r="AO361" s="287">
        <f>Tabla14[[#This Row],[Cajas por Personas2]]</f>
        <v>14.333333333333334</v>
      </c>
      <c r="AP361" s="288">
        <f>Tabla14[[#This Row],[Valor Embarque Pesona]]</f>
        <v>25800</v>
      </c>
      <c r="AQ361" s="295">
        <f>Tabla14[[#This Row],[Personas Precorte2]]</f>
        <v>3</v>
      </c>
      <c r="AR361" s="296">
        <f>Tabla14[[#This Row],[Valor Embarque Pesona3]]*Tabla14[[#This Row],[Perzona Primera]]</f>
        <v>77400</v>
      </c>
      <c r="AS361" s="287">
        <f>Tabla14[[#This Row],[Columna2]]</f>
        <v>0</v>
      </c>
      <c r="AT361" s="288">
        <f>Tabla14[[#This Row],[Columna1]]</f>
        <v>0</v>
      </c>
      <c r="AU361" s="302">
        <f>Tabla14[[#This Row],[Personas Intervienen]]</f>
        <v>0</v>
      </c>
      <c r="AV361" s="297">
        <f>Tabla14[[#This Row],[Valor Embarque Pesona5]]*Tabla14[[#This Row],[Presonas Segunda]]</f>
        <v>0</v>
      </c>
      <c r="AW361" s="287">
        <f>Tabla14[[#This Row],[Bolsas Por Personas]]</f>
        <v>9.5066666666666659</v>
      </c>
      <c r="AX361" s="288">
        <f>Tabla14[[#This Row],[Valor bolsas Pesona]]</f>
        <v>5466.333333333333</v>
      </c>
      <c r="AY361" s="309">
        <f>Tabla14[[#This Row],[Personas13]]</f>
        <v>3</v>
      </c>
      <c r="AZ361" s="310">
        <f>Tabla14[[#This Row],[Valor bolsas Pesona2]]*Tabla14[[#This Row],[Personas Rechazo]]</f>
        <v>16399</v>
      </c>
      <c r="BA361" s="311">
        <f>+Tabla14[[#This Row],[Total Valor Segunda]]+Tabla14[[#This Row],[Total Valor Primera]]+Tabla14[[#This Row],[Total Valor Precorte]]</f>
        <v>77400</v>
      </c>
      <c r="BB361" s="292">
        <f>Tabla14[[#This Row],[Valor bolsas Pesona2]]+Tabla14[[#This Row],[Valor Embarque Pesona3]]</f>
        <v>31266.333333333332</v>
      </c>
      <c r="BC361" s="332">
        <v>31250</v>
      </c>
      <c r="BD361" s="292">
        <f>Tabla14[[#This Row],[VALOR GANADO]]-Tabla14[[#This Row],[REAJUSTADO]]</f>
        <v>16.333333333332121</v>
      </c>
      <c r="BE361" s="250">
        <f>Tabla14[[#This Row],[CUANTO SE REAJUSTA]]*Tabla14[[#This Row],[Personas Rechazo]]</f>
        <v>48.999999999996362</v>
      </c>
      <c r="BF361" s="250">
        <f>Tabla14[[#This Row],[REAJUSTADO]]/25000</f>
        <v>1.25</v>
      </c>
      <c r="BG361" s="302">
        <f>Tabla14[[#This Row],[REAJUSTADO]]*Tabla14[[#This Row],[Personas Rechazo]]</f>
        <v>93750</v>
      </c>
      <c r="BH361" s="292" t="str">
        <f>Tabla14[[#This Row],[Finca]]</f>
        <v>Uveros</v>
      </c>
      <c r="BJ361" s="332">
        <f>Tabla14[[#This Row],[Numero de Ocacionales]]*Tabla14[[#This Row],[REAJUSTADO]]</f>
        <v>0</v>
      </c>
      <c r="BK361" s="332"/>
      <c r="BL361" s="332"/>
      <c r="BM361" s="332">
        <f>+Tabla14[[#This Row],[CUANTO SE REAJUSTA]]*3</f>
        <v>48.999999999996362</v>
      </c>
    </row>
    <row r="362" spans="3:65" x14ac:dyDescent="0.25">
      <c r="C362" s="515">
        <v>45063</v>
      </c>
      <c r="D362" s="507">
        <f>YEAR(Tabla14[[#This Row],[Fecha]])</f>
        <v>2023</v>
      </c>
      <c r="E362" s="516">
        <f>IF(Tabla14[[#This Row],[Fecha]]&gt;0,_xlfn.ISOWEEKNUM(Tabla14[[#This Row],[Fecha]]),0)</f>
        <v>20</v>
      </c>
      <c r="F362" s="283">
        <v>158</v>
      </c>
      <c r="G362" s="275" t="s">
        <v>251</v>
      </c>
      <c r="H362" s="325" t="str">
        <f>_xlfn.XLOOKUP(Tabla14[[#This Row],[Codigo Finca]],Tabla4[Codigo Finca],Tabla4[Nombre Finca],"")</f>
        <v>Pedrito</v>
      </c>
      <c r="I362" s="277">
        <f>_xlfn.XLOOKUP(Tabla14[[#This Row],[Codigo Finca]],Tabla4[Codigo Finca],Tabla4[Precio Caja],0)</f>
        <v>1800</v>
      </c>
      <c r="J362" s="277">
        <f>_xlfn.XLOOKUP(Tabla14[[#This Row],[Codigo Finca]],Tabla4[Codigo Finca],Tabla4[Precio Caja Segunda],0)</f>
        <v>1150</v>
      </c>
      <c r="K362" s="277">
        <f>_xlfn.XLOOKUP(Tabla14[[#This Row],[Codigo Finca]],Tabla4[Codigo Finca],Tabla4[Precio Rechazo],0)</f>
        <v>575</v>
      </c>
      <c r="L362" s="277">
        <f t="shared" si="413"/>
        <v>1045</v>
      </c>
      <c r="M362" s="278">
        <f t="shared" si="414"/>
        <v>6.6139240506329111</v>
      </c>
      <c r="N362" s="283"/>
      <c r="O362" s="279"/>
      <c r="P362" s="280">
        <f t="shared" si="415"/>
        <v>0</v>
      </c>
      <c r="Q362" s="281">
        <f t="shared" si="416"/>
        <v>0</v>
      </c>
      <c r="R362" s="282">
        <f t="shared" si="417"/>
        <v>0</v>
      </c>
      <c r="S362" s="283">
        <v>1045</v>
      </c>
      <c r="T362" s="275">
        <v>14</v>
      </c>
      <c r="U362" s="280">
        <f t="shared" si="418"/>
        <v>158</v>
      </c>
      <c r="V362" s="281">
        <f t="shared" si="419"/>
        <v>11.285714285714286</v>
      </c>
      <c r="W362" s="282">
        <f t="shared" si="420"/>
        <v>20314.285714285714</v>
      </c>
      <c r="X362" s="283"/>
      <c r="Y362" s="275"/>
      <c r="Z362" s="280">
        <f>Tabla14[[#This Row],[Cajas Segunda]]</f>
        <v>0</v>
      </c>
      <c r="AA362" s="281">
        <f t="shared" si="421"/>
        <v>0</v>
      </c>
      <c r="AB362" s="284">
        <f t="shared" si="422"/>
        <v>0</v>
      </c>
      <c r="AC362" s="285"/>
      <c r="AD362" s="286">
        <v>2936</v>
      </c>
      <c r="AE362" s="286"/>
      <c r="AF362" s="286"/>
      <c r="AG362" s="286">
        <v>14</v>
      </c>
      <c r="AH362" s="280">
        <f t="shared" si="423"/>
        <v>117.44</v>
      </c>
      <c r="AI362" s="281">
        <f t="shared" si="424"/>
        <v>8.3885714285714279</v>
      </c>
      <c r="AJ362" s="282">
        <f t="shared" si="425"/>
        <v>4823.4285714285706</v>
      </c>
      <c r="AK362" s="287">
        <f>Tabla14[[#This Row],[Cajas por Personas]]</f>
        <v>0</v>
      </c>
      <c r="AL362" s="288">
        <f>Tabla14[[#This Row],[Valor Precorte Pesona]]</f>
        <v>0</v>
      </c>
      <c r="AM362" s="294">
        <f>Tabla14[[#This Row],[Personas Precorte]]</f>
        <v>0</v>
      </c>
      <c r="AN362" s="308">
        <f>Tabla14[[#This Row],[Valor Precorte Pesona Precorte]]*Tabla14[[#This Row],[Perzonas Precorte]]</f>
        <v>0</v>
      </c>
      <c r="AO362" s="287">
        <f>Tabla14[[#This Row],[Cajas por Personas2]]</f>
        <v>11.285714285714286</v>
      </c>
      <c r="AP362" s="288">
        <f>Tabla14[[#This Row],[Valor Embarque Pesona]]</f>
        <v>20314.285714285714</v>
      </c>
      <c r="AQ362" s="295">
        <f>Tabla14[[#This Row],[Personas Precorte2]]</f>
        <v>14</v>
      </c>
      <c r="AR362" s="296">
        <f>Tabla14[[#This Row],[Valor Embarque Pesona3]]*Tabla14[[#This Row],[Perzona Primera]]</f>
        <v>284400</v>
      </c>
      <c r="AS362" s="287">
        <f>Tabla14[[#This Row],[Columna2]]</f>
        <v>0</v>
      </c>
      <c r="AT362" s="288">
        <f>Tabla14[[#This Row],[Columna1]]</f>
        <v>0</v>
      </c>
      <c r="AU362" s="302">
        <f>Tabla14[[#This Row],[Personas Intervienen]]</f>
        <v>0</v>
      </c>
      <c r="AV362" s="297">
        <f>Tabla14[[#This Row],[Valor Embarque Pesona5]]*Tabla14[[#This Row],[Presonas Segunda]]</f>
        <v>0</v>
      </c>
      <c r="AW362" s="287">
        <f>Tabla14[[#This Row],[Bolsas Por Personas]]</f>
        <v>8.3885714285714279</v>
      </c>
      <c r="AX362" s="288">
        <f>Tabla14[[#This Row],[Valor bolsas Pesona]]</f>
        <v>4823.4285714285706</v>
      </c>
      <c r="AY362" s="309">
        <f>Tabla14[[#This Row],[Personas13]]</f>
        <v>14</v>
      </c>
      <c r="AZ362" s="310">
        <f>Tabla14[[#This Row],[Valor bolsas Pesona2]]*Tabla14[[#This Row],[Personas Rechazo]]</f>
        <v>67527.999999999985</v>
      </c>
      <c r="BA362" s="311">
        <f>+Tabla14[[#This Row],[Total Valor Segunda]]+Tabla14[[#This Row],[Total Valor Primera]]+Tabla14[[#This Row],[Total Valor Precorte]]</f>
        <v>284400</v>
      </c>
      <c r="BB362" s="292">
        <f>Tabla14[[#This Row],[Valor bolsas Pesona2]]+Tabla14[[#This Row],[Valor Embarque Pesona3]]</f>
        <v>25137.714285714283</v>
      </c>
      <c r="BC362" s="332">
        <v>30000</v>
      </c>
      <c r="BD362" s="292">
        <f>Tabla14[[#This Row],[VALOR GANADO]]-Tabla14[[#This Row],[REAJUSTADO]]</f>
        <v>-4862.2857142857174</v>
      </c>
      <c r="BE362" s="250">
        <f>Tabla14[[#This Row],[CUANTO SE REAJUSTA]]*Tabla14[[#This Row],[Personas Rechazo]]</f>
        <v>-68072.000000000044</v>
      </c>
      <c r="BF362" s="250">
        <f>Tabla14[[#This Row],[REAJUSTADO]]/25000</f>
        <v>1.2</v>
      </c>
      <c r="BG362" s="302">
        <f>Tabla14[[#This Row],[REAJUSTADO]]*Tabla14[[#This Row],[Personas Rechazo]]</f>
        <v>420000</v>
      </c>
      <c r="BH362" s="292" t="str">
        <f>Tabla14[[#This Row],[Finca]]</f>
        <v>Pedrito</v>
      </c>
      <c r="BJ362" s="332">
        <f>Tabla14[[#This Row],[Numero de Ocacionales]]*Tabla14[[#This Row],[REAJUSTADO]]</f>
        <v>0</v>
      </c>
      <c r="BK362" s="332"/>
      <c r="BL362" s="332"/>
      <c r="BM362" s="332">
        <f>+Tabla14[[#This Row],[CUANTO SE REAJUSTA]]*3</f>
        <v>-14586.857142857152</v>
      </c>
    </row>
    <row r="363" spans="3:65" x14ac:dyDescent="0.25">
      <c r="C363" s="515">
        <v>45063</v>
      </c>
      <c r="D363" s="507">
        <f>YEAR(Tabla14[[#This Row],[Fecha]])</f>
        <v>2023</v>
      </c>
      <c r="E363" s="516">
        <f>IF(Tabla14[[#This Row],[Fecha]]&gt;0,_xlfn.ISOWEEKNUM(Tabla14[[#This Row],[Fecha]]),0)</f>
        <v>20</v>
      </c>
      <c r="F363" s="283">
        <v>42</v>
      </c>
      <c r="G363" s="275" t="s">
        <v>248</v>
      </c>
      <c r="H363" s="325" t="str">
        <f>_xlfn.XLOOKUP(Tabla14[[#This Row],[Codigo Finca]],Tabla4[Codigo Finca],Tabla4[Nombre Finca],"")</f>
        <v>Damaquiel</v>
      </c>
      <c r="I363" s="277">
        <f>_xlfn.XLOOKUP(Tabla14[[#This Row],[Codigo Finca]],Tabla4[Codigo Finca],Tabla4[Precio Caja],0)</f>
        <v>1800</v>
      </c>
      <c r="J363" s="277">
        <f>_xlfn.XLOOKUP(Tabla14[[#This Row],[Codigo Finca]],Tabla4[Codigo Finca],Tabla4[Precio Caja Segunda],0)</f>
        <v>1150</v>
      </c>
      <c r="K363" s="277">
        <f>_xlfn.XLOOKUP(Tabla14[[#This Row],[Codigo Finca]],Tabla4[Codigo Finca],Tabla4[Precio Rechazo],0)</f>
        <v>575</v>
      </c>
      <c r="L363" s="277">
        <f t="shared" si="413"/>
        <v>450</v>
      </c>
      <c r="M363" s="278">
        <f t="shared" si="414"/>
        <v>10.714285714285714</v>
      </c>
      <c r="N363" s="283"/>
      <c r="O363" s="279"/>
      <c r="P363" s="280">
        <f t="shared" si="415"/>
        <v>0</v>
      </c>
      <c r="Q363" s="281">
        <f t="shared" si="416"/>
        <v>0</v>
      </c>
      <c r="R363" s="282">
        <f t="shared" si="417"/>
        <v>0</v>
      </c>
      <c r="S363" s="283">
        <f>79+109+218+44</f>
        <v>450</v>
      </c>
      <c r="T363" s="275">
        <v>5</v>
      </c>
      <c r="U363" s="280">
        <f t="shared" si="418"/>
        <v>42</v>
      </c>
      <c r="V363" s="281">
        <f t="shared" si="419"/>
        <v>8.4</v>
      </c>
      <c r="W363" s="282">
        <f t="shared" si="420"/>
        <v>15120</v>
      </c>
      <c r="X363" s="283"/>
      <c r="Y363" s="275"/>
      <c r="Z363" s="280">
        <f>Tabla14[[#This Row],[Cajas Segunda]]</f>
        <v>0</v>
      </c>
      <c r="AA363" s="281">
        <f t="shared" si="421"/>
        <v>0</v>
      </c>
      <c r="AB363" s="284">
        <f t="shared" si="422"/>
        <v>0</v>
      </c>
      <c r="AC363" s="285"/>
      <c r="AD363" s="286">
        <v>1097</v>
      </c>
      <c r="AE363" s="286"/>
      <c r="AF363" s="286"/>
      <c r="AG363" s="286">
        <v>5</v>
      </c>
      <c r="AH363" s="280">
        <f t="shared" si="423"/>
        <v>43.88</v>
      </c>
      <c r="AI363" s="281">
        <f t="shared" si="424"/>
        <v>8.7759999999999998</v>
      </c>
      <c r="AJ363" s="282">
        <f t="shared" si="425"/>
        <v>5046.2</v>
      </c>
      <c r="AK363" s="287">
        <f>Tabla14[[#This Row],[Cajas por Personas]]</f>
        <v>0</v>
      </c>
      <c r="AL363" s="288">
        <f>Tabla14[[#This Row],[Valor Precorte Pesona]]</f>
        <v>0</v>
      </c>
      <c r="AM363" s="294">
        <f>Tabla14[[#This Row],[Personas Precorte]]</f>
        <v>0</v>
      </c>
      <c r="AN363" s="308">
        <f>Tabla14[[#This Row],[Valor Precorte Pesona Precorte]]*Tabla14[[#This Row],[Perzonas Precorte]]</f>
        <v>0</v>
      </c>
      <c r="AO363" s="287">
        <f>Tabla14[[#This Row],[Cajas por Personas2]]</f>
        <v>8.4</v>
      </c>
      <c r="AP363" s="288">
        <f>Tabla14[[#This Row],[Valor Embarque Pesona]]</f>
        <v>15120</v>
      </c>
      <c r="AQ363" s="295">
        <f>Tabla14[[#This Row],[Personas Precorte2]]</f>
        <v>5</v>
      </c>
      <c r="AR363" s="296">
        <f>Tabla14[[#This Row],[Valor Embarque Pesona3]]*Tabla14[[#This Row],[Perzona Primera]]</f>
        <v>75600</v>
      </c>
      <c r="AS363" s="287">
        <f>Tabla14[[#This Row],[Columna2]]</f>
        <v>0</v>
      </c>
      <c r="AT363" s="288">
        <f>Tabla14[[#This Row],[Columna1]]</f>
        <v>0</v>
      </c>
      <c r="AU363" s="302">
        <f>Tabla14[[#This Row],[Personas Intervienen]]</f>
        <v>0</v>
      </c>
      <c r="AV363" s="297">
        <f>Tabla14[[#This Row],[Valor Embarque Pesona5]]*Tabla14[[#This Row],[Presonas Segunda]]</f>
        <v>0</v>
      </c>
      <c r="AW363" s="287">
        <f>Tabla14[[#This Row],[Bolsas Por Personas]]</f>
        <v>8.7759999999999998</v>
      </c>
      <c r="AX363" s="288">
        <f>Tabla14[[#This Row],[Valor bolsas Pesona]]</f>
        <v>5046.2</v>
      </c>
      <c r="AY363" s="309">
        <f>Tabla14[[#This Row],[Personas13]]</f>
        <v>5</v>
      </c>
      <c r="AZ363" s="310">
        <f>Tabla14[[#This Row],[Valor bolsas Pesona2]]*Tabla14[[#This Row],[Personas Rechazo]]</f>
        <v>25231</v>
      </c>
      <c r="BA363" s="311">
        <f>+Tabla14[[#This Row],[Total Valor Segunda]]+Tabla14[[#This Row],[Total Valor Primera]]+Tabla14[[#This Row],[Total Valor Precorte]]</f>
        <v>75600</v>
      </c>
      <c r="BB363" s="292">
        <f>Tabla14[[#This Row],[Valor bolsas Pesona2]]+Tabla14[[#This Row],[Valor Embarque Pesona3]]</f>
        <v>20166.2</v>
      </c>
      <c r="BC363" s="332">
        <v>30000</v>
      </c>
      <c r="BD363" s="292">
        <f>Tabla14[[#This Row],[VALOR GANADO]]-Tabla14[[#This Row],[REAJUSTADO]]</f>
        <v>-9833.7999999999993</v>
      </c>
      <c r="BE363" s="250">
        <f>Tabla14[[#This Row],[CUANTO SE REAJUSTA]]*Tabla14[[#This Row],[Personas Rechazo]]</f>
        <v>-49169</v>
      </c>
      <c r="BF363" s="250">
        <f>Tabla14[[#This Row],[REAJUSTADO]]/25000</f>
        <v>1.2</v>
      </c>
      <c r="BG363" s="302">
        <f>Tabla14[[#This Row],[REAJUSTADO]]*Tabla14[[#This Row],[Personas Rechazo]]</f>
        <v>150000</v>
      </c>
      <c r="BH363" s="292" t="str">
        <f>Tabla14[[#This Row],[Finca]]</f>
        <v>Damaquiel</v>
      </c>
      <c r="BJ363" s="332">
        <f>Tabla14[[#This Row],[Numero de Ocacionales]]*Tabla14[[#This Row],[REAJUSTADO]]</f>
        <v>0</v>
      </c>
      <c r="BK363" s="332"/>
      <c r="BL363" s="332"/>
      <c r="BM363" s="332">
        <f>+Tabla14[[#This Row],[CUANTO SE REAJUSTA]]*3</f>
        <v>-29501.399999999998</v>
      </c>
    </row>
    <row r="364" spans="3:65" x14ac:dyDescent="0.25">
      <c r="C364" s="515">
        <v>45069</v>
      </c>
      <c r="D364" s="507">
        <f>YEAR(Tabla14[[#This Row],[Fecha]])</f>
        <v>2023</v>
      </c>
      <c r="E364" s="516">
        <f>IF(Tabla14[[#This Row],[Fecha]]&gt;0,_xlfn.ISOWEEKNUM(Tabla14[[#This Row],[Fecha]]),0)</f>
        <v>21</v>
      </c>
      <c r="F364" s="283">
        <v>100</v>
      </c>
      <c r="G364" s="275" t="s">
        <v>250</v>
      </c>
      <c r="H364" s="325" t="str">
        <f>_xlfn.XLOOKUP(Tabla14[[#This Row],[Codigo Finca]],Tabla4[Codigo Finca],Tabla4[Nombre Finca],"")</f>
        <v>San Pedro</v>
      </c>
      <c r="I364" s="277">
        <f>_xlfn.XLOOKUP(Tabla14[[#This Row],[Codigo Finca]],Tabla4[Codigo Finca],Tabla4[Precio Caja],0)</f>
        <v>1800</v>
      </c>
      <c r="J364" s="277">
        <f>_xlfn.XLOOKUP(Tabla14[[#This Row],[Codigo Finca]],Tabla4[Codigo Finca],Tabla4[Precio Caja Segunda],0)</f>
        <v>1150</v>
      </c>
      <c r="K364" s="277">
        <f>_xlfn.XLOOKUP(Tabla14[[#This Row],[Codigo Finca]],Tabla4[Codigo Finca],Tabla4[Precio Rechazo],0)</f>
        <v>575</v>
      </c>
      <c r="L364" s="277">
        <f t="shared" si="413"/>
        <v>870</v>
      </c>
      <c r="M364" s="278">
        <f t="shared" si="414"/>
        <v>8.6999999999999993</v>
      </c>
      <c r="N364" s="283"/>
      <c r="O364" s="279"/>
      <c r="P364" s="280">
        <f t="shared" si="415"/>
        <v>0</v>
      </c>
      <c r="Q364" s="281">
        <f t="shared" si="416"/>
        <v>0</v>
      </c>
      <c r="R364" s="282">
        <f t="shared" si="417"/>
        <v>0</v>
      </c>
      <c r="S364" s="338">
        <f>84+163+92+66+123+120+88+134</f>
        <v>870</v>
      </c>
      <c r="T364" s="275">
        <v>13</v>
      </c>
      <c r="U364" s="280">
        <f t="shared" si="418"/>
        <v>100</v>
      </c>
      <c r="V364" s="281">
        <f t="shared" si="419"/>
        <v>7.6923076923076925</v>
      </c>
      <c r="W364" s="282">
        <f t="shared" si="420"/>
        <v>13846.153846153846</v>
      </c>
      <c r="X364" s="283"/>
      <c r="Y364" s="275"/>
      <c r="Z364" s="280">
        <f>Tabla14[[#This Row],[Cajas Segunda]]</f>
        <v>0</v>
      </c>
      <c r="AA364" s="281">
        <f t="shared" si="421"/>
        <v>0</v>
      </c>
      <c r="AB364" s="284">
        <f t="shared" si="422"/>
        <v>0</v>
      </c>
      <c r="AC364" s="285"/>
      <c r="AD364" s="286">
        <f>2033.4+18.6</f>
        <v>2052</v>
      </c>
      <c r="AE364" s="286"/>
      <c r="AF364" s="286"/>
      <c r="AG364" s="286">
        <v>13</v>
      </c>
      <c r="AH364" s="280">
        <f t="shared" si="423"/>
        <v>82.08</v>
      </c>
      <c r="AI364" s="281">
        <f t="shared" si="424"/>
        <v>6.3138461538461534</v>
      </c>
      <c r="AJ364" s="282">
        <f t="shared" si="425"/>
        <v>3630.4615384615381</v>
      </c>
      <c r="AK364" s="287">
        <f>Tabla14[[#This Row],[Cajas por Personas]]</f>
        <v>0</v>
      </c>
      <c r="AL364" s="288">
        <f>Tabla14[[#This Row],[Valor Precorte Pesona]]</f>
        <v>0</v>
      </c>
      <c r="AM364" s="294">
        <f>Tabla14[[#This Row],[Personas Precorte]]</f>
        <v>0</v>
      </c>
      <c r="AN364" s="308">
        <f>Tabla14[[#This Row],[Valor Precorte Pesona Precorte]]*Tabla14[[#This Row],[Perzonas Precorte]]</f>
        <v>0</v>
      </c>
      <c r="AO364" s="287">
        <f>Tabla14[[#This Row],[Cajas por Personas2]]</f>
        <v>7.6923076923076925</v>
      </c>
      <c r="AP364" s="288">
        <f>Tabla14[[#This Row],[Valor Embarque Pesona]]</f>
        <v>13846.153846153846</v>
      </c>
      <c r="AQ364" s="295">
        <f>Tabla14[[#This Row],[Personas Precorte2]]</f>
        <v>13</v>
      </c>
      <c r="AR364" s="296">
        <f>Tabla14[[#This Row],[Valor Embarque Pesona3]]*Tabla14[[#This Row],[Perzona Primera]]</f>
        <v>180000</v>
      </c>
      <c r="AS364" s="287">
        <f>Tabla14[[#This Row],[Columna2]]</f>
        <v>0</v>
      </c>
      <c r="AT364" s="288">
        <f>Tabla14[[#This Row],[Columna1]]</f>
        <v>0</v>
      </c>
      <c r="AU364" s="302">
        <f>Tabla14[[#This Row],[Personas Intervienen]]</f>
        <v>0</v>
      </c>
      <c r="AV364" s="297">
        <f>Tabla14[[#This Row],[Valor Embarque Pesona5]]*Tabla14[[#This Row],[Presonas Segunda]]</f>
        <v>0</v>
      </c>
      <c r="AW364" s="287">
        <f>Tabla14[[#This Row],[Bolsas Por Personas]]</f>
        <v>6.3138461538461534</v>
      </c>
      <c r="AX364" s="288">
        <f>Tabla14[[#This Row],[Valor bolsas Pesona]]</f>
        <v>3630.4615384615381</v>
      </c>
      <c r="AY364" s="309">
        <f>Tabla14[[#This Row],[Personas13]]</f>
        <v>13</v>
      </c>
      <c r="AZ364" s="310">
        <f>Tabla14[[#This Row],[Valor bolsas Pesona2]]*Tabla14[[#This Row],[Personas Rechazo]]</f>
        <v>47195.999999999993</v>
      </c>
      <c r="BA364" s="311">
        <f>+Tabla14[[#This Row],[Total Valor Segunda]]+Tabla14[[#This Row],[Total Valor Primera]]+Tabla14[[#This Row],[Total Valor Precorte]]</f>
        <v>180000</v>
      </c>
      <c r="BB364" s="540">
        <f>Tabla14[[#This Row],[Valor bolsas Pesona2]]+Tabla14[[#This Row],[Valor Embarque Pesona3]]</f>
        <v>17476.615384615383</v>
      </c>
      <c r="BC364" s="541">
        <v>36310</v>
      </c>
      <c r="BD364" s="540">
        <f>Tabla14[[#This Row],[VALOR GANADO]]-Tabla14[[#This Row],[REAJUSTADO]]</f>
        <v>-18833.384615384617</v>
      </c>
      <c r="BE364" s="250">
        <f>Tabla14[[#This Row],[CUANTO SE REAJUSTA]]*Tabla14[[#This Row],[Personas Rechazo]]</f>
        <v>-244834.00000000003</v>
      </c>
      <c r="BF364" s="250">
        <f>Tabla14[[#This Row],[REAJUSTADO]]/25000</f>
        <v>1.4523999999999999</v>
      </c>
      <c r="BG364" s="302">
        <f>Tabla14[[#This Row],[REAJUSTADO]]*Tabla14[[#This Row],[Personas Rechazo]]</f>
        <v>472030</v>
      </c>
      <c r="BH364" s="292" t="str">
        <f>Tabla14[[#This Row],[Finca]]</f>
        <v>San Pedro</v>
      </c>
      <c r="BJ364" s="332">
        <f>Tabla14[[#This Row],[Numero de Ocacionales]]*Tabla14[[#This Row],[REAJUSTADO]]</f>
        <v>0</v>
      </c>
      <c r="BK364" s="332"/>
      <c r="BL364" s="332"/>
      <c r="BM364" s="332">
        <f>+Tabla14[[#This Row],[CUANTO SE REAJUSTA]]*3</f>
        <v>-56500.153846153851</v>
      </c>
    </row>
    <row r="365" spans="3:65" x14ac:dyDescent="0.25">
      <c r="C365" s="517">
        <v>45069</v>
      </c>
      <c r="D365" s="507">
        <f>YEAR(Tabla14[[#This Row],[Fecha]])</f>
        <v>2023</v>
      </c>
      <c r="E365" s="518">
        <f>IF(Tabla14[[#This Row],[Fecha]]&gt;0,_xlfn.ISOWEEKNUM(Tabla14[[#This Row],[Fecha]]),0)</f>
        <v>21</v>
      </c>
      <c r="F365" s="269">
        <v>9</v>
      </c>
      <c r="G365" s="268" t="s">
        <v>249</v>
      </c>
      <c r="H365" s="266" t="str">
        <f>_xlfn.XLOOKUP(Tabla14[[#This Row],[Codigo Finca]],Tabla4[Codigo Finca],Tabla4[Nombre Finca],"")</f>
        <v>San Pedro</v>
      </c>
      <c r="I365" s="262">
        <f>_xlfn.XLOOKUP(Tabla14[[#This Row],[Codigo Finca]],Tabla4[Codigo Finca],Tabla4[Precio Caja],0)</f>
        <v>2000</v>
      </c>
      <c r="J365" s="262">
        <f>_xlfn.XLOOKUP(Tabla14[[#This Row],[Codigo Finca]],Tabla4[Codigo Finca],Tabla4[Precio Caja Segunda],0)</f>
        <v>1150</v>
      </c>
      <c r="K365" s="262">
        <f>_xlfn.XLOOKUP(Tabla14[[#This Row],[Codigo Finca]],Tabla4[Codigo Finca],Tabla4[Precio Rechazo],0)</f>
        <v>675</v>
      </c>
      <c r="L365" s="262">
        <f t="shared" si="413"/>
        <v>59</v>
      </c>
      <c r="M365" s="272">
        <f t="shared" si="414"/>
        <v>6.5555555555555554</v>
      </c>
      <c r="N365" s="269"/>
      <c r="O365" s="270"/>
      <c r="P365" s="280">
        <f t="shared" si="415"/>
        <v>0</v>
      </c>
      <c r="Q365" s="263">
        <f t="shared" si="416"/>
        <v>0</v>
      </c>
      <c r="R365" s="322">
        <f t="shared" si="417"/>
        <v>0</v>
      </c>
      <c r="S365" s="269">
        <v>59</v>
      </c>
      <c r="T365" s="268">
        <v>13</v>
      </c>
      <c r="U365" s="251">
        <f t="shared" si="418"/>
        <v>9</v>
      </c>
      <c r="V365" s="263">
        <f t="shared" si="419"/>
        <v>0.69230769230769229</v>
      </c>
      <c r="W365" s="322">
        <f t="shared" si="420"/>
        <v>1384.6153846153845</v>
      </c>
      <c r="X365" s="269"/>
      <c r="Y365" s="268"/>
      <c r="Z365" s="251">
        <f>Tabla14[[#This Row],[Cajas Segunda]]</f>
        <v>0</v>
      </c>
      <c r="AA365" s="263">
        <f t="shared" si="421"/>
        <v>0</v>
      </c>
      <c r="AB365" s="265">
        <f t="shared" si="422"/>
        <v>0</v>
      </c>
      <c r="AC365" s="273"/>
      <c r="AD365" s="271"/>
      <c r="AE365" s="271"/>
      <c r="AF365" s="271"/>
      <c r="AG365" s="271">
        <v>13</v>
      </c>
      <c r="AH365" s="251">
        <f t="shared" si="423"/>
        <v>0</v>
      </c>
      <c r="AI365" s="263">
        <f t="shared" si="424"/>
        <v>0</v>
      </c>
      <c r="AJ365" s="322">
        <f t="shared" si="425"/>
        <v>0</v>
      </c>
      <c r="AK365" s="264">
        <f>Tabla14[[#This Row],[Cajas por Personas]]</f>
        <v>0</v>
      </c>
      <c r="AL365" s="267">
        <f>Tabla14[[#This Row],[Valor Precorte Pesona]]</f>
        <v>0</v>
      </c>
      <c r="AM365" s="294">
        <f>Tabla14[[#This Row],[Personas Precorte]]</f>
        <v>0</v>
      </c>
      <c r="AN365" s="308">
        <f>Tabla14[[#This Row],[Valor Precorte Pesona Precorte]]*Tabla14[[#This Row],[Perzonas Precorte]]</f>
        <v>0</v>
      </c>
      <c r="AO365" s="264">
        <f>Tabla14[[#This Row],[Cajas por Personas2]]</f>
        <v>0.69230769230769229</v>
      </c>
      <c r="AP365" s="267">
        <f>Tabla14[[#This Row],[Valor Embarque Pesona]]</f>
        <v>1384.6153846153845</v>
      </c>
      <c r="AQ365" s="295">
        <f>Tabla14[[#This Row],[Personas Precorte2]]</f>
        <v>13</v>
      </c>
      <c r="AR365" s="296">
        <f>Tabla14[[#This Row],[Valor Embarque Pesona3]]*Tabla14[[#This Row],[Perzona Primera]]</f>
        <v>18000</v>
      </c>
      <c r="AS365" s="264">
        <f>Tabla14[[#This Row],[Columna2]]</f>
        <v>0</v>
      </c>
      <c r="AT365" s="267">
        <f>Tabla14[[#This Row],[Columna1]]</f>
        <v>0</v>
      </c>
      <c r="AU365" s="302">
        <f>Tabla14[[#This Row],[Personas Intervienen]]</f>
        <v>0</v>
      </c>
      <c r="AV365" s="297">
        <f>Tabla14[[#This Row],[Valor Embarque Pesona5]]*Tabla14[[#This Row],[Presonas Segunda]]</f>
        <v>0</v>
      </c>
      <c r="AW365" s="264">
        <f>Tabla14[[#This Row],[Bolsas Por Personas]]</f>
        <v>0</v>
      </c>
      <c r="AX365" s="267">
        <f>Tabla14[[#This Row],[Valor bolsas Pesona]]</f>
        <v>0</v>
      </c>
      <c r="AY365" s="290">
        <f>Tabla14[[#This Row],[Personas13]]</f>
        <v>13</v>
      </c>
      <c r="AZ365" s="323">
        <f>Tabla14[[#This Row],[Valor bolsas Pesona2]]*Tabla14[[#This Row],[Personas Rechazo]]</f>
        <v>0</v>
      </c>
      <c r="BA365" s="324">
        <f>+Tabla14[[#This Row],[Total Valor Segunda]]+Tabla14[[#This Row],[Total Valor Primera]]+Tabla14[[#This Row],[Total Valor Precorte]]</f>
        <v>18000</v>
      </c>
      <c r="BB365" s="540">
        <f>Tabla14[[#This Row],[Valor bolsas Pesona2]]+Tabla14[[#This Row],[Valor Embarque Pesona3]]</f>
        <v>1384.6153846153845</v>
      </c>
      <c r="BC365" s="541"/>
      <c r="BD365" s="540">
        <f>Tabla14[[#This Row],[VALOR GANADO]]-Tabla14[[#This Row],[REAJUSTADO]]</f>
        <v>1384.6153846153845</v>
      </c>
      <c r="BE365" s="250">
        <f>Tabla14[[#This Row],[CUANTO SE REAJUSTA]]*Tabla14[[#This Row],[Personas Rechazo]]</f>
        <v>18000</v>
      </c>
      <c r="BF365" s="250">
        <f>Tabla14[[#This Row],[REAJUSTADO]]/25000</f>
        <v>0</v>
      </c>
      <c r="BG365" s="302">
        <f>Tabla14[[#This Row],[REAJUSTADO]]*Tabla14[[#This Row],[Personas Rechazo]]</f>
        <v>0</v>
      </c>
      <c r="BH365" s="292" t="str">
        <f>Tabla14[[#This Row],[Finca]]</f>
        <v>San Pedro</v>
      </c>
      <c r="BJ365" s="332">
        <f>Tabla14[[#This Row],[Numero de Ocacionales]]*Tabla14[[#This Row],[REAJUSTADO]]</f>
        <v>0</v>
      </c>
      <c r="BK365" s="332"/>
      <c r="BL365" s="332"/>
      <c r="BM365" s="332">
        <f>+Tabla14[[#This Row],[CUANTO SE REAJUSTA]]*3</f>
        <v>4153.8461538461534</v>
      </c>
    </row>
    <row r="366" spans="3:65" x14ac:dyDescent="0.25">
      <c r="C366" s="515">
        <v>45069</v>
      </c>
      <c r="D366" s="507">
        <f>YEAR(Tabla14[[#This Row],[Fecha]])</f>
        <v>2023</v>
      </c>
      <c r="E366" s="516">
        <f>IF(Tabla14[[#This Row],[Fecha]]&gt;0,_xlfn.ISOWEEKNUM(Tabla14[[#This Row],[Fecha]]),0)</f>
        <v>21</v>
      </c>
      <c r="F366" s="283">
        <v>126</v>
      </c>
      <c r="G366" s="275" t="s">
        <v>250</v>
      </c>
      <c r="H366" s="325" t="str">
        <f>_xlfn.XLOOKUP(Tabla14[[#This Row],[Codigo Finca]],Tabla4[Codigo Finca],Tabla4[Nombre Finca],"")</f>
        <v>San Pedro</v>
      </c>
      <c r="I366" s="277">
        <f>_xlfn.XLOOKUP(Tabla14[[#This Row],[Codigo Finca]],Tabla4[Codigo Finca],Tabla4[Precio Caja],0)</f>
        <v>1800</v>
      </c>
      <c r="J366" s="277">
        <f>_xlfn.XLOOKUP(Tabla14[[#This Row],[Codigo Finca]],Tabla4[Codigo Finca],Tabla4[Precio Caja Segunda],0)</f>
        <v>1150</v>
      </c>
      <c r="K366" s="277">
        <f>_xlfn.XLOOKUP(Tabla14[[#This Row],[Codigo Finca]],Tabla4[Codigo Finca],Tabla4[Precio Rechazo],0)</f>
        <v>575</v>
      </c>
      <c r="L366" s="277">
        <f t="shared" si="413"/>
        <v>0</v>
      </c>
      <c r="M366" s="278">
        <f t="shared" si="414"/>
        <v>0</v>
      </c>
      <c r="N366" s="283"/>
      <c r="O366" s="279"/>
      <c r="P366" s="280">
        <f t="shared" si="415"/>
        <v>0</v>
      </c>
      <c r="Q366" s="281">
        <f t="shared" si="416"/>
        <v>0</v>
      </c>
      <c r="R366" s="282">
        <f t="shared" si="417"/>
        <v>0</v>
      </c>
      <c r="S366" s="338"/>
      <c r="T366" s="275">
        <v>13</v>
      </c>
      <c r="U366" s="280">
        <f t="shared" si="418"/>
        <v>126</v>
      </c>
      <c r="V366" s="281">
        <f t="shared" si="419"/>
        <v>9.6923076923076916</v>
      </c>
      <c r="W366" s="282">
        <f t="shared" si="420"/>
        <v>17446.153846153848</v>
      </c>
      <c r="X366" s="283"/>
      <c r="Y366" s="275"/>
      <c r="Z366" s="280">
        <f>Tabla14[[#This Row],[Cajas Segunda]]</f>
        <v>0</v>
      </c>
      <c r="AA366" s="281">
        <f t="shared" si="421"/>
        <v>0</v>
      </c>
      <c r="AB366" s="284">
        <f t="shared" si="422"/>
        <v>0</v>
      </c>
      <c r="AC366" s="285"/>
      <c r="AD366" s="286"/>
      <c r="AE366" s="286"/>
      <c r="AF366" s="286"/>
      <c r="AG366" s="286">
        <v>13</v>
      </c>
      <c r="AH366" s="280">
        <f t="shared" si="423"/>
        <v>0</v>
      </c>
      <c r="AI366" s="281">
        <f t="shared" si="424"/>
        <v>0</v>
      </c>
      <c r="AJ366" s="282">
        <f t="shared" si="425"/>
        <v>0</v>
      </c>
      <c r="AK366" s="287">
        <f>Tabla14[[#This Row],[Cajas por Personas]]</f>
        <v>0</v>
      </c>
      <c r="AL366" s="288">
        <f>Tabla14[[#This Row],[Valor Precorte Pesona]]</f>
        <v>0</v>
      </c>
      <c r="AM366" s="294">
        <f>Tabla14[[#This Row],[Personas Precorte]]</f>
        <v>0</v>
      </c>
      <c r="AN366" s="308">
        <f>Tabla14[[#This Row],[Valor Precorte Pesona Precorte]]*Tabla14[[#This Row],[Perzonas Precorte]]</f>
        <v>0</v>
      </c>
      <c r="AO366" s="287">
        <f>Tabla14[[#This Row],[Cajas por Personas2]]</f>
        <v>9.6923076923076916</v>
      </c>
      <c r="AP366" s="288">
        <f>Tabla14[[#This Row],[Valor Embarque Pesona]]</f>
        <v>17446.153846153848</v>
      </c>
      <c r="AQ366" s="295">
        <f>Tabla14[[#This Row],[Personas Precorte2]]</f>
        <v>13</v>
      </c>
      <c r="AR366" s="296">
        <f>Tabla14[[#This Row],[Valor Embarque Pesona3]]*Tabla14[[#This Row],[Perzona Primera]]</f>
        <v>226800.00000000003</v>
      </c>
      <c r="AS366" s="287">
        <f>Tabla14[[#This Row],[Columna2]]</f>
        <v>0</v>
      </c>
      <c r="AT366" s="288">
        <f>Tabla14[[#This Row],[Columna1]]</f>
        <v>0</v>
      </c>
      <c r="AU366" s="302">
        <f>Tabla14[[#This Row],[Personas Intervienen]]</f>
        <v>0</v>
      </c>
      <c r="AV366" s="297">
        <f>Tabla14[[#This Row],[Valor Embarque Pesona5]]*Tabla14[[#This Row],[Presonas Segunda]]</f>
        <v>0</v>
      </c>
      <c r="AW366" s="287">
        <f>Tabla14[[#This Row],[Bolsas Por Personas]]</f>
        <v>0</v>
      </c>
      <c r="AX366" s="288">
        <f>Tabla14[[#This Row],[Valor bolsas Pesona]]</f>
        <v>0</v>
      </c>
      <c r="AY366" s="309">
        <f>Tabla14[[#This Row],[Personas13]]</f>
        <v>13</v>
      </c>
      <c r="AZ366" s="310">
        <f>Tabla14[[#This Row],[Valor bolsas Pesona2]]*Tabla14[[#This Row],[Personas Rechazo]]</f>
        <v>0</v>
      </c>
      <c r="BA366" s="311">
        <f>+Tabla14[[#This Row],[Total Valor Segunda]]+Tabla14[[#This Row],[Total Valor Primera]]+Tabla14[[#This Row],[Total Valor Precorte]]</f>
        <v>226800.00000000003</v>
      </c>
      <c r="BB366" s="540">
        <f>Tabla14[[#This Row],[Valor bolsas Pesona2]]+Tabla14[[#This Row],[Valor Embarque Pesona3]]</f>
        <v>17446.153846153848</v>
      </c>
      <c r="BC366" s="541"/>
      <c r="BD366" s="540">
        <f>Tabla14[[#This Row],[VALOR GANADO]]-Tabla14[[#This Row],[REAJUSTADO]]</f>
        <v>17446.153846153848</v>
      </c>
      <c r="BE366" s="250">
        <f>Tabla14[[#This Row],[CUANTO SE REAJUSTA]]*Tabla14[[#This Row],[Personas Rechazo]]</f>
        <v>226800.00000000003</v>
      </c>
      <c r="BF366" s="250">
        <f>Tabla14[[#This Row],[REAJUSTADO]]/25000</f>
        <v>0</v>
      </c>
      <c r="BG366" s="302">
        <f>Tabla14[[#This Row],[REAJUSTADO]]*Tabla14[[#This Row],[Personas Rechazo]]</f>
        <v>0</v>
      </c>
      <c r="BH366" s="292" t="str">
        <f>Tabla14[[#This Row],[Finca]]</f>
        <v>San Pedro</v>
      </c>
      <c r="BJ366" s="332">
        <f>Tabla14[[#This Row],[Numero de Ocacionales]]*Tabla14[[#This Row],[REAJUSTADO]]</f>
        <v>0</v>
      </c>
      <c r="BK366" s="332"/>
      <c r="BL366" s="332"/>
      <c r="BM366" s="332">
        <f>+Tabla14[[#This Row],[CUANTO SE REAJUSTA]]*3</f>
        <v>52338.461538461546</v>
      </c>
    </row>
    <row r="367" spans="3:65" x14ac:dyDescent="0.25">
      <c r="C367" s="515">
        <v>45069</v>
      </c>
      <c r="D367" s="507">
        <f>YEAR(Tabla14[[#This Row],[Fecha]])</f>
        <v>2023</v>
      </c>
      <c r="E367" s="516">
        <f>IF(Tabla14[[#This Row],[Fecha]]&gt;0,_xlfn.ISOWEEKNUM(Tabla14[[#This Row],[Fecha]]),0)</f>
        <v>21</v>
      </c>
      <c r="F367" s="283">
        <v>50</v>
      </c>
      <c r="G367" s="275" t="s">
        <v>247</v>
      </c>
      <c r="H367" s="325" t="str">
        <f>_xlfn.XLOOKUP(Tabla14[[#This Row],[Codigo Finca]],Tabla4[Codigo Finca],Tabla4[Nombre Finca],"")</f>
        <v>Uveros</v>
      </c>
      <c r="I367" s="277">
        <f>_xlfn.XLOOKUP(Tabla14[[#This Row],[Codigo Finca]],Tabla4[Codigo Finca],Tabla4[Precio Caja],0)</f>
        <v>1800</v>
      </c>
      <c r="J367" s="277">
        <f>_xlfn.XLOOKUP(Tabla14[[#This Row],[Codigo Finca]],Tabla4[Codigo Finca],Tabla4[Precio Caja Segunda],0)</f>
        <v>1150</v>
      </c>
      <c r="K367" s="277">
        <f>_xlfn.XLOOKUP(Tabla14[[#This Row],[Codigo Finca]],Tabla4[Codigo Finca],Tabla4[Precio Rechazo],0)</f>
        <v>575</v>
      </c>
      <c r="L367" s="277">
        <f t="shared" si="413"/>
        <v>336</v>
      </c>
      <c r="M367" s="278">
        <f t="shared" si="414"/>
        <v>6.72</v>
      </c>
      <c r="N367" s="283"/>
      <c r="O367" s="279"/>
      <c r="P367" s="280">
        <f t="shared" si="415"/>
        <v>0</v>
      </c>
      <c r="Q367" s="281">
        <f t="shared" si="416"/>
        <v>0</v>
      </c>
      <c r="R367" s="282">
        <f t="shared" si="417"/>
        <v>0</v>
      </c>
      <c r="S367" s="283">
        <v>336</v>
      </c>
      <c r="T367" s="275">
        <v>4</v>
      </c>
      <c r="U367" s="280">
        <f t="shared" si="418"/>
        <v>50</v>
      </c>
      <c r="V367" s="281">
        <f t="shared" si="419"/>
        <v>12.5</v>
      </c>
      <c r="W367" s="282">
        <f t="shared" si="420"/>
        <v>22500</v>
      </c>
      <c r="X367" s="283"/>
      <c r="Y367" s="275"/>
      <c r="Z367" s="280">
        <f>Tabla14[[#This Row],[Cajas Segunda]]</f>
        <v>0</v>
      </c>
      <c r="AA367" s="281">
        <f t="shared" si="421"/>
        <v>0</v>
      </c>
      <c r="AB367" s="284">
        <f t="shared" si="422"/>
        <v>0</v>
      </c>
      <c r="AC367" s="285"/>
      <c r="AD367" s="286">
        <v>538</v>
      </c>
      <c r="AE367" s="286"/>
      <c r="AF367" s="286"/>
      <c r="AG367" s="286">
        <v>4</v>
      </c>
      <c r="AH367" s="280">
        <f t="shared" si="423"/>
        <v>21.52</v>
      </c>
      <c r="AI367" s="281">
        <f t="shared" si="424"/>
        <v>5.38</v>
      </c>
      <c r="AJ367" s="282">
        <f t="shared" si="425"/>
        <v>3093.5</v>
      </c>
      <c r="AK367" s="287">
        <f>Tabla14[[#This Row],[Cajas por Personas]]</f>
        <v>0</v>
      </c>
      <c r="AL367" s="288">
        <f>Tabla14[[#This Row],[Valor Precorte Pesona]]</f>
        <v>0</v>
      </c>
      <c r="AM367" s="294">
        <f>Tabla14[[#This Row],[Personas Precorte]]</f>
        <v>0</v>
      </c>
      <c r="AN367" s="308">
        <f>Tabla14[[#This Row],[Valor Precorte Pesona Precorte]]*Tabla14[[#This Row],[Perzonas Precorte]]</f>
        <v>0</v>
      </c>
      <c r="AO367" s="287">
        <f>Tabla14[[#This Row],[Cajas por Personas2]]</f>
        <v>12.5</v>
      </c>
      <c r="AP367" s="288">
        <f>Tabla14[[#This Row],[Valor Embarque Pesona]]</f>
        <v>22500</v>
      </c>
      <c r="AQ367" s="295">
        <f>Tabla14[[#This Row],[Personas Precorte2]]</f>
        <v>4</v>
      </c>
      <c r="AR367" s="296">
        <f>Tabla14[[#This Row],[Valor Embarque Pesona3]]*Tabla14[[#This Row],[Perzona Primera]]</f>
        <v>90000</v>
      </c>
      <c r="AS367" s="287">
        <f>Tabla14[[#This Row],[Columna2]]</f>
        <v>0</v>
      </c>
      <c r="AT367" s="288">
        <f>Tabla14[[#This Row],[Columna1]]</f>
        <v>0</v>
      </c>
      <c r="AU367" s="302">
        <f>Tabla14[[#This Row],[Personas Intervienen]]</f>
        <v>0</v>
      </c>
      <c r="AV367" s="297">
        <f>Tabla14[[#This Row],[Valor Embarque Pesona5]]*Tabla14[[#This Row],[Presonas Segunda]]</f>
        <v>0</v>
      </c>
      <c r="AW367" s="287">
        <f>Tabla14[[#This Row],[Bolsas Por Personas]]</f>
        <v>5.38</v>
      </c>
      <c r="AX367" s="288">
        <f>Tabla14[[#This Row],[Valor bolsas Pesona]]</f>
        <v>3093.5</v>
      </c>
      <c r="AY367" s="309">
        <f>Tabla14[[#This Row],[Personas13]]</f>
        <v>4</v>
      </c>
      <c r="AZ367" s="310">
        <f>Tabla14[[#This Row],[Valor bolsas Pesona2]]*Tabla14[[#This Row],[Personas Rechazo]]</f>
        <v>12374</v>
      </c>
      <c r="BA367" s="311">
        <f>+Tabla14[[#This Row],[Total Valor Segunda]]+Tabla14[[#This Row],[Total Valor Primera]]+Tabla14[[#This Row],[Total Valor Precorte]]</f>
        <v>90000</v>
      </c>
      <c r="BB367" s="292">
        <f>Tabla14[[#This Row],[Valor bolsas Pesona2]]+Tabla14[[#This Row],[Valor Embarque Pesona3]]</f>
        <v>25593.5</v>
      </c>
      <c r="BC367" s="332">
        <v>30000</v>
      </c>
      <c r="BD367" s="292">
        <f>Tabla14[[#This Row],[VALOR GANADO]]-Tabla14[[#This Row],[REAJUSTADO]]</f>
        <v>-4406.5</v>
      </c>
      <c r="BE367" s="250">
        <f>Tabla14[[#This Row],[CUANTO SE REAJUSTA]]*Tabla14[[#This Row],[Personas Rechazo]]</f>
        <v>-17626</v>
      </c>
      <c r="BF367" s="250">
        <f>Tabla14[[#This Row],[REAJUSTADO]]/25000</f>
        <v>1.2</v>
      </c>
      <c r="BG367" s="302">
        <f>Tabla14[[#This Row],[REAJUSTADO]]*Tabla14[[#This Row],[Personas Rechazo]]</f>
        <v>120000</v>
      </c>
      <c r="BH367" s="292" t="str">
        <f>Tabla14[[#This Row],[Finca]]</f>
        <v>Uveros</v>
      </c>
      <c r="BJ367" s="332">
        <f>Tabla14[[#This Row],[Numero de Ocacionales]]*Tabla14[[#This Row],[REAJUSTADO]]</f>
        <v>0</v>
      </c>
      <c r="BK367" s="332"/>
      <c r="BL367" s="332"/>
      <c r="BM367" s="332">
        <f>+Tabla14[[#This Row],[CUANTO SE REAJUSTA]]*3</f>
        <v>-13219.5</v>
      </c>
    </row>
    <row r="368" spans="3:65" x14ac:dyDescent="0.25">
      <c r="C368" s="515">
        <v>45070</v>
      </c>
      <c r="D368" s="507">
        <f>YEAR(Tabla14[[#This Row],[Fecha]])</f>
        <v>2023</v>
      </c>
      <c r="E368" s="516">
        <f>IF(Tabla14[[#This Row],[Fecha]]&gt;0,_xlfn.ISOWEEKNUM(Tabla14[[#This Row],[Fecha]]),0)</f>
        <v>21</v>
      </c>
      <c r="F368" s="283">
        <v>50</v>
      </c>
      <c r="G368" s="275" t="s">
        <v>248</v>
      </c>
      <c r="H368" s="325" t="str">
        <f>_xlfn.XLOOKUP(Tabla14[[#This Row],[Codigo Finca]],Tabla4[Codigo Finca],Tabla4[Nombre Finca],"")</f>
        <v>Damaquiel</v>
      </c>
      <c r="I368" s="277">
        <f>_xlfn.XLOOKUP(Tabla14[[#This Row],[Codigo Finca]],Tabla4[Codigo Finca],Tabla4[Precio Caja],0)</f>
        <v>1800</v>
      </c>
      <c r="J368" s="277">
        <f>_xlfn.XLOOKUP(Tabla14[[#This Row],[Codigo Finca]],Tabla4[Codigo Finca],Tabla4[Precio Caja Segunda],0)</f>
        <v>1150</v>
      </c>
      <c r="K368" s="277">
        <f>_xlfn.XLOOKUP(Tabla14[[#This Row],[Codigo Finca]],Tabla4[Codigo Finca],Tabla4[Precio Rechazo],0)</f>
        <v>575</v>
      </c>
      <c r="L368" s="277">
        <f t="shared" si="413"/>
        <v>348</v>
      </c>
      <c r="M368" s="278">
        <f t="shared" si="414"/>
        <v>6.96</v>
      </c>
      <c r="N368" s="283"/>
      <c r="O368" s="279"/>
      <c r="P368" s="280">
        <f t="shared" si="415"/>
        <v>0</v>
      </c>
      <c r="Q368" s="281">
        <f t="shared" si="416"/>
        <v>0</v>
      </c>
      <c r="R368" s="282">
        <f t="shared" si="417"/>
        <v>0</v>
      </c>
      <c r="S368" s="283">
        <v>348</v>
      </c>
      <c r="T368" s="275">
        <v>5</v>
      </c>
      <c r="U368" s="280">
        <f t="shared" si="418"/>
        <v>50</v>
      </c>
      <c r="V368" s="281">
        <f t="shared" si="419"/>
        <v>10</v>
      </c>
      <c r="W368" s="282">
        <f t="shared" si="420"/>
        <v>18000</v>
      </c>
      <c r="X368" s="283"/>
      <c r="Y368" s="275"/>
      <c r="Z368" s="280">
        <f>Tabla14[[#This Row],[Cajas Segunda]]</f>
        <v>0</v>
      </c>
      <c r="AA368" s="281">
        <f t="shared" si="421"/>
        <v>0</v>
      </c>
      <c r="AB368" s="284">
        <f t="shared" si="422"/>
        <v>0</v>
      </c>
      <c r="AC368" s="285"/>
      <c r="AD368" s="286">
        <v>621</v>
      </c>
      <c r="AE368" s="286"/>
      <c r="AF368" s="286"/>
      <c r="AG368" s="286">
        <v>5</v>
      </c>
      <c r="AH368" s="280">
        <f t="shared" si="423"/>
        <v>24.84</v>
      </c>
      <c r="AI368" s="281">
        <f t="shared" si="424"/>
        <v>4.968</v>
      </c>
      <c r="AJ368" s="282">
        <f t="shared" si="425"/>
        <v>2856.6</v>
      </c>
      <c r="AK368" s="287">
        <f>Tabla14[[#This Row],[Cajas por Personas]]</f>
        <v>0</v>
      </c>
      <c r="AL368" s="288">
        <f>Tabla14[[#This Row],[Valor Precorte Pesona]]</f>
        <v>0</v>
      </c>
      <c r="AM368" s="294">
        <f>Tabla14[[#This Row],[Personas Precorte]]</f>
        <v>0</v>
      </c>
      <c r="AN368" s="308">
        <f>Tabla14[[#This Row],[Valor Precorte Pesona Precorte]]*Tabla14[[#This Row],[Perzonas Precorte]]</f>
        <v>0</v>
      </c>
      <c r="AO368" s="287">
        <f>Tabla14[[#This Row],[Cajas por Personas2]]</f>
        <v>10</v>
      </c>
      <c r="AP368" s="288">
        <f>Tabla14[[#This Row],[Valor Embarque Pesona]]</f>
        <v>18000</v>
      </c>
      <c r="AQ368" s="295">
        <f>Tabla14[[#This Row],[Personas Precorte2]]</f>
        <v>5</v>
      </c>
      <c r="AR368" s="296">
        <f>Tabla14[[#This Row],[Valor Embarque Pesona3]]*Tabla14[[#This Row],[Perzona Primera]]</f>
        <v>90000</v>
      </c>
      <c r="AS368" s="287">
        <f>Tabla14[[#This Row],[Columna2]]</f>
        <v>0</v>
      </c>
      <c r="AT368" s="288">
        <f>Tabla14[[#This Row],[Columna1]]</f>
        <v>0</v>
      </c>
      <c r="AU368" s="302">
        <f>Tabla14[[#This Row],[Personas Intervienen]]</f>
        <v>0</v>
      </c>
      <c r="AV368" s="297">
        <f>Tabla14[[#This Row],[Valor Embarque Pesona5]]*Tabla14[[#This Row],[Presonas Segunda]]</f>
        <v>0</v>
      </c>
      <c r="AW368" s="287">
        <f>Tabla14[[#This Row],[Bolsas Por Personas]]</f>
        <v>4.968</v>
      </c>
      <c r="AX368" s="288">
        <f>Tabla14[[#This Row],[Valor bolsas Pesona]]</f>
        <v>2856.6</v>
      </c>
      <c r="AY368" s="309">
        <f>Tabla14[[#This Row],[Personas13]]</f>
        <v>5</v>
      </c>
      <c r="AZ368" s="310">
        <f>Tabla14[[#This Row],[Valor bolsas Pesona2]]*Tabla14[[#This Row],[Personas Rechazo]]</f>
        <v>14283</v>
      </c>
      <c r="BA368" s="311">
        <f>+Tabla14[[#This Row],[Total Valor Segunda]]+Tabla14[[#This Row],[Total Valor Primera]]+Tabla14[[#This Row],[Total Valor Precorte]]</f>
        <v>90000</v>
      </c>
      <c r="BB368" s="292">
        <f>Tabla14[[#This Row],[Valor bolsas Pesona2]]+Tabla14[[#This Row],[Valor Embarque Pesona3]]</f>
        <v>20856.599999999999</v>
      </c>
      <c r="BC368" s="332">
        <v>30000</v>
      </c>
      <c r="BD368" s="292">
        <f>Tabla14[[#This Row],[VALOR GANADO]]-Tabla14[[#This Row],[REAJUSTADO]]</f>
        <v>-9143.4000000000015</v>
      </c>
      <c r="BE368" s="250">
        <f>Tabla14[[#This Row],[CUANTO SE REAJUSTA]]*Tabla14[[#This Row],[Personas Rechazo]]</f>
        <v>-45717.000000000007</v>
      </c>
      <c r="BF368" s="250">
        <f>Tabla14[[#This Row],[REAJUSTADO]]/25000</f>
        <v>1.2</v>
      </c>
      <c r="BG368" s="302">
        <f>Tabla14[[#This Row],[REAJUSTADO]]*Tabla14[[#This Row],[Personas Rechazo]]</f>
        <v>150000</v>
      </c>
      <c r="BH368" s="292" t="str">
        <f>Tabla14[[#This Row],[Finca]]</f>
        <v>Damaquiel</v>
      </c>
      <c r="BJ368" s="332">
        <f>Tabla14[[#This Row],[Numero de Ocacionales]]*Tabla14[[#This Row],[REAJUSTADO]]</f>
        <v>0</v>
      </c>
      <c r="BK368" s="332"/>
      <c r="BL368" s="332"/>
      <c r="BM368" s="332">
        <f>+Tabla14[[#This Row],[CUANTO SE REAJUSTA]]*3</f>
        <v>-27430.200000000004</v>
      </c>
    </row>
    <row r="369" spans="3:65" x14ac:dyDescent="0.25">
      <c r="C369" s="515">
        <v>45070</v>
      </c>
      <c r="D369" s="507">
        <f>YEAR(Tabla14[[#This Row],[Fecha]])</f>
        <v>2023</v>
      </c>
      <c r="E369" s="516">
        <f>IF(Tabla14[[#This Row],[Fecha]]&gt;0,_xlfn.ISOWEEKNUM(Tabla14[[#This Row],[Fecha]]),0)</f>
        <v>21</v>
      </c>
      <c r="F369" s="283">
        <v>114</v>
      </c>
      <c r="G369" s="275" t="s">
        <v>251</v>
      </c>
      <c r="H369" s="325" t="str">
        <f>_xlfn.XLOOKUP(Tabla14[[#This Row],[Codigo Finca]],Tabla4[Codigo Finca],Tabla4[Nombre Finca],"")</f>
        <v>Pedrito</v>
      </c>
      <c r="I369" s="277">
        <f>_xlfn.XLOOKUP(Tabla14[[#This Row],[Codigo Finca]],Tabla4[Codigo Finca],Tabla4[Precio Caja],0)</f>
        <v>1800</v>
      </c>
      <c r="J369" s="277">
        <f>_xlfn.XLOOKUP(Tabla14[[#This Row],[Codigo Finca]],Tabla4[Codigo Finca],Tabla4[Precio Caja Segunda],0)</f>
        <v>1150</v>
      </c>
      <c r="K369" s="277">
        <f>_xlfn.XLOOKUP(Tabla14[[#This Row],[Codigo Finca]],Tabla4[Codigo Finca],Tabla4[Precio Rechazo],0)</f>
        <v>575</v>
      </c>
      <c r="L369" s="277">
        <f t="shared" si="413"/>
        <v>575</v>
      </c>
      <c r="M369" s="278">
        <f t="shared" si="414"/>
        <v>5.0438596491228074</v>
      </c>
      <c r="N369" s="283"/>
      <c r="O369" s="279"/>
      <c r="P369" s="280">
        <f t="shared" si="415"/>
        <v>0</v>
      </c>
      <c r="Q369" s="281">
        <f t="shared" si="416"/>
        <v>0</v>
      </c>
      <c r="R369" s="282">
        <f t="shared" si="417"/>
        <v>0</v>
      </c>
      <c r="S369" s="283">
        <v>575</v>
      </c>
      <c r="T369" s="275">
        <v>14</v>
      </c>
      <c r="U369" s="280">
        <f t="shared" si="418"/>
        <v>114</v>
      </c>
      <c r="V369" s="281">
        <f t="shared" si="419"/>
        <v>8.1428571428571423</v>
      </c>
      <c r="W369" s="282">
        <f t="shared" si="420"/>
        <v>14657.142857142857</v>
      </c>
      <c r="X369" s="283"/>
      <c r="Y369" s="275"/>
      <c r="Z369" s="280">
        <f>Tabla14[[#This Row],[Cajas Segunda]]</f>
        <v>0</v>
      </c>
      <c r="AA369" s="281">
        <f t="shared" si="421"/>
        <v>0</v>
      </c>
      <c r="AB369" s="284">
        <f t="shared" si="422"/>
        <v>0</v>
      </c>
      <c r="AC369" s="285"/>
      <c r="AD369" s="286">
        <f>948+52</f>
        <v>1000</v>
      </c>
      <c r="AE369" s="286"/>
      <c r="AF369" s="286"/>
      <c r="AG369" s="286">
        <v>14</v>
      </c>
      <c r="AH369" s="280">
        <f t="shared" si="423"/>
        <v>40</v>
      </c>
      <c r="AI369" s="281">
        <f t="shared" si="424"/>
        <v>2.8571428571428572</v>
      </c>
      <c r="AJ369" s="282">
        <f t="shared" si="425"/>
        <v>1642.8571428571429</v>
      </c>
      <c r="AK369" s="287">
        <f>Tabla14[[#This Row],[Cajas por Personas]]</f>
        <v>0</v>
      </c>
      <c r="AL369" s="288">
        <f>Tabla14[[#This Row],[Valor Precorte Pesona]]</f>
        <v>0</v>
      </c>
      <c r="AM369" s="294">
        <f>Tabla14[[#This Row],[Personas Precorte]]</f>
        <v>0</v>
      </c>
      <c r="AN369" s="308">
        <f>Tabla14[[#This Row],[Valor Precorte Pesona Precorte]]*Tabla14[[#This Row],[Perzonas Precorte]]</f>
        <v>0</v>
      </c>
      <c r="AO369" s="287">
        <f>Tabla14[[#This Row],[Cajas por Personas2]]</f>
        <v>8.1428571428571423</v>
      </c>
      <c r="AP369" s="288">
        <f>Tabla14[[#This Row],[Valor Embarque Pesona]]</f>
        <v>14657.142857142857</v>
      </c>
      <c r="AQ369" s="295">
        <f>Tabla14[[#This Row],[Personas Precorte2]]</f>
        <v>14</v>
      </c>
      <c r="AR369" s="296">
        <f>Tabla14[[#This Row],[Valor Embarque Pesona3]]*Tabla14[[#This Row],[Perzona Primera]]</f>
        <v>205200</v>
      </c>
      <c r="AS369" s="287">
        <f>Tabla14[[#This Row],[Columna2]]</f>
        <v>0</v>
      </c>
      <c r="AT369" s="288">
        <f>Tabla14[[#This Row],[Columna1]]</f>
        <v>0</v>
      </c>
      <c r="AU369" s="302">
        <f>Tabla14[[#This Row],[Personas Intervienen]]</f>
        <v>0</v>
      </c>
      <c r="AV369" s="297">
        <f>Tabla14[[#This Row],[Valor Embarque Pesona5]]*Tabla14[[#This Row],[Presonas Segunda]]</f>
        <v>0</v>
      </c>
      <c r="AW369" s="287">
        <f>Tabla14[[#This Row],[Bolsas Por Personas]]</f>
        <v>2.8571428571428572</v>
      </c>
      <c r="AX369" s="288">
        <f>Tabla14[[#This Row],[Valor bolsas Pesona]]</f>
        <v>1642.8571428571429</v>
      </c>
      <c r="AY369" s="309">
        <f>Tabla14[[#This Row],[Personas13]]</f>
        <v>14</v>
      </c>
      <c r="AZ369" s="310">
        <f>Tabla14[[#This Row],[Valor bolsas Pesona2]]*Tabla14[[#This Row],[Personas Rechazo]]</f>
        <v>23000</v>
      </c>
      <c r="BA369" s="311">
        <f>+Tabla14[[#This Row],[Total Valor Segunda]]+Tabla14[[#This Row],[Total Valor Primera]]+Tabla14[[#This Row],[Total Valor Precorte]]</f>
        <v>205200</v>
      </c>
      <c r="BB369" s="292">
        <f>Tabla14[[#This Row],[Valor bolsas Pesona2]]+Tabla14[[#This Row],[Valor Embarque Pesona3]]</f>
        <v>16300</v>
      </c>
      <c r="BC369" s="332">
        <v>30000</v>
      </c>
      <c r="BD369" s="292">
        <f>Tabla14[[#This Row],[VALOR GANADO]]-Tabla14[[#This Row],[REAJUSTADO]]</f>
        <v>-13700</v>
      </c>
      <c r="BE369" s="250">
        <f>Tabla14[[#This Row],[CUANTO SE REAJUSTA]]*Tabla14[[#This Row],[Personas Rechazo]]</f>
        <v>-191800</v>
      </c>
      <c r="BF369" s="250">
        <f>Tabla14[[#This Row],[REAJUSTADO]]/25000</f>
        <v>1.2</v>
      </c>
      <c r="BG369" s="302">
        <f>Tabla14[[#This Row],[REAJUSTADO]]*Tabla14[[#This Row],[Personas Rechazo]]</f>
        <v>420000</v>
      </c>
      <c r="BH369" s="292" t="str">
        <f>Tabla14[[#This Row],[Finca]]</f>
        <v>Pedrito</v>
      </c>
      <c r="BJ369" s="332">
        <f>Tabla14[[#This Row],[Numero de Ocacionales]]*Tabla14[[#This Row],[REAJUSTADO]]</f>
        <v>0</v>
      </c>
      <c r="BK369" s="332"/>
      <c r="BL369" s="332"/>
      <c r="BM369" s="332">
        <f>+Tabla14[[#This Row],[CUANTO SE REAJUSTA]]*3</f>
        <v>-41100</v>
      </c>
    </row>
    <row r="370" spans="3:65" x14ac:dyDescent="0.25">
      <c r="C370" s="515">
        <v>45079</v>
      </c>
      <c r="D370" s="507">
        <f>YEAR(Tabla14[[#This Row],[Fecha]])</f>
        <v>2023</v>
      </c>
      <c r="E370" s="516">
        <f>IF(Tabla14[[#This Row],[Fecha]]&gt;0,_xlfn.ISOWEEKNUM(Tabla14[[#This Row],[Fecha]]),0)</f>
        <v>22</v>
      </c>
      <c r="F370" s="283">
        <f>183-9</f>
        <v>174</v>
      </c>
      <c r="G370" s="275" t="s">
        <v>250</v>
      </c>
      <c r="H370" s="325" t="str">
        <f>_xlfn.XLOOKUP(Tabla14[[#This Row],[Codigo Finca]],Tabla4[Codigo Finca],Tabla4[Nombre Finca],"")</f>
        <v>San Pedro</v>
      </c>
      <c r="I370" s="277">
        <f>_xlfn.XLOOKUP(Tabla14[[#This Row],[Codigo Finca]],Tabla4[Codigo Finca],Tabla4[Precio Caja],0)</f>
        <v>1800</v>
      </c>
      <c r="J370" s="277">
        <f>_xlfn.XLOOKUP(Tabla14[[#This Row],[Codigo Finca]],Tabla4[Codigo Finca],Tabla4[Precio Caja Segunda],0)</f>
        <v>1150</v>
      </c>
      <c r="K370" s="277">
        <f>_xlfn.XLOOKUP(Tabla14[[#This Row],[Codigo Finca]],Tabla4[Codigo Finca],Tabla4[Precio Rechazo],0)</f>
        <v>575</v>
      </c>
      <c r="L370" s="277">
        <f t="shared" si="413"/>
        <v>761</v>
      </c>
      <c r="M370" s="278">
        <f t="shared" si="414"/>
        <v>4.3735632183908049</v>
      </c>
      <c r="N370" s="283"/>
      <c r="O370" s="279"/>
      <c r="P370" s="280">
        <f t="shared" si="415"/>
        <v>0</v>
      </c>
      <c r="Q370" s="281">
        <f t="shared" si="416"/>
        <v>0</v>
      </c>
      <c r="R370" s="282">
        <f t="shared" si="417"/>
        <v>0</v>
      </c>
      <c r="S370" s="283">
        <f>801-40</f>
        <v>761</v>
      </c>
      <c r="T370" s="275">
        <v>11</v>
      </c>
      <c r="U370" s="280">
        <f t="shared" si="418"/>
        <v>174</v>
      </c>
      <c r="V370" s="281">
        <f t="shared" si="419"/>
        <v>15.818181818181818</v>
      </c>
      <c r="W370" s="282">
        <f t="shared" si="420"/>
        <v>28472.727272727272</v>
      </c>
      <c r="X370" s="283"/>
      <c r="Y370" s="275"/>
      <c r="Z370" s="280">
        <f>Tabla14[[#This Row],[Cajas Segunda]]</f>
        <v>0</v>
      </c>
      <c r="AA370" s="281">
        <f t="shared" si="421"/>
        <v>0</v>
      </c>
      <c r="AB370" s="284">
        <f t="shared" si="422"/>
        <v>0</v>
      </c>
      <c r="AC370" s="285"/>
      <c r="AD370" s="286">
        <v>1586</v>
      </c>
      <c r="AE370" s="286"/>
      <c r="AF370" s="286"/>
      <c r="AG370" s="286">
        <v>11</v>
      </c>
      <c r="AH370" s="280">
        <f t="shared" si="423"/>
        <v>63.44</v>
      </c>
      <c r="AI370" s="281">
        <f t="shared" si="424"/>
        <v>5.7672727272727267</v>
      </c>
      <c r="AJ370" s="282">
        <f t="shared" si="425"/>
        <v>3316.181818181818</v>
      </c>
      <c r="AK370" s="287">
        <f>Tabla14[[#This Row],[Cajas por Personas]]</f>
        <v>0</v>
      </c>
      <c r="AL370" s="288">
        <f>Tabla14[[#This Row],[Valor Precorte Pesona]]</f>
        <v>0</v>
      </c>
      <c r="AM370" s="294">
        <f>Tabla14[[#This Row],[Personas Precorte]]</f>
        <v>0</v>
      </c>
      <c r="AN370" s="308">
        <f>Tabla14[[#This Row],[Valor Precorte Pesona Precorte]]*Tabla14[[#This Row],[Perzonas Precorte]]</f>
        <v>0</v>
      </c>
      <c r="AO370" s="287">
        <f>Tabla14[[#This Row],[Cajas por Personas2]]</f>
        <v>15.818181818181818</v>
      </c>
      <c r="AP370" s="288">
        <f>Tabla14[[#This Row],[Valor Embarque Pesona]]</f>
        <v>28472.727272727272</v>
      </c>
      <c r="AQ370" s="295">
        <f>Tabla14[[#This Row],[Personas Precorte2]]</f>
        <v>11</v>
      </c>
      <c r="AR370" s="296">
        <f>Tabla14[[#This Row],[Valor Embarque Pesona3]]*Tabla14[[#This Row],[Perzona Primera]]</f>
        <v>313200</v>
      </c>
      <c r="AS370" s="287">
        <f>Tabla14[[#This Row],[Columna2]]</f>
        <v>0</v>
      </c>
      <c r="AT370" s="288">
        <f>Tabla14[[#This Row],[Columna1]]</f>
        <v>0</v>
      </c>
      <c r="AU370" s="302">
        <f>Tabla14[[#This Row],[Personas Intervienen]]</f>
        <v>0</v>
      </c>
      <c r="AV370" s="297">
        <f>Tabla14[[#This Row],[Valor Embarque Pesona5]]*Tabla14[[#This Row],[Presonas Segunda]]</f>
        <v>0</v>
      </c>
      <c r="AW370" s="287">
        <f>Tabla14[[#This Row],[Bolsas Por Personas]]</f>
        <v>5.7672727272727267</v>
      </c>
      <c r="AX370" s="288">
        <f>Tabla14[[#This Row],[Valor bolsas Pesona]]</f>
        <v>3316.181818181818</v>
      </c>
      <c r="AY370" s="309">
        <f>Tabla14[[#This Row],[Personas13]]</f>
        <v>11</v>
      </c>
      <c r="AZ370" s="310">
        <f>Tabla14[[#This Row],[Valor bolsas Pesona2]]*Tabla14[[#This Row],[Personas Rechazo]]</f>
        <v>36478</v>
      </c>
      <c r="BA370" s="311">
        <f>+Tabla14[[#This Row],[Total Valor Segunda]]+Tabla14[[#This Row],[Total Valor Primera]]+Tabla14[[#This Row],[Total Valor Precorte]]</f>
        <v>313200</v>
      </c>
      <c r="BB370" s="540">
        <f>Tabla14[[#This Row],[Valor bolsas Pesona2]]+Tabla14[[#This Row],[Valor Embarque Pesona3]]</f>
        <v>31788.909090909088</v>
      </c>
      <c r="BC370" s="541">
        <v>33450</v>
      </c>
      <c r="BD370" s="540">
        <f>Tabla14[[#This Row],[VALOR GANADO]]-Tabla14[[#This Row],[REAJUSTADO]]</f>
        <v>-1661.0909090909117</v>
      </c>
      <c r="BE370" s="250">
        <f>Tabla14[[#This Row],[CUANTO SE REAJUSTA]]*Tabla14[[#This Row],[Personas Rechazo]]</f>
        <v>-18272.000000000029</v>
      </c>
      <c r="BF370" s="250">
        <f>Tabla14[[#This Row],[REAJUSTADO]]/25000</f>
        <v>1.3380000000000001</v>
      </c>
      <c r="BG370" s="302">
        <f>Tabla14[[#This Row],[REAJUSTADO]]*Tabla14[[#This Row],[Personas Rechazo]]</f>
        <v>367950</v>
      </c>
      <c r="BH370" s="292" t="str">
        <f>Tabla14[[#This Row],[Finca]]</f>
        <v>San Pedro</v>
      </c>
      <c r="BJ370" s="332">
        <f>Tabla14[[#This Row],[Numero de Ocacionales]]*Tabla14[[#This Row],[REAJUSTADO]]</f>
        <v>0</v>
      </c>
      <c r="BK370" s="332"/>
      <c r="BL370" s="332"/>
      <c r="BM370" s="332">
        <f>+Tabla14[[#This Row],[CUANTO SE REAJUSTA]]*3</f>
        <v>-4983.2727272727352</v>
      </c>
    </row>
    <row r="371" spans="3:65" x14ac:dyDescent="0.25">
      <c r="C371" s="515">
        <v>45079</v>
      </c>
      <c r="D371" s="507">
        <f>YEAR(Tabla14[[#This Row],[Fecha]])</f>
        <v>2023</v>
      </c>
      <c r="E371" s="516">
        <f>IF(Tabla14[[#This Row],[Fecha]]&gt;0,_xlfn.ISOWEEKNUM(Tabla14[[#This Row],[Fecha]]),0)</f>
        <v>22</v>
      </c>
      <c r="F371" s="283">
        <v>9</v>
      </c>
      <c r="G371" s="275" t="s">
        <v>249</v>
      </c>
      <c r="H371" s="325" t="str">
        <f>_xlfn.XLOOKUP(Tabla14[[#This Row],[Codigo Finca]],Tabla4[Codigo Finca],Tabla4[Nombre Finca],"")</f>
        <v>San Pedro</v>
      </c>
      <c r="I371" s="277">
        <f>_xlfn.XLOOKUP(Tabla14[[#This Row],[Codigo Finca]],Tabla4[Codigo Finca],Tabla4[Precio Caja],0)</f>
        <v>2000</v>
      </c>
      <c r="J371" s="277">
        <f>_xlfn.XLOOKUP(Tabla14[[#This Row],[Codigo Finca]],Tabla4[Codigo Finca],Tabla4[Precio Caja Segunda],0)</f>
        <v>1150</v>
      </c>
      <c r="K371" s="277">
        <f>_xlfn.XLOOKUP(Tabla14[[#This Row],[Codigo Finca]],Tabla4[Codigo Finca],Tabla4[Precio Rechazo],0)</f>
        <v>675</v>
      </c>
      <c r="L371" s="277">
        <f t="shared" si="413"/>
        <v>40</v>
      </c>
      <c r="M371" s="278">
        <f t="shared" si="414"/>
        <v>4.4444444444444446</v>
      </c>
      <c r="N371" s="283"/>
      <c r="O371" s="279"/>
      <c r="P371" s="280">
        <f t="shared" si="415"/>
        <v>0</v>
      </c>
      <c r="Q371" s="281">
        <f t="shared" si="416"/>
        <v>0</v>
      </c>
      <c r="R371" s="282">
        <f t="shared" si="417"/>
        <v>0</v>
      </c>
      <c r="S371" s="283">
        <v>40</v>
      </c>
      <c r="T371" s="275">
        <v>11</v>
      </c>
      <c r="U371" s="280">
        <f t="shared" si="418"/>
        <v>9</v>
      </c>
      <c r="V371" s="281">
        <f t="shared" si="419"/>
        <v>0.81818181818181823</v>
      </c>
      <c r="W371" s="282">
        <f t="shared" si="420"/>
        <v>1636.3636363636363</v>
      </c>
      <c r="X371" s="283"/>
      <c r="Y371" s="275"/>
      <c r="Z371" s="280">
        <f>Tabla14[[#This Row],[Cajas Segunda]]</f>
        <v>0</v>
      </c>
      <c r="AA371" s="281">
        <f t="shared" si="421"/>
        <v>0</v>
      </c>
      <c r="AB371" s="284">
        <f t="shared" si="422"/>
        <v>0</v>
      </c>
      <c r="AC371" s="285"/>
      <c r="AD371" s="286"/>
      <c r="AE371" s="286"/>
      <c r="AF371" s="286"/>
      <c r="AG371" s="286">
        <v>11</v>
      </c>
      <c r="AH371" s="280">
        <f t="shared" si="423"/>
        <v>0</v>
      </c>
      <c r="AI371" s="281">
        <f t="shared" si="424"/>
        <v>0</v>
      </c>
      <c r="AJ371" s="282">
        <f t="shared" si="425"/>
        <v>0</v>
      </c>
      <c r="AK371" s="287">
        <f>Tabla14[[#This Row],[Cajas por Personas]]</f>
        <v>0</v>
      </c>
      <c r="AL371" s="288">
        <f>Tabla14[[#This Row],[Valor Precorte Pesona]]</f>
        <v>0</v>
      </c>
      <c r="AM371" s="294">
        <f>Tabla14[[#This Row],[Personas Precorte]]</f>
        <v>0</v>
      </c>
      <c r="AN371" s="308">
        <f>Tabla14[[#This Row],[Valor Precorte Pesona Precorte]]*Tabla14[[#This Row],[Perzonas Precorte]]</f>
        <v>0</v>
      </c>
      <c r="AO371" s="287">
        <f>Tabla14[[#This Row],[Cajas por Personas2]]</f>
        <v>0.81818181818181823</v>
      </c>
      <c r="AP371" s="288">
        <f>Tabla14[[#This Row],[Valor Embarque Pesona]]</f>
        <v>1636.3636363636363</v>
      </c>
      <c r="AQ371" s="295">
        <f>Tabla14[[#This Row],[Personas Precorte2]]</f>
        <v>11</v>
      </c>
      <c r="AR371" s="296">
        <f>Tabla14[[#This Row],[Valor Embarque Pesona3]]*Tabla14[[#This Row],[Perzona Primera]]</f>
        <v>18000</v>
      </c>
      <c r="AS371" s="287">
        <f>Tabla14[[#This Row],[Columna2]]</f>
        <v>0</v>
      </c>
      <c r="AT371" s="288">
        <f>Tabla14[[#This Row],[Columna1]]</f>
        <v>0</v>
      </c>
      <c r="AU371" s="302">
        <f>Tabla14[[#This Row],[Personas Intervienen]]</f>
        <v>0</v>
      </c>
      <c r="AV371" s="297">
        <f>Tabla14[[#This Row],[Valor Embarque Pesona5]]*Tabla14[[#This Row],[Presonas Segunda]]</f>
        <v>0</v>
      </c>
      <c r="AW371" s="287">
        <f>Tabla14[[#This Row],[Bolsas Por Personas]]</f>
        <v>0</v>
      </c>
      <c r="AX371" s="288">
        <f>Tabla14[[#This Row],[Valor bolsas Pesona]]</f>
        <v>0</v>
      </c>
      <c r="AY371" s="309">
        <f>Tabla14[[#This Row],[Personas13]]</f>
        <v>11</v>
      </c>
      <c r="AZ371" s="310">
        <f>Tabla14[[#This Row],[Valor bolsas Pesona2]]*Tabla14[[#This Row],[Personas Rechazo]]</f>
        <v>0</v>
      </c>
      <c r="BA371" s="311">
        <f>+Tabla14[[#This Row],[Total Valor Segunda]]+Tabla14[[#This Row],[Total Valor Primera]]+Tabla14[[#This Row],[Total Valor Precorte]]</f>
        <v>18000</v>
      </c>
      <c r="BB371" s="540">
        <f>Tabla14[[#This Row],[Valor bolsas Pesona2]]+Tabla14[[#This Row],[Valor Embarque Pesona3]]</f>
        <v>1636.3636363636363</v>
      </c>
      <c r="BC371" s="541"/>
      <c r="BD371" s="540">
        <f>Tabla14[[#This Row],[VALOR GANADO]]-Tabla14[[#This Row],[REAJUSTADO]]</f>
        <v>1636.3636363636363</v>
      </c>
      <c r="BE371" s="250">
        <f>Tabla14[[#This Row],[CUANTO SE REAJUSTA]]*Tabla14[[#This Row],[Personas Rechazo]]</f>
        <v>18000</v>
      </c>
      <c r="BF371" s="250">
        <f>Tabla14[[#This Row],[REAJUSTADO]]/25000</f>
        <v>0</v>
      </c>
      <c r="BG371" s="302">
        <f>Tabla14[[#This Row],[REAJUSTADO]]*Tabla14[[#This Row],[Personas Rechazo]]</f>
        <v>0</v>
      </c>
      <c r="BH371" s="292" t="str">
        <f>Tabla14[[#This Row],[Finca]]</f>
        <v>San Pedro</v>
      </c>
      <c r="BJ371" s="332">
        <f>Tabla14[[#This Row],[Numero de Ocacionales]]*Tabla14[[#This Row],[REAJUSTADO]]</f>
        <v>0</v>
      </c>
      <c r="BK371" s="332"/>
      <c r="BL371" s="332"/>
      <c r="BM371" s="332">
        <f>+Tabla14[[#This Row],[CUANTO SE REAJUSTA]]*3</f>
        <v>4909.090909090909</v>
      </c>
    </row>
    <row r="372" spans="3:65" x14ac:dyDescent="0.25">
      <c r="C372" s="515">
        <v>45079</v>
      </c>
      <c r="D372" s="507">
        <f>YEAR(Tabla14[[#This Row],[Fecha]])</f>
        <v>2023</v>
      </c>
      <c r="E372" s="516">
        <f>IF(Tabla14[[#This Row],[Fecha]]&gt;0,_xlfn.ISOWEEKNUM(Tabla14[[#This Row],[Fecha]]),0)</f>
        <v>22</v>
      </c>
      <c r="F372" s="283">
        <v>28</v>
      </c>
      <c r="G372" s="275" t="s">
        <v>248</v>
      </c>
      <c r="H372" s="325" t="str">
        <f>_xlfn.XLOOKUP(Tabla14[[#This Row],[Codigo Finca]],Tabla4[Codigo Finca],Tabla4[Nombre Finca],"")</f>
        <v>Damaquiel</v>
      </c>
      <c r="I372" s="277">
        <f>_xlfn.XLOOKUP(Tabla14[[#This Row],[Codigo Finca]],Tabla4[Codigo Finca],Tabla4[Precio Caja],0)</f>
        <v>1800</v>
      </c>
      <c r="J372" s="277">
        <f>_xlfn.XLOOKUP(Tabla14[[#This Row],[Codigo Finca]],Tabla4[Codigo Finca],Tabla4[Precio Caja Segunda],0)</f>
        <v>1150</v>
      </c>
      <c r="K372" s="277">
        <f>_xlfn.XLOOKUP(Tabla14[[#This Row],[Codigo Finca]],Tabla4[Codigo Finca],Tabla4[Precio Rechazo],0)</f>
        <v>575</v>
      </c>
      <c r="L372" s="277">
        <f t="shared" si="413"/>
        <v>232</v>
      </c>
      <c r="M372" s="278">
        <f t="shared" si="414"/>
        <v>8.2857142857142865</v>
      </c>
      <c r="N372" s="283"/>
      <c r="O372" s="279"/>
      <c r="P372" s="280">
        <f t="shared" si="415"/>
        <v>0</v>
      </c>
      <c r="Q372" s="281">
        <f t="shared" si="416"/>
        <v>0</v>
      </c>
      <c r="R372" s="282">
        <f t="shared" si="417"/>
        <v>0</v>
      </c>
      <c r="S372" s="283">
        <v>232</v>
      </c>
      <c r="T372" s="275">
        <v>3</v>
      </c>
      <c r="U372" s="280">
        <f t="shared" si="418"/>
        <v>28</v>
      </c>
      <c r="V372" s="281">
        <f t="shared" si="419"/>
        <v>9.3333333333333339</v>
      </c>
      <c r="W372" s="282">
        <f t="shared" si="420"/>
        <v>16800</v>
      </c>
      <c r="X372" s="283"/>
      <c r="Y372" s="275"/>
      <c r="Z372" s="280">
        <f>Tabla14[[#This Row],[Cajas Segunda]]</f>
        <v>0</v>
      </c>
      <c r="AA372" s="281">
        <f t="shared" si="421"/>
        <v>0</v>
      </c>
      <c r="AB372" s="284">
        <f t="shared" si="422"/>
        <v>0</v>
      </c>
      <c r="AC372" s="285"/>
      <c r="AD372" s="286">
        <v>666</v>
      </c>
      <c r="AE372" s="286"/>
      <c r="AF372" s="286"/>
      <c r="AG372" s="286">
        <v>3</v>
      </c>
      <c r="AH372" s="280">
        <f t="shared" si="423"/>
        <v>26.64</v>
      </c>
      <c r="AI372" s="281">
        <f t="shared" si="424"/>
        <v>8.8800000000000008</v>
      </c>
      <c r="AJ372" s="282">
        <f t="shared" si="425"/>
        <v>5106</v>
      </c>
      <c r="AK372" s="287">
        <f>Tabla14[[#This Row],[Cajas por Personas]]</f>
        <v>0</v>
      </c>
      <c r="AL372" s="288">
        <f>Tabla14[[#This Row],[Valor Precorte Pesona]]</f>
        <v>0</v>
      </c>
      <c r="AM372" s="294">
        <f>Tabla14[[#This Row],[Personas Precorte]]</f>
        <v>0</v>
      </c>
      <c r="AN372" s="308">
        <f>Tabla14[[#This Row],[Valor Precorte Pesona Precorte]]*Tabla14[[#This Row],[Perzonas Precorte]]</f>
        <v>0</v>
      </c>
      <c r="AO372" s="287">
        <f>Tabla14[[#This Row],[Cajas por Personas2]]</f>
        <v>9.3333333333333339</v>
      </c>
      <c r="AP372" s="288">
        <f>Tabla14[[#This Row],[Valor Embarque Pesona]]</f>
        <v>16800</v>
      </c>
      <c r="AQ372" s="295">
        <f>Tabla14[[#This Row],[Personas Precorte2]]</f>
        <v>3</v>
      </c>
      <c r="AR372" s="296">
        <f>Tabla14[[#This Row],[Valor Embarque Pesona3]]*Tabla14[[#This Row],[Perzona Primera]]</f>
        <v>50400</v>
      </c>
      <c r="AS372" s="287">
        <f>Tabla14[[#This Row],[Columna2]]</f>
        <v>0</v>
      </c>
      <c r="AT372" s="288">
        <f>Tabla14[[#This Row],[Columna1]]</f>
        <v>0</v>
      </c>
      <c r="AU372" s="302">
        <f>Tabla14[[#This Row],[Personas Intervienen]]</f>
        <v>0</v>
      </c>
      <c r="AV372" s="297">
        <f>Tabla14[[#This Row],[Valor Embarque Pesona5]]*Tabla14[[#This Row],[Presonas Segunda]]</f>
        <v>0</v>
      </c>
      <c r="AW372" s="287">
        <f>Tabla14[[#This Row],[Bolsas Por Personas]]</f>
        <v>8.8800000000000008</v>
      </c>
      <c r="AX372" s="288">
        <f>Tabla14[[#This Row],[Valor bolsas Pesona]]</f>
        <v>5106</v>
      </c>
      <c r="AY372" s="309">
        <f>Tabla14[[#This Row],[Personas13]]</f>
        <v>3</v>
      </c>
      <c r="AZ372" s="310">
        <f>Tabla14[[#This Row],[Valor bolsas Pesona2]]*Tabla14[[#This Row],[Personas Rechazo]]</f>
        <v>15318</v>
      </c>
      <c r="BA372" s="311">
        <f>+Tabla14[[#This Row],[Total Valor Segunda]]+Tabla14[[#This Row],[Total Valor Primera]]+Tabla14[[#This Row],[Total Valor Precorte]]</f>
        <v>50400</v>
      </c>
      <c r="BB372" s="292">
        <f>Tabla14[[#This Row],[Valor bolsas Pesona2]]+Tabla14[[#This Row],[Valor Embarque Pesona3]]</f>
        <v>21906</v>
      </c>
      <c r="BC372" s="332">
        <v>30000</v>
      </c>
      <c r="BD372" s="292">
        <f>Tabla14[[#This Row],[VALOR GANADO]]-Tabla14[[#This Row],[REAJUSTADO]]</f>
        <v>-8094</v>
      </c>
      <c r="BE372" s="250">
        <f>Tabla14[[#This Row],[CUANTO SE REAJUSTA]]*Tabla14[[#This Row],[Personas Rechazo]]</f>
        <v>-24282</v>
      </c>
      <c r="BF372" s="250">
        <f>Tabla14[[#This Row],[REAJUSTADO]]/25000</f>
        <v>1.2</v>
      </c>
      <c r="BG372" s="302">
        <f>Tabla14[[#This Row],[REAJUSTADO]]*Tabla14[[#This Row],[Personas Rechazo]]</f>
        <v>90000</v>
      </c>
      <c r="BH372" s="292" t="str">
        <f>Tabla14[[#This Row],[Finca]]</f>
        <v>Damaquiel</v>
      </c>
      <c r="BJ372" s="332">
        <f>Tabla14[[#This Row],[Numero de Ocacionales]]*Tabla14[[#This Row],[REAJUSTADO]]</f>
        <v>0</v>
      </c>
      <c r="BK372" s="332"/>
      <c r="BL372" s="332"/>
      <c r="BM372" s="332">
        <f>+Tabla14[[#This Row],[CUANTO SE REAJUSTA]]*3</f>
        <v>-24282</v>
      </c>
    </row>
    <row r="373" spans="3:65" x14ac:dyDescent="0.25">
      <c r="C373" s="515">
        <v>45080</v>
      </c>
      <c r="D373" s="507">
        <f>YEAR(Tabla14[[#This Row],[Fecha]])</f>
        <v>2023</v>
      </c>
      <c r="E373" s="516">
        <f>IF(Tabla14[[#This Row],[Fecha]]&gt;0,_xlfn.ISOWEEKNUM(Tabla14[[#This Row],[Fecha]]),0)</f>
        <v>22</v>
      </c>
      <c r="F373" s="283">
        <v>152</v>
      </c>
      <c r="G373" s="275" t="s">
        <v>251</v>
      </c>
      <c r="H373" s="325" t="str">
        <f>_xlfn.XLOOKUP(Tabla14[[#This Row],[Codigo Finca]],Tabla4[Codigo Finca],Tabla4[Nombre Finca],"")</f>
        <v>Pedrito</v>
      </c>
      <c r="I373" s="277">
        <f>_xlfn.XLOOKUP(Tabla14[[#This Row],[Codigo Finca]],Tabla4[Codigo Finca],Tabla4[Precio Caja],0)</f>
        <v>1800</v>
      </c>
      <c r="J373" s="277">
        <f>_xlfn.XLOOKUP(Tabla14[[#This Row],[Codigo Finca]],Tabla4[Codigo Finca],Tabla4[Precio Caja Segunda],0)</f>
        <v>1150</v>
      </c>
      <c r="K373" s="277">
        <f>_xlfn.XLOOKUP(Tabla14[[#This Row],[Codigo Finca]],Tabla4[Codigo Finca],Tabla4[Precio Rechazo],0)</f>
        <v>575</v>
      </c>
      <c r="L373" s="277">
        <f t="shared" si="413"/>
        <v>692</v>
      </c>
      <c r="M373" s="278">
        <f t="shared" si="414"/>
        <v>4.5526315789473681</v>
      </c>
      <c r="N373" s="283"/>
      <c r="O373" s="279"/>
      <c r="P373" s="280">
        <f t="shared" si="415"/>
        <v>0</v>
      </c>
      <c r="Q373" s="281">
        <f t="shared" si="416"/>
        <v>0</v>
      </c>
      <c r="R373" s="282">
        <f t="shared" si="417"/>
        <v>0</v>
      </c>
      <c r="S373" s="283">
        <v>692</v>
      </c>
      <c r="T373" s="275">
        <v>11</v>
      </c>
      <c r="U373" s="280">
        <f t="shared" si="418"/>
        <v>152</v>
      </c>
      <c r="V373" s="281">
        <f t="shared" si="419"/>
        <v>13.818181818181818</v>
      </c>
      <c r="W373" s="282">
        <f t="shared" si="420"/>
        <v>24872.727272727272</v>
      </c>
      <c r="X373" s="283"/>
      <c r="Y373" s="275"/>
      <c r="Z373" s="280">
        <f>Tabla14[[#This Row],[Cajas Segunda]]</f>
        <v>0</v>
      </c>
      <c r="AA373" s="281">
        <f t="shared" si="421"/>
        <v>0</v>
      </c>
      <c r="AB373" s="284">
        <f t="shared" si="422"/>
        <v>0</v>
      </c>
      <c r="AC373" s="285"/>
      <c r="AD373" s="286">
        <v>1370</v>
      </c>
      <c r="AE373" s="286"/>
      <c r="AF373" s="286"/>
      <c r="AG373" s="286">
        <v>11</v>
      </c>
      <c r="AH373" s="280">
        <f t="shared" si="423"/>
        <v>54.8</v>
      </c>
      <c r="AI373" s="281">
        <f t="shared" si="424"/>
        <v>4.9818181818181815</v>
      </c>
      <c r="AJ373" s="282">
        <f t="shared" si="425"/>
        <v>2864.5454545454545</v>
      </c>
      <c r="AK373" s="287">
        <f>Tabla14[[#This Row],[Cajas por Personas]]</f>
        <v>0</v>
      </c>
      <c r="AL373" s="288">
        <f>Tabla14[[#This Row],[Valor Precorte Pesona]]</f>
        <v>0</v>
      </c>
      <c r="AM373" s="294">
        <f>Tabla14[[#This Row],[Personas Precorte]]</f>
        <v>0</v>
      </c>
      <c r="AN373" s="308">
        <f>Tabla14[[#This Row],[Valor Precorte Pesona Precorte]]*Tabla14[[#This Row],[Perzonas Precorte]]</f>
        <v>0</v>
      </c>
      <c r="AO373" s="287">
        <f>Tabla14[[#This Row],[Cajas por Personas2]]</f>
        <v>13.818181818181818</v>
      </c>
      <c r="AP373" s="288">
        <f>Tabla14[[#This Row],[Valor Embarque Pesona]]</f>
        <v>24872.727272727272</v>
      </c>
      <c r="AQ373" s="295">
        <f>Tabla14[[#This Row],[Personas Precorte2]]</f>
        <v>11</v>
      </c>
      <c r="AR373" s="296">
        <f>Tabla14[[#This Row],[Valor Embarque Pesona3]]*Tabla14[[#This Row],[Perzona Primera]]</f>
        <v>273600</v>
      </c>
      <c r="AS373" s="287">
        <f>Tabla14[[#This Row],[Columna2]]</f>
        <v>0</v>
      </c>
      <c r="AT373" s="288">
        <f>Tabla14[[#This Row],[Columna1]]</f>
        <v>0</v>
      </c>
      <c r="AU373" s="302">
        <f>Tabla14[[#This Row],[Personas Intervienen]]</f>
        <v>0</v>
      </c>
      <c r="AV373" s="297">
        <f>Tabla14[[#This Row],[Valor Embarque Pesona5]]*Tabla14[[#This Row],[Presonas Segunda]]</f>
        <v>0</v>
      </c>
      <c r="AW373" s="287">
        <f>Tabla14[[#This Row],[Bolsas Por Personas]]</f>
        <v>4.9818181818181815</v>
      </c>
      <c r="AX373" s="288">
        <f>Tabla14[[#This Row],[Valor bolsas Pesona]]</f>
        <v>2864.5454545454545</v>
      </c>
      <c r="AY373" s="309">
        <f>Tabla14[[#This Row],[Personas13]]</f>
        <v>11</v>
      </c>
      <c r="AZ373" s="310">
        <f>Tabla14[[#This Row],[Valor bolsas Pesona2]]*Tabla14[[#This Row],[Personas Rechazo]]</f>
        <v>31510</v>
      </c>
      <c r="BA373" s="311">
        <f>+Tabla14[[#This Row],[Total Valor Segunda]]+Tabla14[[#This Row],[Total Valor Primera]]+Tabla14[[#This Row],[Total Valor Precorte]]</f>
        <v>273600</v>
      </c>
      <c r="BB373" s="292">
        <f>Tabla14[[#This Row],[Valor bolsas Pesona2]]+Tabla14[[#This Row],[Valor Embarque Pesona3]]</f>
        <v>27737.272727272728</v>
      </c>
      <c r="BC373" s="332">
        <v>30000</v>
      </c>
      <c r="BD373" s="292">
        <f>Tabla14[[#This Row],[VALOR GANADO]]-Tabla14[[#This Row],[REAJUSTADO]]</f>
        <v>-2262.7272727272721</v>
      </c>
      <c r="BE373" s="250">
        <f>Tabla14[[#This Row],[CUANTO SE REAJUSTA]]*Tabla14[[#This Row],[Personas Rechazo]]</f>
        <v>-24889.999999999993</v>
      </c>
      <c r="BF373" s="250">
        <f>Tabla14[[#This Row],[REAJUSTADO]]/25000</f>
        <v>1.2</v>
      </c>
      <c r="BG373" s="302">
        <f>Tabla14[[#This Row],[REAJUSTADO]]*Tabla14[[#This Row],[Personas Rechazo]]</f>
        <v>330000</v>
      </c>
      <c r="BH373" s="292" t="str">
        <f>Tabla14[[#This Row],[Finca]]</f>
        <v>Pedrito</v>
      </c>
      <c r="BJ373" s="332">
        <f>Tabla14[[#This Row],[Numero de Ocacionales]]*Tabla14[[#This Row],[REAJUSTADO]]</f>
        <v>0</v>
      </c>
      <c r="BK373" s="332"/>
      <c r="BL373" s="332"/>
      <c r="BM373" s="332">
        <f>+Tabla14[[#This Row],[CUANTO SE REAJUSTA]]*3</f>
        <v>-6788.1818181818162</v>
      </c>
    </row>
    <row r="374" spans="3:65" x14ac:dyDescent="0.25">
      <c r="C374" s="515">
        <v>45083</v>
      </c>
      <c r="D374" s="507">
        <f>YEAR(Tabla14[[#This Row],[Fecha]])</f>
        <v>2023</v>
      </c>
      <c r="E374" s="516">
        <f>IF(Tabla14[[#This Row],[Fecha]]&gt;0,_xlfn.ISOWEEKNUM(Tabla14[[#This Row],[Fecha]]),0)</f>
        <v>23</v>
      </c>
      <c r="F374" s="283">
        <v>22</v>
      </c>
      <c r="G374" s="275" t="s">
        <v>250</v>
      </c>
      <c r="H374" s="325" t="str">
        <f>_xlfn.XLOOKUP(Tabla14[[#This Row],[Codigo Finca]],Tabla4[Codigo Finca],Tabla4[Nombre Finca],"")</f>
        <v>San Pedro</v>
      </c>
      <c r="I374" s="277">
        <f>_xlfn.XLOOKUP(Tabla14[[#This Row],[Codigo Finca]],Tabla4[Codigo Finca],Tabla4[Precio Caja],0)</f>
        <v>1800</v>
      </c>
      <c r="J374" s="277">
        <f>_xlfn.XLOOKUP(Tabla14[[#This Row],[Codigo Finca]],Tabla4[Codigo Finca],Tabla4[Precio Caja Segunda],0)</f>
        <v>1150</v>
      </c>
      <c r="K374" s="277">
        <f>_xlfn.XLOOKUP(Tabla14[[#This Row],[Codigo Finca]],Tabla4[Codigo Finca],Tabla4[Precio Rechazo],0)</f>
        <v>575</v>
      </c>
      <c r="L374" s="277">
        <f t="shared" si="413"/>
        <v>122</v>
      </c>
      <c r="M374" s="278">
        <f t="shared" si="414"/>
        <v>5.5454545454545459</v>
      </c>
      <c r="N374" s="283"/>
      <c r="O374" s="279"/>
      <c r="P374" s="280">
        <f t="shared" si="415"/>
        <v>0</v>
      </c>
      <c r="Q374" s="281">
        <f t="shared" si="416"/>
        <v>0</v>
      </c>
      <c r="R374" s="282">
        <f t="shared" si="417"/>
        <v>0</v>
      </c>
      <c r="S374" s="283">
        <v>122</v>
      </c>
      <c r="T374" s="275">
        <v>2</v>
      </c>
      <c r="U374" s="280">
        <f t="shared" si="418"/>
        <v>22</v>
      </c>
      <c r="V374" s="281">
        <f t="shared" si="419"/>
        <v>11</v>
      </c>
      <c r="W374" s="282">
        <f t="shared" si="420"/>
        <v>19800</v>
      </c>
      <c r="X374" s="283"/>
      <c r="Y374" s="275"/>
      <c r="Z374" s="280">
        <f>Tabla14[[#This Row],[Cajas Segunda]]</f>
        <v>0</v>
      </c>
      <c r="AA374" s="281">
        <f t="shared" si="421"/>
        <v>0</v>
      </c>
      <c r="AB374" s="284">
        <f t="shared" si="422"/>
        <v>0</v>
      </c>
      <c r="AC374" s="285"/>
      <c r="AD374" s="286">
        <v>318</v>
      </c>
      <c r="AE374" s="286"/>
      <c r="AF374" s="286"/>
      <c r="AG374" s="286">
        <v>2</v>
      </c>
      <c r="AH374" s="280">
        <f t="shared" si="423"/>
        <v>12.72</v>
      </c>
      <c r="AI374" s="281">
        <f t="shared" si="424"/>
        <v>6.36</v>
      </c>
      <c r="AJ374" s="282">
        <f t="shared" si="425"/>
        <v>3657</v>
      </c>
      <c r="AK374" s="287">
        <f>Tabla14[[#This Row],[Cajas por Personas]]</f>
        <v>0</v>
      </c>
      <c r="AL374" s="288">
        <f>Tabla14[[#This Row],[Valor Precorte Pesona]]</f>
        <v>0</v>
      </c>
      <c r="AM374" s="294">
        <f>Tabla14[[#This Row],[Personas Precorte]]</f>
        <v>0</v>
      </c>
      <c r="AN374" s="308">
        <f>Tabla14[[#This Row],[Valor Precorte Pesona Precorte]]*Tabla14[[#This Row],[Perzonas Precorte]]</f>
        <v>0</v>
      </c>
      <c r="AO374" s="287">
        <f>Tabla14[[#This Row],[Cajas por Personas2]]</f>
        <v>11</v>
      </c>
      <c r="AP374" s="288">
        <f>Tabla14[[#This Row],[Valor Embarque Pesona]]</f>
        <v>19800</v>
      </c>
      <c r="AQ374" s="295">
        <f>Tabla14[[#This Row],[Personas Precorte2]]</f>
        <v>2</v>
      </c>
      <c r="AR374" s="296">
        <f>Tabla14[[#This Row],[Valor Embarque Pesona3]]*Tabla14[[#This Row],[Perzona Primera]]</f>
        <v>39600</v>
      </c>
      <c r="AS374" s="287">
        <f>Tabla14[[#This Row],[Columna2]]</f>
        <v>0</v>
      </c>
      <c r="AT374" s="288">
        <f>Tabla14[[#This Row],[Columna1]]</f>
        <v>0</v>
      </c>
      <c r="AU374" s="302">
        <f>Tabla14[[#This Row],[Personas Intervienen]]</f>
        <v>0</v>
      </c>
      <c r="AV374" s="297">
        <f>Tabla14[[#This Row],[Valor Embarque Pesona5]]*Tabla14[[#This Row],[Presonas Segunda]]</f>
        <v>0</v>
      </c>
      <c r="AW374" s="287">
        <f>Tabla14[[#This Row],[Bolsas Por Personas]]</f>
        <v>6.36</v>
      </c>
      <c r="AX374" s="288">
        <f>Tabla14[[#This Row],[Valor bolsas Pesona]]</f>
        <v>3657</v>
      </c>
      <c r="AY374" s="309">
        <f>Tabla14[[#This Row],[Personas13]]</f>
        <v>2</v>
      </c>
      <c r="AZ374" s="310">
        <f>Tabla14[[#This Row],[Valor bolsas Pesona2]]*Tabla14[[#This Row],[Personas Rechazo]]</f>
        <v>7314</v>
      </c>
      <c r="BA374" s="311">
        <f>+Tabla14[[#This Row],[Total Valor Segunda]]+Tabla14[[#This Row],[Total Valor Primera]]+Tabla14[[#This Row],[Total Valor Precorte]]</f>
        <v>39600</v>
      </c>
      <c r="BB374" s="292">
        <f>Tabla14[[#This Row],[Valor bolsas Pesona2]]+Tabla14[[#This Row],[Valor Embarque Pesona3]]</f>
        <v>23457</v>
      </c>
      <c r="BC374" s="332">
        <v>30000</v>
      </c>
      <c r="BD374" s="292">
        <f>Tabla14[[#This Row],[VALOR GANADO]]-Tabla14[[#This Row],[REAJUSTADO]]</f>
        <v>-6543</v>
      </c>
      <c r="BE374" s="250">
        <f>Tabla14[[#This Row],[CUANTO SE REAJUSTA]]*Tabla14[[#This Row],[Personas Rechazo]]</f>
        <v>-13086</v>
      </c>
      <c r="BF374" s="250">
        <f>Tabla14[[#This Row],[REAJUSTADO]]/25000</f>
        <v>1.2</v>
      </c>
      <c r="BG374" s="302">
        <f>Tabla14[[#This Row],[REAJUSTADO]]*Tabla14[[#This Row],[Personas Rechazo]]</f>
        <v>60000</v>
      </c>
      <c r="BH374" s="292" t="str">
        <f>Tabla14[[#This Row],[Finca]]</f>
        <v>San Pedro</v>
      </c>
      <c r="BJ374" s="332">
        <f>Tabla14[[#This Row],[Numero de Ocacionales]]*Tabla14[[#This Row],[REAJUSTADO]]</f>
        <v>0</v>
      </c>
      <c r="BK374" s="332"/>
      <c r="BL374" s="332"/>
      <c r="BM374" s="332">
        <f>+Tabla14[[#This Row],[CUANTO SE REAJUSTA]]*3</f>
        <v>-19629</v>
      </c>
    </row>
    <row r="375" spans="3:65" x14ac:dyDescent="0.25">
      <c r="C375" s="515">
        <v>45083</v>
      </c>
      <c r="D375" s="507">
        <f>YEAR(Tabla14[[#This Row],[Fecha]])</f>
        <v>2023</v>
      </c>
      <c r="E375" s="516">
        <f>IF(Tabla14[[#This Row],[Fecha]]&gt;0,_xlfn.ISOWEEKNUM(Tabla14[[#This Row],[Fecha]]),0)</f>
        <v>23</v>
      </c>
      <c r="F375" s="283">
        <v>40</v>
      </c>
      <c r="G375" s="275" t="s">
        <v>247</v>
      </c>
      <c r="H375" s="325" t="str">
        <f>_xlfn.XLOOKUP(Tabla14[[#This Row],[Codigo Finca]],Tabla4[Codigo Finca],Tabla4[Nombre Finca],"")</f>
        <v>Uveros</v>
      </c>
      <c r="I375" s="277">
        <f>_xlfn.XLOOKUP(Tabla14[[#This Row],[Codigo Finca]],Tabla4[Codigo Finca],Tabla4[Precio Caja],0)</f>
        <v>1800</v>
      </c>
      <c r="J375" s="277">
        <f>_xlfn.XLOOKUP(Tabla14[[#This Row],[Codigo Finca]],Tabla4[Codigo Finca],Tabla4[Precio Caja Segunda],0)</f>
        <v>1150</v>
      </c>
      <c r="K375" s="277">
        <f>_xlfn.XLOOKUP(Tabla14[[#This Row],[Codigo Finca]],Tabla4[Codigo Finca],Tabla4[Precio Rechazo],0)</f>
        <v>575</v>
      </c>
      <c r="L375" s="277">
        <f t="shared" si="413"/>
        <v>240</v>
      </c>
      <c r="M375" s="278">
        <f t="shared" si="414"/>
        <v>6</v>
      </c>
      <c r="N375" s="283"/>
      <c r="O375" s="279"/>
      <c r="P375" s="280">
        <f t="shared" si="415"/>
        <v>0</v>
      </c>
      <c r="Q375" s="281">
        <f t="shared" si="416"/>
        <v>0</v>
      </c>
      <c r="R375" s="282">
        <f t="shared" si="417"/>
        <v>0</v>
      </c>
      <c r="S375" s="283">
        <v>240</v>
      </c>
      <c r="T375" s="275">
        <v>3</v>
      </c>
      <c r="U375" s="280">
        <f t="shared" si="418"/>
        <v>40</v>
      </c>
      <c r="V375" s="281">
        <f t="shared" si="419"/>
        <v>13.333333333333334</v>
      </c>
      <c r="W375" s="282">
        <f t="shared" si="420"/>
        <v>24000</v>
      </c>
      <c r="X375" s="283"/>
      <c r="Y375" s="275"/>
      <c r="Z375" s="280">
        <f>Tabla14[[#This Row],[Cajas Segunda]]</f>
        <v>0</v>
      </c>
      <c r="AA375" s="281">
        <f t="shared" si="421"/>
        <v>0</v>
      </c>
      <c r="AB375" s="284">
        <f t="shared" si="422"/>
        <v>0</v>
      </c>
      <c r="AC375" s="285"/>
      <c r="AD375" s="286">
        <f>22+514</f>
        <v>536</v>
      </c>
      <c r="AE375" s="286"/>
      <c r="AF375" s="286"/>
      <c r="AG375" s="286">
        <v>3</v>
      </c>
      <c r="AH375" s="280">
        <f t="shared" si="423"/>
        <v>21.44</v>
      </c>
      <c r="AI375" s="281">
        <f t="shared" si="424"/>
        <v>7.1466666666666674</v>
      </c>
      <c r="AJ375" s="282">
        <f t="shared" si="425"/>
        <v>4109.3333333333339</v>
      </c>
      <c r="AK375" s="287">
        <f>Tabla14[[#This Row],[Cajas por Personas]]</f>
        <v>0</v>
      </c>
      <c r="AL375" s="288">
        <f>Tabla14[[#This Row],[Valor Precorte Pesona]]</f>
        <v>0</v>
      </c>
      <c r="AM375" s="294">
        <f>Tabla14[[#This Row],[Personas Precorte]]</f>
        <v>0</v>
      </c>
      <c r="AN375" s="308">
        <f>Tabla14[[#This Row],[Valor Precorte Pesona Precorte]]*Tabla14[[#This Row],[Perzonas Precorte]]</f>
        <v>0</v>
      </c>
      <c r="AO375" s="287">
        <f>Tabla14[[#This Row],[Cajas por Personas2]]</f>
        <v>13.333333333333334</v>
      </c>
      <c r="AP375" s="288">
        <f>Tabla14[[#This Row],[Valor Embarque Pesona]]</f>
        <v>24000</v>
      </c>
      <c r="AQ375" s="295">
        <f>Tabla14[[#This Row],[Personas Precorte2]]</f>
        <v>3</v>
      </c>
      <c r="AR375" s="296">
        <f>Tabla14[[#This Row],[Valor Embarque Pesona3]]*Tabla14[[#This Row],[Perzona Primera]]</f>
        <v>72000</v>
      </c>
      <c r="AS375" s="287">
        <f>Tabla14[[#This Row],[Columna2]]</f>
        <v>0</v>
      </c>
      <c r="AT375" s="288">
        <f>Tabla14[[#This Row],[Columna1]]</f>
        <v>0</v>
      </c>
      <c r="AU375" s="302">
        <f>Tabla14[[#This Row],[Personas Intervienen]]</f>
        <v>0</v>
      </c>
      <c r="AV375" s="297">
        <f>Tabla14[[#This Row],[Valor Embarque Pesona5]]*Tabla14[[#This Row],[Presonas Segunda]]</f>
        <v>0</v>
      </c>
      <c r="AW375" s="287">
        <f>Tabla14[[#This Row],[Bolsas Por Personas]]</f>
        <v>7.1466666666666674</v>
      </c>
      <c r="AX375" s="288">
        <f>Tabla14[[#This Row],[Valor bolsas Pesona]]</f>
        <v>4109.3333333333339</v>
      </c>
      <c r="AY375" s="309">
        <f>Tabla14[[#This Row],[Personas13]]</f>
        <v>3</v>
      </c>
      <c r="AZ375" s="310">
        <f>Tabla14[[#This Row],[Valor bolsas Pesona2]]*Tabla14[[#This Row],[Personas Rechazo]]</f>
        <v>12328.000000000002</v>
      </c>
      <c r="BA375" s="311">
        <f>+Tabla14[[#This Row],[Total Valor Segunda]]+Tabla14[[#This Row],[Total Valor Primera]]+Tabla14[[#This Row],[Total Valor Precorte]]</f>
        <v>72000</v>
      </c>
      <c r="BB375" s="292">
        <f>Tabla14[[#This Row],[Valor bolsas Pesona2]]+Tabla14[[#This Row],[Valor Embarque Pesona3]]</f>
        <v>28109.333333333336</v>
      </c>
      <c r="BC375" s="332">
        <v>30000</v>
      </c>
      <c r="BD375" s="292">
        <f>Tabla14[[#This Row],[VALOR GANADO]]-Tabla14[[#This Row],[REAJUSTADO]]</f>
        <v>-1890.6666666666642</v>
      </c>
      <c r="BE375" s="250">
        <f>Tabla14[[#This Row],[CUANTO SE REAJUSTA]]*Tabla14[[#This Row],[Personas Rechazo]]</f>
        <v>-5671.9999999999927</v>
      </c>
      <c r="BF375" s="250">
        <f>Tabla14[[#This Row],[REAJUSTADO]]/25000</f>
        <v>1.2</v>
      </c>
      <c r="BG375" s="302">
        <f>Tabla14[[#This Row],[REAJUSTADO]]*Tabla14[[#This Row],[Personas Rechazo]]</f>
        <v>90000</v>
      </c>
      <c r="BH375" s="292" t="str">
        <f>Tabla14[[#This Row],[Finca]]</f>
        <v>Uveros</v>
      </c>
      <c r="BJ375" s="332">
        <f>Tabla14[[#This Row],[Numero de Ocacionales]]*Tabla14[[#This Row],[REAJUSTADO]]</f>
        <v>0</v>
      </c>
      <c r="BK375" s="332"/>
      <c r="BL375" s="332"/>
      <c r="BM375" s="332">
        <f>+Tabla14[[#This Row],[CUANTO SE REAJUSTA]]*3</f>
        <v>-5671.9999999999927</v>
      </c>
    </row>
    <row r="376" spans="3:65" x14ac:dyDescent="0.25">
      <c r="C376" s="515">
        <v>45084</v>
      </c>
      <c r="D376" s="507">
        <f>YEAR(Tabla14[[#This Row],[Fecha]])</f>
        <v>2023</v>
      </c>
      <c r="E376" s="516">
        <f>IF(Tabla14[[#This Row],[Fecha]]&gt;0,_xlfn.ISOWEEKNUM(Tabla14[[#This Row],[Fecha]]),0)</f>
        <v>23</v>
      </c>
      <c r="F376" s="283">
        <v>24</v>
      </c>
      <c r="G376" s="275" t="s">
        <v>248</v>
      </c>
      <c r="H376" s="325" t="str">
        <f>_xlfn.XLOOKUP(Tabla14[[#This Row],[Codigo Finca]],Tabla4[Codigo Finca],Tabla4[Nombre Finca],"")</f>
        <v>Damaquiel</v>
      </c>
      <c r="I376" s="277">
        <f>_xlfn.XLOOKUP(Tabla14[[#This Row],[Codigo Finca]],Tabla4[Codigo Finca],Tabla4[Precio Caja],0)</f>
        <v>1800</v>
      </c>
      <c r="J376" s="277">
        <f>_xlfn.XLOOKUP(Tabla14[[#This Row],[Codigo Finca]],Tabla4[Codigo Finca],Tabla4[Precio Caja Segunda],0)</f>
        <v>1150</v>
      </c>
      <c r="K376" s="277">
        <f>_xlfn.XLOOKUP(Tabla14[[#This Row],[Codigo Finca]],Tabla4[Codigo Finca],Tabla4[Precio Rechazo],0)</f>
        <v>575</v>
      </c>
      <c r="L376" s="277">
        <f t="shared" si="413"/>
        <v>130</v>
      </c>
      <c r="M376" s="278">
        <f t="shared" si="414"/>
        <v>5.416666666666667</v>
      </c>
      <c r="N376" s="283"/>
      <c r="O376" s="279"/>
      <c r="P376" s="280">
        <f t="shared" si="415"/>
        <v>0</v>
      </c>
      <c r="Q376" s="281">
        <f t="shared" si="416"/>
        <v>0</v>
      </c>
      <c r="R376" s="282">
        <f t="shared" si="417"/>
        <v>0</v>
      </c>
      <c r="S376" s="283">
        <v>130</v>
      </c>
      <c r="T376" s="275">
        <v>4</v>
      </c>
      <c r="U376" s="280">
        <f t="shared" si="418"/>
        <v>24</v>
      </c>
      <c r="V376" s="281">
        <f t="shared" si="419"/>
        <v>6</v>
      </c>
      <c r="W376" s="282">
        <f t="shared" si="420"/>
        <v>10800</v>
      </c>
      <c r="X376" s="283"/>
      <c r="Y376" s="275"/>
      <c r="Z376" s="280">
        <f>Tabla14[[#This Row],[Cajas Segunda]]</f>
        <v>0</v>
      </c>
      <c r="AA376" s="281">
        <f t="shared" si="421"/>
        <v>0</v>
      </c>
      <c r="AB376" s="284">
        <f t="shared" si="422"/>
        <v>0</v>
      </c>
      <c r="AC376" s="285"/>
      <c r="AD376" s="286">
        <v>133</v>
      </c>
      <c r="AE376" s="286"/>
      <c r="AF376" s="286"/>
      <c r="AG376" s="286">
        <v>4</v>
      </c>
      <c r="AH376" s="280">
        <f t="shared" si="423"/>
        <v>5.32</v>
      </c>
      <c r="AI376" s="281">
        <f t="shared" si="424"/>
        <v>1.33</v>
      </c>
      <c r="AJ376" s="282">
        <f t="shared" si="425"/>
        <v>764.75</v>
      </c>
      <c r="AK376" s="287">
        <f>Tabla14[[#This Row],[Cajas por Personas]]</f>
        <v>0</v>
      </c>
      <c r="AL376" s="288">
        <f>Tabla14[[#This Row],[Valor Precorte Pesona]]</f>
        <v>0</v>
      </c>
      <c r="AM376" s="294">
        <f>Tabla14[[#This Row],[Personas Precorte]]</f>
        <v>0</v>
      </c>
      <c r="AN376" s="308">
        <f>Tabla14[[#This Row],[Valor Precorte Pesona Precorte]]*Tabla14[[#This Row],[Perzonas Precorte]]</f>
        <v>0</v>
      </c>
      <c r="AO376" s="287">
        <f>Tabla14[[#This Row],[Cajas por Personas2]]</f>
        <v>6</v>
      </c>
      <c r="AP376" s="288">
        <f>Tabla14[[#This Row],[Valor Embarque Pesona]]</f>
        <v>10800</v>
      </c>
      <c r="AQ376" s="295">
        <f>Tabla14[[#This Row],[Personas Precorte2]]</f>
        <v>4</v>
      </c>
      <c r="AR376" s="296">
        <f>Tabla14[[#This Row],[Valor Embarque Pesona3]]*Tabla14[[#This Row],[Perzona Primera]]</f>
        <v>43200</v>
      </c>
      <c r="AS376" s="287">
        <f>Tabla14[[#This Row],[Columna2]]</f>
        <v>0</v>
      </c>
      <c r="AT376" s="288">
        <f>Tabla14[[#This Row],[Columna1]]</f>
        <v>0</v>
      </c>
      <c r="AU376" s="302">
        <f>Tabla14[[#This Row],[Personas Intervienen]]</f>
        <v>0</v>
      </c>
      <c r="AV376" s="297">
        <f>Tabla14[[#This Row],[Valor Embarque Pesona5]]*Tabla14[[#This Row],[Presonas Segunda]]</f>
        <v>0</v>
      </c>
      <c r="AW376" s="287">
        <f>Tabla14[[#This Row],[Bolsas Por Personas]]</f>
        <v>1.33</v>
      </c>
      <c r="AX376" s="288">
        <f>Tabla14[[#This Row],[Valor bolsas Pesona]]</f>
        <v>764.75</v>
      </c>
      <c r="AY376" s="309">
        <f>Tabla14[[#This Row],[Personas13]]</f>
        <v>4</v>
      </c>
      <c r="AZ376" s="310">
        <f>Tabla14[[#This Row],[Valor bolsas Pesona2]]*Tabla14[[#This Row],[Personas Rechazo]]</f>
        <v>3059</v>
      </c>
      <c r="BA376" s="311">
        <f>+Tabla14[[#This Row],[Total Valor Segunda]]+Tabla14[[#This Row],[Total Valor Primera]]+Tabla14[[#This Row],[Total Valor Precorte]]</f>
        <v>43200</v>
      </c>
      <c r="BB376" s="292">
        <f>Tabla14[[#This Row],[Valor bolsas Pesona2]]+Tabla14[[#This Row],[Valor Embarque Pesona3]]</f>
        <v>11564.75</v>
      </c>
      <c r="BC376" s="332">
        <v>30000</v>
      </c>
      <c r="BD376" s="292">
        <f>Tabla14[[#This Row],[VALOR GANADO]]-Tabla14[[#This Row],[REAJUSTADO]]</f>
        <v>-18435.25</v>
      </c>
      <c r="BE376" s="250">
        <f>Tabla14[[#This Row],[CUANTO SE REAJUSTA]]*Tabla14[[#This Row],[Personas Rechazo]]</f>
        <v>-73741</v>
      </c>
      <c r="BF376" s="250">
        <f>Tabla14[[#This Row],[REAJUSTADO]]/25000</f>
        <v>1.2</v>
      </c>
      <c r="BG376" s="302">
        <f>Tabla14[[#This Row],[REAJUSTADO]]*Tabla14[[#This Row],[Personas Rechazo]]</f>
        <v>120000</v>
      </c>
      <c r="BH376" s="292" t="str">
        <f>Tabla14[[#This Row],[Finca]]</f>
        <v>Damaquiel</v>
      </c>
      <c r="BJ376" s="332">
        <f>Tabla14[[#This Row],[Numero de Ocacionales]]*Tabla14[[#This Row],[REAJUSTADO]]</f>
        <v>0</v>
      </c>
      <c r="BK376" s="332"/>
      <c r="BL376" s="332"/>
      <c r="BM376" s="332">
        <f>+Tabla14[[#This Row],[CUANTO SE REAJUSTA]]*3</f>
        <v>-55305.75</v>
      </c>
    </row>
    <row r="377" spans="3:65" x14ac:dyDescent="0.25">
      <c r="C377" s="515">
        <v>45090</v>
      </c>
      <c r="D377" s="507">
        <f>YEAR(Tabla14[[#This Row],[Fecha]])</f>
        <v>2023</v>
      </c>
      <c r="E377" s="516">
        <f>IF(Tabla14[[#This Row],[Fecha]]&gt;0,_xlfn.ISOWEEKNUM(Tabla14[[#This Row],[Fecha]]),0)</f>
        <v>24</v>
      </c>
      <c r="F377" s="283">
        <v>30</v>
      </c>
      <c r="G377" s="275" t="s">
        <v>250</v>
      </c>
      <c r="H377" s="325" t="str">
        <f>_xlfn.XLOOKUP(Tabla14[[#This Row],[Codigo Finca]],Tabla4[Codigo Finca],Tabla4[Nombre Finca],"")</f>
        <v>San Pedro</v>
      </c>
      <c r="I377" s="277">
        <f>_xlfn.XLOOKUP(Tabla14[[#This Row],[Codigo Finca]],Tabla4[Codigo Finca],Tabla4[Precio Caja],0)</f>
        <v>1800</v>
      </c>
      <c r="J377" s="277">
        <f>_xlfn.XLOOKUP(Tabla14[[#This Row],[Codigo Finca]],Tabla4[Codigo Finca],Tabla4[Precio Caja Segunda],0)</f>
        <v>1150</v>
      </c>
      <c r="K377" s="277">
        <f>_xlfn.XLOOKUP(Tabla14[[#This Row],[Codigo Finca]],Tabla4[Codigo Finca],Tabla4[Precio Rechazo],0)</f>
        <v>575</v>
      </c>
      <c r="L377" s="277">
        <f t="shared" si="413"/>
        <v>0</v>
      </c>
      <c r="M377" s="278">
        <f t="shared" si="414"/>
        <v>0</v>
      </c>
      <c r="N377" s="283"/>
      <c r="O377" s="279"/>
      <c r="P377" s="280">
        <f t="shared" si="415"/>
        <v>0</v>
      </c>
      <c r="Q377" s="281">
        <f t="shared" si="416"/>
        <v>0</v>
      </c>
      <c r="R377" s="282">
        <f t="shared" si="417"/>
        <v>0</v>
      </c>
      <c r="S377" s="283"/>
      <c r="T377" s="275">
        <v>12</v>
      </c>
      <c r="U377" s="280">
        <f t="shared" si="418"/>
        <v>30</v>
      </c>
      <c r="V377" s="281">
        <f t="shared" si="419"/>
        <v>2.5</v>
      </c>
      <c r="W377" s="282">
        <f t="shared" si="420"/>
        <v>4500</v>
      </c>
      <c r="X377" s="283"/>
      <c r="Y377" s="275"/>
      <c r="Z377" s="280">
        <f>Tabla14[[#This Row],[Cajas Segunda]]</f>
        <v>0</v>
      </c>
      <c r="AA377" s="281">
        <f t="shared" si="421"/>
        <v>0</v>
      </c>
      <c r="AB377" s="284">
        <f t="shared" si="422"/>
        <v>0</v>
      </c>
      <c r="AC377" s="285"/>
      <c r="AD377" s="286">
        <v>345.78</v>
      </c>
      <c r="AE377" s="286"/>
      <c r="AF377" s="286"/>
      <c r="AG377" s="286">
        <v>12</v>
      </c>
      <c r="AH377" s="280">
        <f t="shared" si="423"/>
        <v>13.831199999999999</v>
      </c>
      <c r="AI377" s="281">
        <f t="shared" si="424"/>
        <v>1.1525999999999998</v>
      </c>
      <c r="AJ377" s="282">
        <f t="shared" si="425"/>
        <v>662.74499999999989</v>
      </c>
      <c r="AK377" s="287">
        <f>Tabla14[[#This Row],[Cajas por Personas]]</f>
        <v>0</v>
      </c>
      <c r="AL377" s="288">
        <f>Tabla14[[#This Row],[Valor Precorte Pesona]]</f>
        <v>0</v>
      </c>
      <c r="AM377" s="294">
        <f>Tabla14[[#This Row],[Personas Precorte]]</f>
        <v>0</v>
      </c>
      <c r="AN377" s="308">
        <f>Tabla14[[#This Row],[Valor Precorte Pesona Precorte]]*Tabla14[[#This Row],[Perzonas Precorte]]</f>
        <v>0</v>
      </c>
      <c r="AO377" s="287">
        <f>Tabla14[[#This Row],[Cajas por Personas2]]</f>
        <v>2.5</v>
      </c>
      <c r="AP377" s="288">
        <f>Tabla14[[#This Row],[Valor Embarque Pesona]]</f>
        <v>4500</v>
      </c>
      <c r="AQ377" s="295">
        <f>Tabla14[[#This Row],[Personas Precorte2]]</f>
        <v>12</v>
      </c>
      <c r="AR377" s="296">
        <f>Tabla14[[#This Row],[Valor Embarque Pesona3]]*Tabla14[[#This Row],[Perzona Primera]]</f>
        <v>54000</v>
      </c>
      <c r="AS377" s="287">
        <f>Tabla14[[#This Row],[Columna2]]</f>
        <v>0</v>
      </c>
      <c r="AT377" s="288">
        <f>Tabla14[[#This Row],[Columna1]]</f>
        <v>0</v>
      </c>
      <c r="AU377" s="302">
        <f>Tabla14[[#This Row],[Personas Intervienen]]</f>
        <v>0</v>
      </c>
      <c r="AV377" s="297">
        <f>Tabla14[[#This Row],[Valor Embarque Pesona5]]*Tabla14[[#This Row],[Presonas Segunda]]</f>
        <v>0</v>
      </c>
      <c r="AW377" s="287">
        <f>Tabla14[[#This Row],[Bolsas Por Personas]]</f>
        <v>1.1525999999999998</v>
      </c>
      <c r="AX377" s="288">
        <f>Tabla14[[#This Row],[Valor bolsas Pesona]]</f>
        <v>662.74499999999989</v>
      </c>
      <c r="AY377" s="309">
        <f>Tabla14[[#This Row],[Personas13]]</f>
        <v>12</v>
      </c>
      <c r="AZ377" s="310">
        <f>Tabla14[[#This Row],[Valor bolsas Pesona2]]*Tabla14[[#This Row],[Personas Rechazo]]</f>
        <v>7952.9399999999987</v>
      </c>
      <c r="BA377" s="311">
        <f>+Tabla14[[#This Row],[Total Valor Segunda]]+Tabla14[[#This Row],[Total Valor Primera]]+Tabla14[[#This Row],[Total Valor Precorte]]</f>
        <v>54000</v>
      </c>
      <c r="BB377" s="538">
        <f>Tabla14[[#This Row],[Valor bolsas Pesona2]]+Tabla14[[#This Row],[Valor Embarque Pesona3]]</f>
        <v>5162.7449999999999</v>
      </c>
      <c r="BC377" s="542"/>
      <c r="BD377" s="538">
        <f>Tabla14[[#This Row],[VALOR GANADO]]-Tabla14[[#This Row],[REAJUSTADO]]</f>
        <v>5162.7449999999999</v>
      </c>
      <c r="BE377" s="250">
        <f>Tabla14[[#This Row],[CUANTO SE REAJUSTA]]*Tabla14[[#This Row],[Personas Rechazo]]</f>
        <v>61952.94</v>
      </c>
      <c r="BF377" s="250">
        <f>Tabla14[[#This Row],[REAJUSTADO]]/25000</f>
        <v>0</v>
      </c>
      <c r="BG377" s="302">
        <f>Tabla14[[#This Row],[REAJUSTADO]]*Tabla14[[#This Row],[Personas Rechazo]]</f>
        <v>0</v>
      </c>
      <c r="BH377" s="292" t="str">
        <f>Tabla14[[#This Row],[Finca]]</f>
        <v>San Pedro</v>
      </c>
      <c r="BJ377" s="332">
        <f>Tabla14[[#This Row],[Numero de Ocacionales]]*Tabla14[[#This Row],[REAJUSTADO]]</f>
        <v>0</v>
      </c>
      <c r="BK377" s="332"/>
      <c r="BL377" s="332"/>
      <c r="BM377" s="332">
        <f>+Tabla14[[#This Row],[CUANTO SE REAJUSTA]]*3</f>
        <v>15488.235000000001</v>
      </c>
    </row>
    <row r="378" spans="3:65" x14ac:dyDescent="0.25">
      <c r="C378" s="515">
        <v>45091</v>
      </c>
      <c r="D378" s="507">
        <f>YEAR(Tabla14[[#This Row],[Fecha]])</f>
        <v>2023</v>
      </c>
      <c r="E378" s="516">
        <f>IF(Tabla14[[#This Row],[Fecha]]&gt;0,_xlfn.ISOWEEKNUM(Tabla14[[#This Row],[Fecha]]),0)</f>
        <v>24</v>
      </c>
      <c r="F378" s="283">
        <v>138</v>
      </c>
      <c r="G378" s="275" t="s">
        <v>250</v>
      </c>
      <c r="H378" s="325" t="str">
        <f>_xlfn.XLOOKUP(Tabla14[[#This Row],[Codigo Finca]],Tabla4[Codigo Finca],Tabla4[Nombre Finca],"")</f>
        <v>San Pedro</v>
      </c>
      <c r="I378" s="277">
        <f>_xlfn.XLOOKUP(Tabla14[[#This Row],[Codigo Finca]],Tabla4[Codigo Finca],Tabla4[Precio Caja],0)</f>
        <v>1800</v>
      </c>
      <c r="J378" s="277">
        <f>_xlfn.XLOOKUP(Tabla14[[#This Row],[Codigo Finca]],Tabla4[Codigo Finca],Tabla4[Precio Caja Segunda],0)</f>
        <v>1150</v>
      </c>
      <c r="K378" s="277">
        <f>_xlfn.XLOOKUP(Tabla14[[#This Row],[Codigo Finca]],Tabla4[Codigo Finca],Tabla4[Precio Rechazo],0)</f>
        <v>575</v>
      </c>
      <c r="L378" s="277">
        <f t="shared" si="413"/>
        <v>695</v>
      </c>
      <c r="M378" s="278">
        <f t="shared" si="414"/>
        <v>5.0362318840579707</v>
      </c>
      <c r="N378" s="283"/>
      <c r="O378" s="279"/>
      <c r="P378" s="280">
        <f t="shared" si="415"/>
        <v>0</v>
      </c>
      <c r="Q378" s="281">
        <f t="shared" si="416"/>
        <v>0</v>
      </c>
      <c r="R378" s="282">
        <f t="shared" si="417"/>
        <v>0</v>
      </c>
      <c r="S378" s="283">
        <f>757-62</f>
        <v>695</v>
      </c>
      <c r="T378" s="275">
        <v>11</v>
      </c>
      <c r="U378" s="280">
        <f t="shared" si="418"/>
        <v>138</v>
      </c>
      <c r="V378" s="281">
        <f t="shared" si="419"/>
        <v>12.545454545454545</v>
      </c>
      <c r="W378" s="282">
        <f t="shared" si="420"/>
        <v>22581.81818181818</v>
      </c>
      <c r="X378" s="283"/>
      <c r="Y378" s="275"/>
      <c r="Z378" s="280">
        <f>Tabla14[[#This Row],[Cajas Segunda]]</f>
        <v>0</v>
      </c>
      <c r="AA378" s="281">
        <f t="shared" si="421"/>
        <v>0</v>
      </c>
      <c r="AB378" s="284">
        <f t="shared" si="422"/>
        <v>0</v>
      </c>
      <c r="AC378" s="285"/>
      <c r="AD378" s="286">
        <f>900+421</f>
        <v>1321</v>
      </c>
      <c r="AE378" s="286"/>
      <c r="AF378" s="286"/>
      <c r="AG378" s="286">
        <v>11</v>
      </c>
      <c r="AH378" s="280">
        <f t="shared" si="423"/>
        <v>52.84</v>
      </c>
      <c r="AI378" s="281">
        <f t="shared" si="424"/>
        <v>4.8036363636363637</v>
      </c>
      <c r="AJ378" s="282">
        <f t="shared" si="425"/>
        <v>2762.090909090909</v>
      </c>
      <c r="AK378" s="287">
        <f>Tabla14[[#This Row],[Cajas por Personas]]</f>
        <v>0</v>
      </c>
      <c r="AL378" s="288">
        <f>Tabla14[[#This Row],[Valor Precorte Pesona]]</f>
        <v>0</v>
      </c>
      <c r="AM378" s="294">
        <f>Tabla14[[#This Row],[Personas Precorte]]</f>
        <v>0</v>
      </c>
      <c r="AN378" s="308">
        <f>Tabla14[[#This Row],[Valor Precorte Pesona Precorte]]*Tabla14[[#This Row],[Perzonas Precorte]]</f>
        <v>0</v>
      </c>
      <c r="AO378" s="287">
        <f>Tabla14[[#This Row],[Cajas por Personas2]]</f>
        <v>12.545454545454545</v>
      </c>
      <c r="AP378" s="288">
        <f>Tabla14[[#This Row],[Valor Embarque Pesona]]</f>
        <v>22581.81818181818</v>
      </c>
      <c r="AQ378" s="295">
        <f>Tabla14[[#This Row],[Personas Precorte2]]</f>
        <v>11</v>
      </c>
      <c r="AR378" s="296">
        <f>Tabla14[[#This Row],[Valor Embarque Pesona3]]*Tabla14[[#This Row],[Perzona Primera]]</f>
        <v>248399.99999999997</v>
      </c>
      <c r="AS378" s="287">
        <f>Tabla14[[#This Row],[Columna2]]</f>
        <v>0</v>
      </c>
      <c r="AT378" s="288">
        <f>Tabla14[[#This Row],[Columna1]]</f>
        <v>0</v>
      </c>
      <c r="AU378" s="302">
        <f>Tabla14[[#This Row],[Personas Intervienen]]</f>
        <v>0</v>
      </c>
      <c r="AV378" s="297">
        <f>Tabla14[[#This Row],[Valor Embarque Pesona5]]*Tabla14[[#This Row],[Presonas Segunda]]</f>
        <v>0</v>
      </c>
      <c r="AW378" s="287">
        <f>Tabla14[[#This Row],[Bolsas Por Personas]]</f>
        <v>4.8036363636363637</v>
      </c>
      <c r="AX378" s="288">
        <f>Tabla14[[#This Row],[Valor bolsas Pesona]]</f>
        <v>2762.090909090909</v>
      </c>
      <c r="AY378" s="309">
        <f>Tabla14[[#This Row],[Personas13]]</f>
        <v>11</v>
      </c>
      <c r="AZ378" s="310">
        <f>Tabla14[[#This Row],[Valor bolsas Pesona2]]*Tabla14[[#This Row],[Personas Rechazo]]</f>
        <v>30383</v>
      </c>
      <c r="BA378" s="311">
        <f>+Tabla14[[#This Row],[Total Valor Segunda]]+Tabla14[[#This Row],[Total Valor Primera]]+Tabla14[[#This Row],[Total Valor Precorte]]</f>
        <v>248399.99999999997</v>
      </c>
      <c r="BB378" s="538">
        <f>Tabla14[[#This Row],[Valor bolsas Pesona2]]+Tabla14[[#This Row],[Valor Embarque Pesona3]]</f>
        <v>25343.909090909088</v>
      </c>
      <c r="BC378" s="539">
        <v>30000</v>
      </c>
      <c r="BD378" s="538">
        <f>Tabla14[[#This Row],[VALOR GANADO]]-Tabla14[[#This Row],[REAJUSTADO]]</f>
        <v>-4656.0909090909117</v>
      </c>
      <c r="BE378" s="250">
        <f>Tabla14[[#This Row],[CUANTO SE REAJUSTA]]*Tabla14[[#This Row],[Personas Rechazo]]</f>
        <v>-51217.000000000029</v>
      </c>
      <c r="BF378" s="250">
        <f>Tabla14[[#This Row],[REAJUSTADO]]/25000</f>
        <v>1.2</v>
      </c>
      <c r="BG378" s="302">
        <f>Tabla14[[#This Row],[REAJUSTADO]]*Tabla14[[#This Row],[Personas Rechazo]]</f>
        <v>330000</v>
      </c>
      <c r="BH378" s="292" t="str">
        <f>Tabla14[[#This Row],[Finca]]</f>
        <v>San Pedro</v>
      </c>
      <c r="BJ378" s="332">
        <f>Tabla14[[#This Row],[Numero de Ocacionales]]*Tabla14[[#This Row],[REAJUSTADO]]</f>
        <v>0</v>
      </c>
      <c r="BK378" s="332"/>
      <c r="BL378" s="332"/>
      <c r="BM378" s="332">
        <f>+Tabla14[[#This Row],[CUANTO SE REAJUSTA]]*3</f>
        <v>-13968.272727272735</v>
      </c>
    </row>
    <row r="379" spans="3:65" x14ac:dyDescent="0.25">
      <c r="C379" s="515">
        <v>45091</v>
      </c>
      <c r="D379" s="507">
        <f>YEAR(Tabla14[[#This Row],[Fecha]])</f>
        <v>2023</v>
      </c>
      <c r="E379" s="516">
        <f>IF(Tabla14[[#This Row],[Fecha]]&gt;0,_xlfn.ISOWEEKNUM(Tabla14[[#This Row],[Fecha]]),0)</f>
        <v>24</v>
      </c>
      <c r="F379" s="283">
        <v>10</v>
      </c>
      <c r="G379" s="275" t="s">
        <v>249</v>
      </c>
      <c r="H379" s="325" t="str">
        <f>_xlfn.XLOOKUP(Tabla14[[#This Row],[Codigo Finca]],Tabla4[Codigo Finca],Tabla4[Nombre Finca],"")</f>
        <v>San Pedro</v>
      </c>
      <c r="I379" s="277">
        <f>_xlfn.XLOOKUP(Tabla14[[#This Row],[Codigo Finca]],Tabla4[Codigo Finca],Tabla4[Precio Caja],0)</f>
        <v>2000</v>
      </c>
      <c r="J379" s="277">
        <f>_xlfn.XLOOKUP(Tabla14[[#This Row],[Codigo Finca]],Tabla4[Codigo Finca],Tabla4[Precio Caja Segunda],0)</f>
        <v>1150</v>
      </c>
      <c r="K379" s="277">
        <f>_xlfn.XLOOKUP(Tabla14[[#This Row],[Codigo Finca]],Tabla4[Codigo Finca],Tabla4[Precio Rechazo],0)</f>
        <v>675</v>
      </c>
      <c r="L379" s="277">
        <f t="shared" si="413"/>
        <v>62</v>
      </c>
      <c r="M379" s="278">
        <f t="shared" si="414"/>
        <v>6.2</v>
      </c>
      <c r="N379" s="283"/>
      <c r="O379" s="279"/>
      <c r="P379" s="280">
        <f t="shared" si="415"/>
        <v>0</v>
      </c>
      <c r="Q379" s="281">
        <f t="shared" si="416"/>
        <v>0</v>
      </c>
      <c r="R379" s="282">
        <f t="shared" si="417"/>
        <v>0</v>
      </c>
      <c r="S379" s="283">
        <v>62</v>
      </c>
      <c r="T379" s="275">
        <v>11</v>
      </c>
      <c r="U379" s="280">
        <f t="shared" si="418"/>
        <v>10</v>
      </c>
      <c r="V379" s="281">
        <f t="shared" si="419"/>
        <v>0.90909090909090906</v>
      </c>
      <c r="W379" s="282">
        <f t="shared" si="420"/>
        <v>1818.1818181818182</v>
      </c>
      <c r="X379" s="283"/>
      <c r="Y379" s="275"/>
      <c r="Z379" s="280">
        <f>Tabla14[[#This Row],[Cajas Segunda]]</f>
        <v>0</v>
      </c>
      <c r="AA379" s="281">
        <f t="shared" si="421"/>
        <v>0</v>
      </c>
      <c r="AB379" s="284">
        <f t="shared" si="422"/>
        <v>0</v>
      </c>
      <c r="AC379" s="285"/>
      <c r="AD379" s="286"/>
      <c r="AE379" s="286"/>
      <c r="AF379" s="286"/>
      <c r="AG379" s="286">
        <v>11</v>
      </c>
      <c r="AH379" s="280">
        <f t="shared" si="423"/>
        <v>0</v>
      </c>
      <c r="AI379" s="281">
        <f t="shared" si="424"/>
        <v>0</v>
      </c>
      <c r="AJ379" s="282">
        <f t="shared" si="425"/>
        <v>0</v>
      </c>
      <c r="AK379" s="287">
        <f>Tabla14[[#This Row],[Cajas por Personas]]</f>
        <v>0</v>
      </c>
      <c r="AL379" s="288">
        <f>Tabla14[[#This Row],[Valor Precorte Pesona]]</f>
        <v>0</v>
      </c>
      <c r="AM379" s="294">
        <f>Tabla14[[#This Row],[Personas Precorte]]</f>
        <v>0</v>
      </c>
      <c r="AN379" s="308">
        <f>Tabla14[[#This Row],[Valor Precorte Pesona Precorte]]*Tabla14[[#This Row],[Perzonas Precorte]]</f>
        <v>0</v>
      </c>
      <c r="AO379" s="287">
        <f>Tabla14[[#This Row],[Cajas por Personas2]]</f>
        <v>0.90909090909090906</v>
      </c>
      <c r="AP379" s="288">
        <f>Tabla14[[#This Row],[Valor Embarque Pesona]]</f>
        <v>1818.1818181818182</v>
      </c>
      <c r="AQ379" s="295">
        <f>Tabla14[[#This Row],[Personas Precorte2]]</f>
        <v>11</v>
      </c>
      <c r="AR379" s="296">
        <f>Tabla14[[#This Row],[Valor Embarque Pesona3]]*Tabla14[[#This Row],[Perzona Primera]]</f>
        <v>20000</v>
      </c>
      <c r="AS379" s="287">
        <f>Tabla14[[#This Row],[Columna2]]</f>
        <v>0</v>
      </c>
      <c r="AT379" s="288">
        <f>Tabla14[[#This Row],[Columna1]]</f>
        <v>0</v>
      </c>
      <c r="AU379" s="302">
        <f>Tabla14[[#This Row],[Personas Intervienen]]</f>
        <v>0</v>
      </c>
      <c r="AV379" s="297">
        <f>Tabla14[[#This Row],[Valor Embarque Pesona5]]*Tabla14[[#This Row],[Presonas Segunda]]</f>
        <v>0</v>
      </c>
      <c r="AW379" s="287">
        <f>Tabla14[[#This Row],[Bolsas Por Personas]]</f>
        <v>0</v>
      </c>
      <c r="AX379" s="288">
        <f>Tabla14[[#This Row],[Valor bolsas Pesona]]</f>
        <v>0</v>
      </c>
      <c r="AY379" s="309">
        <f>Tabla14[[#This Row],[Personas13]]</f>
        <v>11</v>
      </c>
      <c r="AZ379" s="310">
        <f>Tabla14[[#This Row],[Valor bolsas Pesona2]]*Tabla14[[#This Row],[Personas Rechazo]]</f>
        <v>0</v>
      </c>
      <c r="BA379" s="311">
        <f>+Tabla14[[#This Row],[Total Valor Segunda]]+Tabla14[[#This Row],[Total Valor Primera]]+Tabla14[[#This Row],[Total Valor Precorte]]</f>
        <v>20000</v>
      </c>
      <c r="BB379" s="538">
        <f>Tabla14[[#This Row],[Valor bolsas Pesona2]]+Tabla14[[#This Row],[Valor Embarque Pesona3]]</f>
        <v>1818.1818181818182</v>
      </c>
      <c r="BC379" s="539"/>
      <c r="BD379" s="538">
        <f>Tabla14[[#This Row],[VALOR GANADO]]-Tabla14[[#This Row],[REAJUSTADO]]</f>
        <v>1818.1818181818182</v>
      </c>
      <c r="BE379" s="250">
        <f>Tabla14[[#This Row],[CUANTO SE REAJUSTA]]*Tabla14[[#This Row],[Personas Rechazo]]</f>
        <v>20000</v>
      </c>
      <c r="BF379" s="250">
        <f>Tabla14[[#This Row],[REAJUSTADO]]/25000</f>
        <v>0</v>
      </c>
      <c r="BG379" s="302">
        <f>Tabla14[[#This Row],[REAJUSTADO]]*Tabla14[[#This Row],[Personas Rechazo]]</f>
        <v>0</v>
      </c>
      <c r="BH379" s="292" t="str">
        <f>Tabla14[[#This Row],[Finca]]</f>
        <v>San Pedro</v>
      </c>
      <c r="BJ379" s="332">
        <f>Tabla14[[#This Row],[Numero de Ocacionales]]*Tabla14[[#This Row],[REAJUSTADO]]</f>
        <v>0</v>
      </c>
      <c r="BK379" s="332"/>
      <c r="BL379" s="332"/>
      <c r="BM379" s="332">
        <f>+Tabla14[[#This Row],[CUANTO SE REAJUSTA]]*3</f>
        <v>5454.545454545455</v>
      </c>
    </row>
    <row r="380" spans="3:65" x14ac:dyDescent="0.25">
      <c r="C380" s="515">
        <v>45091</v>
      </c>
      <c r="D380" s="507">
        <f>YEAR(Tabla14[[#This Row],[Fecha]])</f>
        <v>2023</v>
      </c>
      <c r="E380" s="516">
        <f>IF(Tabla14[[#This Row],[Fecha]]&gt;0,_xlfn.ISOWEEKNUM(Tabla14[[#This Row],[Fecha]]),0)</f>
        <v>24</v>
      </c>
      <c r="F380" s="283">
        <v>43</v>
      </c>
      <c r="G380" s="275" t="s">
        <v>248</v>
      </c>
      <c r="H380" s="325" t="str">
        <f>_xlfn.XLOOKUP(Tabla14[[#This Row],[Codigo Finca]],Tabla4[Codigo Finca],Tabla4[Nombre Finca],"")</f>
        <v>Damaquiel</v>
      </c>
      <c r="I380" s="277">
        <f>_xlfn.XLOOKUP(Tabla14[[#This Row],[Codigo Finca]],Tabla4[Codigo Finca],Tabla4[Precio Caja],0)</f>
        <v>1800</v>
      </c>
      <c r="J380" s="277">
        <f>_xlfn.XLOOKUP(Tabla14[[#This Row],[Codigo Finca]],Tabla4[Codigo Finca],Tabla4[Precio Caja Segunda],0)</f>
        <v>1150</v>
      </c>
      <c r="K380" s="277">
        <f>_xlfn.XLOOKUP(Tabla14[[#This Row],[Codigo Finca]],Tabla4[Codigo Finca],Tabla4[Precio Rechazo],0)</f>
        <v>575</v>
      </c>
      <c r="L380" s="277">
        <f t="shared" si="413"/>
        <v>0</v>
      </c>
      <c r="M380" s="278">
        <f t="shared" si="414"/>
        <v>0</v>
      </c>
      <c r="N380" s="283"/>
      <c r="O380" s="279"/>
      <c r="P380" s="280">
        <f t="shared" si="415"/>
        <v>0</v>
      </c>
      <c r="Q380" s="281">
        <f t="shared" si="416"/>
        <v>0</v>
      </c>
      <c r="R380" s="282">
        <f t="shared" si="417"/>
        <v>0</v>
      </c>
      <c r="S380" s="338"/>
      <c r="T380" s="275">
        <v>3</v>
      </c>
      <c r="U380" s="280">
        <f t="shared" si="418"/>
        <v>43</v>
      </c>
      <c r="V380" s="281">
        <f t="shared" si="419"/>
        <v>14.333333333333334</v>
      </c>
      <c r="W380" s="282">
        <f t="shared" si="420"/>
        <v>25800</v>
      </c>
      <c r="X380" s="283"/>
      <c r="Y380" s="275"/>
      <c r="Z380" s="280">
        <f>Tabla14[[#This Row],[Cajas Segunda]]</f>
        <v>0</v>
      </c>
      <c r="AA380" s="281">
        <f t="shared" si="421"/>
        <v>0</v>
      </c>
      <c r="AB380" s="284">
        <f t="shared" si="422"/>
        <v>0</v>
      </c>
      <c r="AC380" s="285"/>
      <c r="AD380" s="286">
        <v>308</v>
      </c>
      <c r="AE380" s="286"/>
      <c r="AF380" s="286"/>
      <c r="AG380" s="286">
        <v>3</v>
      </c>
      <c r="AH380" s="280">
        <f t="shared" si="423"/>
        <v>12.32</v>
      </c>
      <c r="AI380" s="281">
        <f t="shared" si="424"/>
        <v>4.1066666666666665</v>
      </c>
      <c r="AJ380" s="282">
        <f t="shared" si="425"/>
        <v>2361.333333333333</v>
      </c>
      <c r="AK380" s="287">
        <f>Tabla14[[#This Row],[Cajas por Personas]]</f>
        <v>0</v>
      </c>
      <c r="AL380" s="288">
        <f>Tabla14[[#This Row],[Valor Precorte Pesona]]</f>
        <v>0</v>
      </c>
      <c r="AM380" s="294">
        <f>Tabla14[[#This Row],[Personas Precorte]]</f>
        <v>0</v>
      </c>
      <c r="AN380" s="308">
        <f>Tabla14[[#This Row],[Valor Precorte Pesona Precorte]]*Tabla14[[#This Row],[Perzonas Precorte]]</f>
        <v>0</v>
      </c>
      <c r="AO380" s="287">
        <f>Tabla14[[#This Row],[Cajas por Personas2]]</f>
        <v>14.333333333333334</v>
      </c>
      <c r="AP380" s="288">
        <f>Tabla14[[#This Row],[Valor Embarque Pesona]]</f>
        <v>25800</v>
      </c>
      <c r="AQ380" s="295">
        <f>Tabla14[[#This Row],[Personas Precorte2]]</f>
        <v>3</v>
      </c>
      <c r="AR380" s="296">
        <f>Tabla14[[#This Row],[Valor Embarque Pesona3]]*Tabla14[[#This Row],[Perzona Primera]]</f>
        <v>77400</v>
      </c>
      <c r="AS380" s="287">
        <f>Tabla14[[#This Row],[Columna2]]</f>
        <v>0</v>
      </c>
      <c r="AT380" s="288">
        <f>Tabla14[[#This Row],[Columna1]]</f>
        <v>0</v>
      </c>
      <c r="AU380" s="302">
        <f>Tabla14[[#This Row],[Personas Intervienen]]</f>
        <v>0</v>
      </c>
      <c r="AV380" s="297">
        <f>Tabla14[[#This Row],[Valor Embarque Pesona5]]*Tabla14[[#This Row],[Presonas Segunda]]</f>
        <v>0</v>
      </c>
      <c r="AW380" s="287">
        <f>Tabla14[[#This Row],[Bolsas Por Personas]]</f>
        <v>4.1066666666666665</v>
      </c>
      <c r="AX380" s="288">
        <f>Tabla14[[#This Row],[Valor bolsas Pesona]]</f>
        <v>2361.333333333333</v>
      </c>
      <c r="AY380" s="309">
        <f>Tabla14[[#This Row],[Personas13]]</f>
        <v>3</v>
      </c>
      <c r="AZ380" s="310">
        <f>Tabla14[[#This Row],[Valor bolsas Pesona2]]*Tabla14[[#This Row],[Personas Rechazo]]</f>
        <v>7083.9999999999991</v>
      </c>
      <c r="BA380" s="311">
        <f>+Tabla14[[#This Row],[Total Valor Segunda]]+Tabla14[[#This Row],[Total Valor Primera]]+Tabla14[[#This Row],[Total Valor Precorte]]</f>
        <v>77400</v>
      </c>
      <c r="BB380" s="292">
        <f>Tabla14[[#This Row],[Valor bolsas Pesona2]]+Tabla14[[#This Row],[Valor Embarque Pesona3]]</f>
        <v>28161.333333333332</v>
      </c>
      <c r="BC380" s="332">
        <v>30000</v>
      </c>
      <c r="BD380" s="292">
        <f>Tabla14[[#This Row],[VALOR GANADO]]-Tabla14[[#This Row],[REAJUSTADO]]</f>
        <v>-1838.6666666666679</v>
      </c>
      <c r="BE380" s="250">
        <f>Tabla14[[#This Row],[CUANTO SE REAJUSTA]]*Tabla14[[#This Row],[Personas Rechazo]]</f>
        <v>-5516.0000000000036</v>
      </c>
      <c r="BF380" s="250">
        <f>Tabla14[[#This Row],[REAJUSTADO]]/25000</f>
        <v>1.2</v>
      </c>
      <c r="BG380" s="302">
        <f>Tabla14[[#This Row],[REAJUSTADO]]*Tabla14[[#This Row],[Personas Rechazo]]</f>
        <v>90000</v>
      </c>
      <c r="BH380" s="292" t="str">
        <f>Tabla14[[#This Row],[Finca]]</f>
        <v>Damaquiel</v>
      </c>
      <c r="BJ380" s="332">
        <f>Tabla14[[#This Row],[Numero de Ocacionales]]*Tabla14[[#This Row],[REAJUSTADO]]</f>
        <v>0</v>
      </c>
      <c r="BK380" s="332"/>
      <c r="BL380" s="332"/>
      <c r="BM380" s="332">
        <f>+Tabla14[[#This Row],[CUANTO SE REAJUSTA]]*3</f>
        <v>-5516.0000000000036</v>
      </c>
    </row>
    <row r="381" spans="3:65" x14ac:dyDescent="0.25">
      <c r="C381" s="515">
        <v>45092</v>
      </c>
      <c r="D381" s="507">
        <f>YEAR(Tabla14[[#This Row],[Fecha]])</f>
        <v>2023</v>
      </c>
      <c r="E381" s="516">
        <f>IF(Tabla14[[#This Row],[Fecha]]&gt;0,_xlfn.ISOWEEKNUM(Tabla14[[#This Row],[Fecha]]),0)</f>
        <v>24</v>
      </c>
      <c r="F381" s="283">
        <v>50</v>
      </c>
      <c r="G381" s="275" t="s">
        <v>247</v>
      </c>
      <c r="H381" s="325" t="str">
        <f>_xlfn.XLOOKUP(Tabla14[[#This Row],[Codigo Finca]],Tabla4[Codigo Finca],Tabla4[Nombre Finca],"")</f>
        <v>Uveros</v>
      </c>
      <c r="I381" s="277">
        <f>_xlfn.XLOOKUP(Tabla14[[#This Row],[Codigo Finca]],Tabla4[Codigo Finca],Tabla4[Precio Caja],0)</f>
        <v>1800</v>
      </c>
      <c r="J381" s="277">
        <f>_xlfn.XLOOKUP(Tabla14[[#This Row],[Codigo Finca]],Tabla4[Codigo Finca],Tabla4[Precio Caja Segunda],0)</f>
        <v>1150</v>
      </c>
      <c r="K381" s="277">
        <f>_xlfn.XLOOKUP(Tabla14[[#This Row],[Codigo Finca]],Tabla4[Codigo Finca],Tabla4[Precio Rechazo],0)</f>
        <v>575</v>
      </c>
      <c r="L381" s="277">
        <f t="shared" si="413"/>
        <v>410</v>
      </c>
      <c r="M381" s="278">
        <f t="shared" si="414"/>
        <v>8.1999999999999993</v>
      </c>
      <c r="N381" s="283"/>
      <c r="O381" s="279"/>
      <c r="P381" s="280">
        <f t="shared" si="415"/>
        <v>0</v>
      </c>
      <c r="Q381" s="281">
        <f t="shared" si="416"/>
        <v>0</v>
      </c>
      <c r="R381" s="282">
        <f t="shared" si="417"/>
        <v>0</v>
      </c>
      <c r="S381" s="283">
        <v>410</v>
      </c>
      <c r="T381" s="275">
        <v>5</v>
      </c>
      <c r="U381" s="280">
        <f t="shared" si="418"/>
        <v>50</v>
      </c>
      <c r="V381" s="281">
        <f t="shared" si="419"/>
        <v>10</v>
      </c>
      <c r="W381" s="282">
        <f t="shared" si="420"/>
        <v>18000</v>
      </c>
      <c r="X381" s="283"/>
      <c r="Y381" s="275"/>
      <c r="Z381" s="280">
        <f>Tabla14[[#This Row],[Cajas Segunda]]</f>
        <v>0</v>
      </c>
      <c r="AA381" s="281">
        <f t="shared" si="421"/>
        <v>0</v>
      </c>
      <c r="AB381" s="284">
        <f t="shared" si="422"/>
        <v>0</v>
      </c>
      <c r="AC381" s="285"/>
      <c r="AD381" s="286">
        <f>1004+146</f>
        <v>1150</v>
      </c>
      <c r="AE381" s="286"/>
      <c r="AF381" s="286"/>
      <c r="AG381" s="286">
        <v>5</v>
      </c>
      <c r="AH381" s="280">
        <f t="shared" si="423"/>
        <v>46</v>
      </c>
      <c r="AI381" s="281">
        <f t="shared" si="424"/>
        <v>9.1999999999999993</v>
      </c>
      <c r="AJ381" s="282">
        <f t="shared" si="425"/>
        <v>5290</v>
      </c>
      <c r="AK381" s="287">
        <f>Tabla14[[#This Row],[Cajas por Personas]]</f>
        <v>0</v>
      </c>
      <c r="AL381" s="288">
        <f>Tabla14[[#This Row],[Valor Precorte Pesona]]</f>
        <v>0</v>
      </c>
      <c r="AM381" s="294">
        <f>Tabla14[[#This Row],[Personas Precorte]]</f>
        <v>0</v>
      </c>
      <c r="AN381" s="308">
        <f>Tabla14[[#This Row],[Valor Precorte Pesona Precorte]]*Tabla14[[#This Row],[Perzonas Precorte]]</f>
        <v>0</v>
      </c>
      <c r="AO381" s="287">
        <f>Tabla14[[#This Row],[Cajas por Personas2]]</f>
        <v>10</v>
      </c>
      <c r="AP381" s="288">
        <f>Tabla14[[#This Row],[Valor Embarque Pesona]]</f>
        <v>18000</v>
      </c>
      <c r="AQ381" s="295">
        <f>Tabla14[[#This Row],[Personas Precorte2]]</f>
        <v>5</v>
      </c>
      <c r="AR381" s="296">
        <f>Tabla14[[#This Row],[Valor Embarque Pesona3]]*Tabla14[[#This Row],[Perzona Primera]]</f>
        <v>90000</v>
      </c>
      <c r="AS381" s="287">
        <f>Tabla14[[#This Row],[Columna2]]</f>
        <v>0</v>
      </c>
      <c r="AT381" s="288">
        <f>Tabla14[[#This Row],[Columna1]]</f>
        <v>0</v>
      </c>
      <c r="AU381" s="302">
        <f>Tabla14[[#This Row],[Personas Intervienen]]</f>
        <v>0</v>
      </c>
      <c r="AV381" s="297">
        <f>Tabla14[[#This Row],[Valor Embarque Pesona5]]*Tabla14[[#This Row],[Presonas Segunda]]</f>
        <v>0</v>
      </c>
      <c r="AW381" s="287">
        <f>Tabla14[[#This Row],[Bolsas Por Personas]]</f>
        <v>9.1999999999999993</v>
      </c>
      <c r="AX381" s="288">
        <f>Tabla14[[#This Row],[Valor bolsas Pesona]]</f>
        <v>5290</v>
      </c>
      <c r="AY381" s="309">
        <f>Tabla14[[#This Row],[Personas13]]</f>
        <v>5</v>
      </c>
      <c r="AZ381" s="310">
        <f>Tabla14[[#This Row],[Valor bolsas Pesona2]]*Tabla14[[#This Row],[Personas Rechazo]]</f>
        <v>26450</v>
      </c>
      <c r="BA381" s="311">
        <f>+Tabla14[[#This Row],[Total Valor Segunda]]+Tabla14[[#This Row],[Total Valor Primera]]+Tabla14[[#This Row],[Total Valor Precorte]]</f>
        <v>90000</v>
      </c>
      <c r="BB381" s="292">
        <f>Tabla14[[#This Row],[Valor bolsas Pesona2]]+Tabla14[[#This Row],[Valor Embarque Pesona3]]</f>
        <v>23290</v>
      </c>
      <c r="BC381" s="332">
        <v>30000</v>
      </c>
      <c r="BD381" s="292">
        <f>Tabla14[[#This Row],[VALOR GANADO]]-Tabla14[[#This Row],[REAJUSTADO]]</f>
        <v>-6710</v>
      </c>
      <c r="BE381" s="250">
        <f>Tabla14[[#This Row],[CUANTO SE REAJUSTA]]*Tabla14[[#This Row],[Personas Rechazo]]</f>
        <v>-33550</v>
      </c>
      <c r="BF381" s="250">
        <f>Tabla14[[#This Row],[REAJUSTADO]]/25000</f>
        <v>1.2</v>
      </c>
      <c r="BG381" s="302">
        <f>Tabla14[[#This Row],[REAJUSTADO]]*Tabla14[[#This Row],[Personas Rechazo]]</f>
        <v>150000</v>
      </c>
      <c r="BH381" s="292" t="str">
        <f>Tabla14[[#This Row],[Finca]]</f>
        <v>Uveros</v>
      </c>
      <c r="BJ381" s="332">
        <f>Tabla14[[#This Row],[Numero de Ocacionales]]*Tabla14[[#This Row],[REAJUSTADO]]</f>
        <v>0</v>
      </c>
      <c r="BK381" s="332"/>
      <c r="BL381" s="332"/>
      <c r="BM381" s="332">
        <f>+Tabla14[[#This Row],[CUANTO SE REAJUSTA]]*3</f>
        <v>-20130</v>
      </c>
    </row>
    <row r="382" spans="3:65" x14ac:dyDescent="0.25">
      <c r="C382" s="515">
        <v>45092</v>
      </c>
      <c r="D382" s="507">
        <f>YEAR(Tabla14[[#This Row],[Fecha]])</f>
        <v>2023</v>
      </c>
      <c r="E382" s="516">
        <f>IF(Tabla14[[#This Row],[Fecha]]&gt;0,_xlfn.ISOWEEKNUM(Tabla14[[#This Row],[Fecha]]),0)</f>
        <v>24</v>
      </c>
      <c r="F382" s="283">
        <v>142</v>
      </c>
      <c r="G382" s="275" t="s">
        <v>251</v>
      </c>
      <c r="H382" s="325" t="str">
        <f>_xlfn.XLOOKUP(Tabla14[[#This Row],[Codigo Finca]],Tabla4[Codigo Finca],Tabla4[Nombre Finca],"")</f>
        <v>Pedrito</v>
      </c>
      <c r="I382" s="277">
        <f>_xlfn.XLOOKUP(Tabla14[[#This Row],[Codigo Finca]],Tabla4[Codigo Finca],Tabla4[Precio Caja],0)</f>
        <v>1800</v>
      </c>
      <c r="J382" s="277">
        <f>_xlfn.XLOOKUP(Tabla14[[#This Row],[Codigo Finca]],Tabla4[Codigo Finca],Tabla4[Precio Caja Segunda],0)</f>
        <v>1150</v>
      </c>
      <c r="K382" s="277">
        <f>_xlfn.XLOOKUP(Tabla14[[#This Row],[Codigo Finca]],Tabla4[Codigo Finca],Tabla4[Precio Rechazo],0)</f>
        <v>575</v>
      </c>
      <c r="L382" s="277">
        <f t="shared" si="413"/>
        <v>781</v>
      </c>
      <c r="M382" s="278">
        <f t="shared" si="414"/>
        <v>5.5</v>
      </c>
      <c r="N382" s="283"/>
      <c r="O382" s="279"/>
      <c r="P382" s="280">
        <f t="shared" si="415"/>
        <v>0</v>
      </c>
      <c r="Q382" s="281">
        <f t="shared" si="416"/>
        <v>0</v>
      </c>
      <c r="R382" s="282">
        <f t="shared" si="417"/>
        <v>0</v>
      </c>
      <c r="S382" s="283">
        <v>781</v>
      </c>
      <c r="T382" s="275">
        <v>11</v>
      </c>
      <c r="U382" s="280">
        <f t="shared" si="418"/>
        <v>142</v>
      </c>
      <c r="V382" s="281">
        <f t="shared" si="419"/>
        <v>12.909090909090908</v>
      </c>
      <c r="W382" s="282">
        <f t="shared" si="420"/>
        <v>23236.363636363636</v>
      </c>
      <c r="X382" s="283"/>
      <c r="Y382" s="275"/>
      <c r="Z382" s="280">
        <f>Tabla14[[#This Row],[Cajas Segunda]]</f>
        <v>0</v>
      </c>
      <c r="AA382" s="281">
        <f t="shared" si="421"/>
        <v>0</v>
      </c>
      <c r="AB382" s="284">
        <f t="shared" si="422"/>
        <v>0</v>
      </c>
      <c r="AC382" s="285"/>
      <c r="AD382" s="286">
        <v>2001</v>
      </c>
      <c r="AE382" s="286"/>
      <c r="AF382" s="286"/>
      <c r="AG382" s="286">
        <v>11</v>
      </c>
      <c r="AH382" s="280">
        <f t="shared" si="423"/>
        <v>80.040000000000006</v>
      </c>
      <c r="AI382" s="281">
        <f t="shared" si="424"/>
        <v>7.2763636363636373</v>
      </c>
      <c r="AJ382" s="282">
        <f t="shared" si="425"/>
        <v>4183.909090909091</v>
      </c>
      <c r="AK382" s="287">
        <f>Tabla14[[#This Row],[Cajas por Personas]]</f>
        <v>0</v>
      </c>
      <c r="AL382" s="288">
        <f>Tabla14[[#This Row],[Valor Precorte Pesona]]</f>
        <v>0</v>
      </c>
      <c r="AM382" s="294">
        <f>Tabla14[[#This Row],[Personas Precorte]]</f>
        <v>0</v>
      </c>
      <c r="AN382" s="308">
        <f>Tabla14[[#This Row],[Valor Precorte Pesona Precorte]]*Tabla14[[#This Row],[Perzonas Precorte]]</f>
        <v>0</v>
      </c>
      <c r="AO382" s="287">
        <f>Tabla14[[#This Row],[Cajas por Personas2]]</f>
        <v>12.909090909090908</v>
      </c>
      <c r="AP382" s="288">
        <f>Tabla14[[#This Row],[Valor Embarque Pesona]]</f>
        <v>23236.363636363636</v>
      </c>
      <c r="AQ382" s="295">
        <f>Tabla14[[#This Row],[Personas Precorte2]]</f>
        <v>11</v>
      </c>
      <c r="AR382" s="296">
        <f>Tabla14[[#This Row],[Valor Embarque Pesona3]]*Tabla14[[#This Row],[Perzona Primera]]</f>
        <v>255600</v>
      </c>
      <c r="AS382" s="287">
        <f>Tabla14[[#This Row],[Columna2]]</f>
        <v>0</v>
      </c>
      <c r="AT382" s="288">
        <f>Tabla14[[#This Row],[Columna1]]</f>
        <v>0</v>
      </c>
      <c r="AU382" s="302">
        <f>Tabla14[[#This Row],[Personas Intervienen]]</f>
        <v>0</v>
      </c>
      <c r="AV382" s="297">
        <f>Tabla14[[#This Row],[Valor Embarque Pesona5]]*Tabla14[[#This Row],[Presonas Segunda]]</f>
        <v>0</v>
      </c>
      <c r="AW382" s="287">
        <f>Tabla14[[#This Row],[Bolsas Por Personas]]</f>
        <v>7.2763636363636373</v>
      </c>
      <c r="AX382" s="288">
        <f>Tabla14[[#This Row],[Valor bolsas Pesona]]</f>
        <v>4183.909090909091</v>
      </c>
      <c r="AY382" s="309">
        <f>Tabla14[[#This Row],[Personas13]]</f>
        <v>11</v>
      </c>
      <c r="AZ382" s="310">
        <f>Tabla14[[#This Row],[Valor bolsas Pesona2]]*Tabla14[[#This Row],[Personas Rechazo]]</f>
        <v>46023</v>
      </c>
      <c r="BA382" s="311">
        <f>+Tabla14[[#This Row],[Total Valor Segunda]]+Tabla14[[#This Row],[Total Valor Primera]]+Tabla14[[#This Row],[Total Valor Precorte]]</f>
        <v>255600</v>
      </c>
      <c r="BB382" s="292">
        <f>Tabla14[[#This Row],[Valor bolsas Pesona2]]+Tabla14[[#This Row],[Valor Embarque Pesona3]]</f>
        <v>27420.272727272728</v>
      </c>
      <c r="BC382" s="332">
        <v>30000</v>
      </c>
      <c r="BD382" s="292">
        <f>Tabla14[[#This Row],[VALOR GANADO]]-Tabla14[[#This Row],[REAJUSTADO]]</f>
        <v>-2579.7272727272721</v>
      </c>
      <c r="BE382" s="250">
        <f>Tabla14[[#This Row],[CUANTO SE REAJUSTA]]*Tabla14[[#This Row],[Personas Rechazo]]</f>
        <v>-28376.999999999993</v>
      </c>
      <c r="BF382" s="250">
        <f>Tabla14[[#This Row],[REAJUSTADO]]/25000</f>
        <v>1.2</v>
      </c>
      <c r="BG382" s="302">
        <f>Tabla14[[#This Row],[REAJUSTADO]]*Tabla14[[#This Row],[Personas Rechazo]]</f>
        <v>330000</v>
      </c>
      <c r="BH382" s="292" t="str">
        <f>Tabla14[[#This Row],[Finca]]</f>
        <v>Pedrito</v>
      </c>
      <c r="BJ382" s="332">
        <f>Tabla14[[#This Row],[Numero de Ocacionales]]*Tabla14[[#This Row],[REAJUSTADO]]</f>
        <v>0</v>
      </c>
      <c r="BK382" s="332"/>
      <c r="BL382" s="332"/>
      <c r="BM382" s="332">
        <f>+Tabla14[[#This Row],[CUANTO SE REAJUSTA]]*3</f>
        <v>-7739.1818181818162</v>
      </c>
    </row>
    <row r="383" spans="3:65" x14ac:dyDescent="0.25">
      <c r="C383" s="517">
        <v>45098</v>
      </c>
      <c r="D383" s="507">
        <f>YEAR(Tabla14[[#This Row],[Fecha]])</f>
        <v>2023</v>
      </c>
      <c r="E383" s="518">
        <f>IF(Tabla14[[#This Row],[Fecha]]&gt;0,_xlfn.ISOWEEKNUM(Tabla14[[#This Row],[Fecha]]),0)</f>
        <v>25</v>
      </c>
      <c r="F383" s="269">
        <v>50</v>
      </c>
      <c r="G383" s="268" t="s">
        <v>250</v>
      </c>
      <c r="H383" s="266" t="str">
        <f>_xlfn.XLOOKUP(Tabla14[[#This Row],[Codigo Finca]],Tabla4[Codigo Finca],Tabla4[Nombre Finca],"")</f>
        <v>San Pedro</v>
      </c>
      <c r="I383" s="262">
        <f>_xlfn.XLOOKUP(Tabla14[[#This Row],[Codigo Finca]],Tabla4[Codigo Finca],Tabla4[Precio Caja],0)</f>
        <v>1800</v>
      </c>
      <c r="J383" s="262">
        <f>_xlfn.XLOOKUP(Tabla14[[#This Row],[Codigo Finca]],Tabla4[Codigo Finca],Tabla4[Precio Caja Segunda],0)</f>
        <v>1150</v>
      </c>
      <c r="K383" s="262">
        <f>_xlfn.XLOOKUP(Tabla14[[#This Row],[Codigo Finca]],Tabla4[Codigo Finca],Tabla4[Precio Rechazo],0)</f>
        <v>575</v>
      </c>
      <c r="L383" s="262">
        <f t="shared" si="413"/>
        <v>720</v>
      </c>
      <c r="M383" s="272">
        <f t="shared" si="414"/>
        <v>14.4</v>
      </c>
      <c r="N383" s="269"/>
      <c r="O383" s="270"/>
      <c r="P383" s="280">
        <f t="shared" si="415"/>
        <v>0</v>
      </c>
      <c r="Q383" s="263">
        <f t="shared" si="416"/>
        <v>0</v>
      </c>
      <c r="R383" s="322">
        <f t="shared" si="417"/>
        <v>0</v>
      </c>
      <c r="S383" s="269">
        <v>720</v>
      </c>
      <c r="T383" s="268">
        <v>13</v>
      </c>
      <c r="U383" s="251">
        <f t="shared" si="418"/>
        <v>50</v>
      </c>
      <c r="V383" s="263">
        <f t="shared" si="419"/>
        <v>3.8461538461538463</v>
      </c>
      <c r="W383" s="322">
        <f t="shared" si="420"/>
        <v>6923.0769230769229</v>
      </c>
      <c r="X383" s="269"/>
      <c r="Y383" s="268"/>
      <c r="Z383" s="251">
        <f>Tabla14[[#This Row],[Cajas Segunda]]</f>
        <v>0</v>
      </c>
      <c r="AA383" s="263">
        <f t="shared" si="421"/>
        <v>0</v>
      </c>
      <c r="AB383" s="265">
        <f t="shared" si="422"/>
        <v>0</v>
      </c>
      <c r="AC383" s="273"/>
      <c r="AD383" s="271"/>
      <c r="AE383" s="271"/>
      <c r="AF383" s="271"/>
      <c r="AG383" s="271"/>
      <c r="AH383" s="251">
        <f t="shared" si="423"/>
        <v>0</v>
      </c>
      <c r="AI383" s="263">
        <f t="shared" si="424"/>
        <v>0</v>
      </c>
      <c r="AJ383" s="322">
        <f t="shared" si="425"/>
        <v>0</v>
      </c>
      <c r="AK383" s="264">
        <f>Tabla14[[#This Row],[Cajas por Personas]]</f>
        <v>0</v>
      </c>
      <c r="AL383" s="267">
        <f>Tabla14[[#This Row],[Valor Precorte Pesona]]</f>
        <v>0</v>
      </c>
      <c r="AM383" s="294">
        <f>Tabla14[[#This Row],[Personas Precorte]]</f>
        <v>0</v>
      </c>
      <c r="AN383" s="308">
        <f>Tabla14[[#This Row],[Valor Precorte Pesona Precorte]]*Tabla14[[#This Row],[Perzonas Precorte]]</f>
        <v>0</v>
      </c>
      <c r="AO383" s="264">
        <f>Tabla14[[#This Row],[Cajas por Personas2]]</f>
        <v>3.8461538461538463</v>
      </c>
      <c r="AP383" s="267">
        <f>Tabla14[[#This Row],[Valor Embarque Pesona]]</f>
        <v>6923.0769230769229</v>
      </c>
      <c r="AQ383" s="295">
        <f>Tabla14[[#This Row],[Personas Precorte2]]</f>
        <v>13</v>
      </c>
      <c r="AR383" s="296">
        <f>Tabla14[[#This Row],[Valor Embarque Pesona3]]*Tabla14[[#This Row],[Perzona Primera]]</f>
        <v>90000</v>
      </c>
      <c r="AS383" s="264">
        <f>Tabla14[[#This Row],[Columna2]]</f>
        <v>0</v>
      </c>
      <c r="AT383" s="267">
        <f>Tabla14[[#This Row],[Columna1]]</f>
        <v>0</v>
      </c>
      <c r="AU383" s="302">
        <f>Tabla14[[#This Row],[Personas Intervienen]]</f>
        <v>0</v>
      </c>
      <c r="AV383" s="297">
        <f>Tabla14[[#This Row],[Valor Embarque Pesona5]]*Tabla14[[#This Row],[Presonas Segunda]]</f>
        <v>0</v>
      </c>
      <c r="AW383" s="264">
        <f>Tabla14[[#This Row],[Bolsas Por Personas]]</f>
        <v>0</v>
      </c>
      <c r="AX383" s="267">
        <f>Tabla14[[#This Row],[Valor bolsas Pesona]]</f>
        <v>0</v>
      </c>
      <c r="AY383" s="290">
        <f>Tabla14[[#This Row],[Personas13]]</f>
        <v>0</v>
      </c>
      <c r="AZ383" s="323">
        <f>Tabla14[[#This Row],[Valor bolsas Pesona2]]*Tabla14[[#This Row],[Personas Rechazo]]</f>
        <v>0</v>
      </c>
      <c r="BA383" s="324">
        <f>+Tabla14[[#This Row],[Total Valor Segunda]]+Tabla14[[#This Row],[Total Valor Primera]]+Tabla14[[#This Row],[Total Valor Precorte]]</f>
        <v>90000</v>
      </c>
      <c r="BB383" s="538">
        <f>Tabla14[[#This Row],[Valor bolsas Pesona2]]+Tabla14[[#This Row],[Valor Embarque Pesona3]]</f>
        <v>6923.0769230769229</v>
      </c>
      <c r="BC383" s="539">
        <v>30000</v>
      </c>
      <c r="BD383" s="538">
        <f>Tabla14[[#This Row],[VALOR GANADO]]-Tabla14[[#This Row],[REAJUSTADO]]</f>
        <v>-23076.923076923078</v>
      </c>
      <c r="BE383" s="250">
        <f>Tabla14[[#This Row],[CUANTO SE REAJUSTA]]*Tabla14[[#This Row],[Personas Rechazo]]</f>
        <v>0</v>
      </c>
      <c r="BF383" s="250">
        <f>Tabla14[[#This Row],[REAJUSTADO]]/25000</f>
        <v>1.2</v>
      </c>
      <c r="BG383" s="302">
        <f>Tabla14[[#This Row],[REAJUSTADO]]*Tabla14[[#This Row],[Personas Rechazo]]</f>
        <v>0</v>
      </c>
      <c r="BH383" s="292" t="str">
        <f>Tabla14[[#This Row],[Finca]]</f>
        <v>San Pedro</v>
      </c>
      <c r="BJ383" s="332">
        <f>Tabla14[[#This Row],[Numero de Ocacionales]]*Tabla14[[#This Row],[REAJUSTADO]]</f>
        <v>0</v>
      </c>
      <c r="BK383" s="332"/>
      <c r="BL383" s="332"/>
      <c r="BM383" s="332">
        <f>+Tabla14[[#This Row],[CUANTO SE REAJUSTA]]*3</f>
        <v>-69230.769230769234</v>
      </c>
    </row>
    <row r="384" spans="3:65" x14ac:dyDescent="0.25">
      <c r="C384" s="515">
        <v>45098</v>
      </c>
      <c r="D384" s="507">
        <f>YEAR(Tabla14[[#This Row],[Fecha]])</f>
        <v>2023</v>
      </c>
      <c r="E384" s="516">
        <f>IF(Tabla14[[#This Row],[Fecha]]&gt;0,_xlfn.ISOWEEKNUM(Tabla14[[#This Row],[Fecha]]),0)</f>
        <v>25</v>
      </c>
      <c r="F384" s="283">
        <f>11+54+11+35</f>
        <v>111</v>
      </c>
      <c r="G384" s="275" t="s">
        <v>250</v>
      </c>
      <c r="H384" s="325" t="str">
        <f>_xlfn.XLOOKUP(Tabla14[[#This Row],[Codigo Finca]],Tabla4[Codigo Finca],Tabla4[Nombre Finca],"")</f>
        <v>San Pedro</v>
      </c>
      <c r="I384" s="277">
        <f>_xlfn.XLOOKUP(Tabla14[[#This Row],[Codigo Finca]],Tabla4[Codigo Finca],Tabla4[Precio Caja],0)</f>
        <v>1800</v>
      </c>
      <c r="J384" s="277">
        <f>_xlfn.XLOOKUP(Tabla14[[#This Row],[Codigo Finca]],Tabla4[Codigo Finca],Tabla4[Precio Caja Segunda],0)</f>
        <v>1150</v>
      </c>
      <c r="K384" s="277">
        <f>_xlfn.XLOOKUP(Tabla14[[#This Row],[Codigo Finca]],Tabla4[Codigo Finca],Tabla4[Precio Rechazo],0)</f>
        <v>575</v>
      </c>
      <c r="L384" s="277">
        <f t="shared" si="413"/>
        <v>0</v>
      </c>
      <c r="M384" s="278">
        <f t="shared" si="414"/>
        <v>0</v>
      </c>
      <c r="N384" s="283"/>
      <c r="O384" s="279"/>
      <c r="P384" s="280">
        <f t="shared" si="415"/>
        <v>0</v>
      </c>
      <c r="Q384" s="281">
        <f t="shared" si="416"/>
        <v>0</v>
      </c>
      <c r="R384" s="282">
        <f t="shared" si="417"/>
        <v>0</v>
      </c>
      <c r="S384" s="283"/>
      <c r="T384" s="275">
        <v>13</v>
      </c>
      <c r="U384" s="280">
        <f t="shared" si="418"/>
        <v>111</v>
      </c>
      <c r="V384" s="281">
        <f t="shared" si="419"/>
        <v>8.5384615384615383</v>
      </c>
      <c r="W384" s="282">
        <f t="shared" si="420"/>
        <v>15369.23076923077</v>
      </c>
      <c r="X384" s="283"/>
      <c r="Y384" s="275"/>
      <c r="Z384" s="280">
        <f>Tabla14[[#This Row],[Cajas Segunda]]</f>
        <v>0</v>
      </c>
      <c r="AA384" s="281">
        <f t="shared" si="421"/>
        <v>0</v>
      </c>
      <c r="AB384" s="284">
        <f t="shared" si="422"/>
        <v>0</v>
      </c>
      <c r="AC384" s="285"/>
      <c r="AD384" s="286">
        <f>1989-203</f>
        <v>1786</v>
      </c>
      <c r="AE384" s="286"/>
      <c r="AF384" s="286"/>
      <c r="AG384" s="286">
        <v>13</v>
      </c>
      <c r="AH384" s="280">
        <f t="shared" si="423"/>
        <v>71.44</v>
      </c>
      <c r="AI384" s="281">
        <f t="shared" si="424"/>
        <v>5.4953846153846149</v>
      </c>
      <c r="AJ384" s="282">
        <f t="shared" si="425"/>
        <v>3159.8461538461534</v>
      </c>
      <c r="AK384" s="287">
        <f>Tabla14[[#This Row],[Cajas por Personas]]</f>
        <v>0</v>
      </c>
      <c r="AL384" s="288">
        <f>Tabla14[[#This Row],[Valor Precorte Pesona]]</f>
        <v>0</v>
      </c>
      <c r="AM384" s="294">
        <f>Tabla14[[#This Row],[Personas Precorte]]</f>
        <v>0</v>
      </c>
      <c r="AN384" s="308">
        <f>Tabla14[[#This Row],[Valor Precorte Pesona Precorte]]*Tabla14[[#This Row],[Perzonas Precorte]]</f>
        <v>0</v>
      </c>
      <c r="AO384" s="287">
        <f>Tabla14[[#This Row],[Cajas por Personas2]]</f>
        <v>8.5384615384615383</v>
      </c>
      <c r="AP384" s="288">
        <f>Tabla14[[#This Row],[Valor Embarque Pesona]]</f>
        <v>15369.23076923077</v>
      </c>
      <c r="AQ384" s="295">
        <f>Tabla14[[#This Row],[Personas Precorte2]]</f>
        <v>13</v>
      </c>
      <c r="AR384" s="296">
        <f>Tabla14[[#This Row],[Valor Embarque Pesona3]]*Tabla14[[#This Row],[Perzona Primera]]</f>
        <v>199800</v>
      </c>
      <c r="AS384" s="287">
        <f>Tabla14[[#This Row],[Columna2]]</f>
        <v>0</v>
      </c>
      <c r="AT384" s="288">
        <f>Tabla14[[#This Row],[Columna1]]</f>
        <v>0</v>
      </c>
      <c r="AU384" s="302">
        <f>Tabla14[[#This Row],[Personas Intervienen]]</f>
        <v>0</v>
      </c>
      <c r="AV384" s="297">
        <f>Tabla14[[#This Row],[Valor Embarque Pesona5]]*Tabla14[[#This Row],[Presonas Segunda]]</f>
        <v>0</v>
      </c>
      <c r="AW384" s="287">
        <f>Tabla14[[#This Row],[Bolsas Por Personas]]</f>
        <v>5.4953846153846149</v>
      </c>
      <c r="AX384" s="288">
        <f>Tabla14[[#This Row],[Valor bolsas Pesona]]</f>
        <v>3159.8461538461534</v>
      </c>
      <c r="AY384" s="309">
        <f>Tabla14[[#This Row],[Personas13]]</f>
        <v>13</v>
      </c>
      <c r="AZ384" s="310">
        <f>Tabla14[[#This Row],[Valor bolsas Pesona2]]*Tabla14[[#This Row],[Personas Rechazo]]</f>
        <v>41077.999999999993</v>
      </c>
      <c r="BA384" s="311">
        <f>+Tabla14[[#This Row],[Total Valor Segunda]]+Tabla14[[#This Row],[Total Valor Primera]]+Tabla14[[#This Row],[Total Valor Precorte]]</f>
        <v>199800</v>
      </c>
      <c r="BB384" s="538">
        <f>Tabla14[[#This Row],[Valor bolsas Pesona2]]+Tabla14[[#This Row],[Valor Embarque Pesona3]]</f>
        <v>18529.076923076922</v>
      </c>
      <c r="BC384" s="539"/>
      <c r="BD384" s="538">
        <f>Tabla14[[#This Row],[VALOR GANADO]]-Tabla14[[#This Row],[REAJUSTADO]]</f>
        <v>18529.076923076922</v>
      </c>
      <c r="BE384" s="250">
        <f>Tabla14[[#This Row],[CUANTO SE REAJUSTA]]*Tabla14[[#This Row],[Personas Rechazo]]</f>
        <v>240878</v>
      </c>
      <c r="BF384" s="250">
        <f>Tabla14[[#This Row],[REAJUSTADO]]/25000</f>
        <v>0</v>
      </c>
      <c r="BG384" s="302">
        <f>Tabla14[[#This Row],[REAJUSTADO]]*Tabla14[[#This Row],[Personas Rechazo]]</f>
        <v>0</v>
      </c>
      <c r="BH384" s="292" t="str">
        <f>Tabla14[[#This Row],[Finca]]</f>
        <v>San Pedro</v>
      </c>
      <c r="BJ384" s="332">
        <f>Tabla14[[#This Row],[Numero de Ocacionales]]*Tabla14[[#This Row],[REAJUSTADO]]</f>
        <v>0</v>
      </c>
      <c r="BK384" s="332"/>
      <c r="BL384" s="332"/>
      <c r="BM384" s="332">
        <f>+Tabla14[[#This Row],[CUANTO SE REAJUSTA]]*3</f>
        <v>55587.230769230766</v>
      </c>
    </row>
    <row r="385" spans="3:65" x14ac:dyDescent="0.25">
      <c r="C385" s="515">
        <v>45098</v>
      </c>
      <c r="D385" s="507">
        <f>YEAR(Tabla14[[#This Row],[Fecha]])</f>
        <v>2023</v>
      </c>
      <c r="E385" s="516">
        <f>IF(Tabla14[[#This Row],[Fecha]]&gt;0,_xlfn.ISOWEEKNUM(Tabla14[[#This Row],[Fecha]]),0)</f>
        <v>25</v>
      </c>
      <c r="F385" s="283">
        <v>14</v>
      </c>
      <c r="G385" s="275" t="s">
        <v>249</v>
      </c>
      <c r="H385" s="325" t="str">
        <f>_xlfn.XLOOKUP(Tabla14[[#This Row],[Codigo Finca]],Tabla4[Codigo Finca],Tabla4[Nombre Finca],"")</f>
        <v>San Pedro</v>
      </c>
      <c r="I385" s="277">
        <f>_xlfn.XLOOKUP(Tabla14[[#This Row],[Codigo Finca]],Tabla4[Codigo Finca],Tabla4[Precio Caja],0)</f>
        <v>2000</v>
      </c>
      <c r="J385" s="277">
        <f>_xlfn.XLOOKUP(Tabla14[[#This Row],[Codigo Finca]],Tabla4[Codigo Finca],Tabla4[Precio Caja Segunda],0)</f>
        <v>1150</v>
      </c>
      <c r="K385" s="277">
        <f>_xlfn.XLOOKUP(Tabla14[[#This Row],[Codigo Finca]],Tabla4[Codigo Finca],Tabla4[Precio Rechazo],0)</f>
        <v>675</v>
      </c>
      <c r="L385" s="277">
        <f t="shared" si="413"/>
        <v>83</v>
      </c>
      <c r="M385" s="278">
        <f t="shared" si="414"/>
        <v>5.9285714285714288</v>
      </c>
      <c r="N385" s="283"/>
      <c r="O385" s="279"/>
      <c r="P385" s="280">
        <f t="shared" si="415"/>
        <v>0</v>
      </c>
      <c r="Q385" s="281">
        <f t="shared" si="416"/>
        <v>0</v>
      </c>
      <c r="R385" s="282">
        <f t="shared" si="417"/>
        <v>0</v>
      </c>
      <c r="S385" s="283">
        <v>83</v>
      </c>
      <c r="T385" s="275">
        <v>13</v>
      </c>
      <c r="U385" s="280">
        <f t="shared" si="418"/>
        <v>14</v>
      </c>
      <c r="V385" s="281">
        <f t="shared" si="419"/>
        <v>1.0769230769230769</v>
      </c>
      <c r="W385" s="282">
        <f t="shared" si="420"/>
        <v>2153.8461538461538</v>
      </c>
      <c r="X385" s="283"/>
      <c r="Y385" s="275"/>
      <c r="Z385" s="280">
        <f>Tabla14[[#This Row],[Cajas Segunda]]</f>
        <v>0</v>
      </c>
      <c r="AA385" s="281">
        <f t="shared" si="421"/>
        <v>0</v>
      </c>
      <c r="AB385" s="284">
        <f t="shared" si="422"/>
        <v>0</v>
      </c>
      <c r="AC385" s="285"/>
      <c r="AD385" s="286">
        <v>203</v>
      </c>
      <c r="AE385" s="286"/>
      <c r="AF385" s="286"/>
      <c r="AG385" s="286">
        <v>13</v>
      </c>
      <c r="AH385" s="280">
        <f t="shared" si="423"/>
        <v>8.1199999999999992</v>
      </c>
      <c r="AI385" s="281">
        <f t="shared" si="424"/>
        <v>0.62461538461538457</v>
      </c>
      <c r="AJ385" s="282">
        <f t="shared" si="425"/>
        <v>421.61538461538458</v>
      </c>
      <c r="AK385" s="287">
        <f>Tabla14[[#This Row],[Cajas por Personas]]</f>
        <v>0</v>
      </c>
      <c r="AL385" s="288">
        <f>Tabla14[[#This Row],[Valor Precorte Pesona]]</f>
        <v>0</v>
      </c>
      <c r="AM385" s="294">
        <f>Tabla14[[#This Row],[Personas Precorte]]</f>
        <v>0</v>
      </c>
      <c r="AN385" s="308">
        <f>Tabla14[[#This Row],[Valor Precorte Pesona Precorte]]*Tabla14[[#This Row],[Perzonas Precorte]]</f>
        <v>0</v>
      </c>
      <c r="AO385" s="287">
        <f>Tabla14[[#This Row],[Cajas por Personas2]]</f>
        <v>1.0769230769230769</v>
      </c>
      <c r="AP385" s="288">
        <f>Tabla14[[#This Row],[Valor Embarque Pesona]]</f>
        <v>2153.8461538461538</v>
      </c>
      <c r="AQ385" s="295">
        <f>Tabla14[[#This Row],[Personas Precorte2]]</f>
        <v>13</v>
      </c>
      <c r="AR385" s="296">
        <f>Tabla14[[#This Row],[Valor Embarque Pesona3]]*Tabla14[[#This Row],[Perzona Primera]]</f>
        <v>28000</v>
      </c>
      <c r="AS385" s="287">
        <f>Tabla14[[#This Row],[Columna2]]</f>
        <v>0</v>
      </c>
      <c r="AT385" s="288">
        <f>Tabla14[[#This Row],[Columna1]]</f>
        <v>0</v>
      </c>
      <c r="AU385" s="302">
        <f>Tabla14[[#This Row],[Personas Intervienen]]</f>
        <v>0</v>
      </c>
      <c r="AV385" s="297">
        <f>Tabla14[[#This Row],[Valor Embarque Pesona5]]*Tabla14[[#This Row],[Presonas Segunda]]</f>
        <v>0</v>
      </c>
      <c r="AW385" s="287">
        <f>Tabla14[[#This Row],[Bolsas Por Personas]]</f>
        <v>0.62461538461538457</v>
      </c>
      <c r="AX385" s="288">
        <f>Tabla14[[#This Row],[Valor bolsas Pesona]]</f>
        <v>421.61538461538458</v>
      </c>
      <c r="AY385" s="309">
        <f>Tabla14[[#This Row],[Personas13]]</f>
        <v>13</v>
      </c>
      <c r="AZ385" s="310">
        <f>Tabla14[[#This Row],[Valor bolsas Pesona2]]*Tabla14[[#This Row],[Personas Rechazo]]</f>
        <v>5481</v>
      </c>
      <c r="BA385" s="311">
        <f>+Tabla14[[#This Row],[Total Valor Segunda]]+Tabla14[[#This Row],[Total Valor Primera]]+Tabla14[[#This Row],[Total Valor Precorte]]</f>
        <v>28000</v>
      </c>
      <c r="BB385" s="538">
        <f>Tabla14[[#This Row],[Valor bolsas Pesona2]]+Tabla14[[#This Row],[Valor Embarque Pesona3]]</f>
        <v>2575.4615384615386</v>
      </c>
      <c r="BC385" s="539"/>
      <c r="BD385" s="538">
        <f>Tabla14[[#This Row],[VALOR GANADO]]-Tabla14[[#This Row],[REAJUSTADO]]</f>
        <v>2575.4615384615386</v>
      </c>
      <c r="BE385" s="250">
        <f>Tabla14[[#This Row],[CUANTO SE REAJUSTA]]*Tabla14[[#This Row],[Personas Rechazo]]</f>
        <v>33481</v>
      </c>
      <c r="BF385" s="250">
        <f>Tabla14[[#This Row],[REAJUSTADO]]/25000</f>
        <v>0</v>
      </c>
      <c r="BG385" s="302">
        <f>Tabla14[[#This Row],[REAJUSTADO]]*Tabla14[[#This Row],[Personas Rechazo]]</f>
        <v>0</v>
      </c>
      <c r="BH385" s="292" t="str">
        <f>Tabla14[[#This Row],[Finca]]</f>
        <v>San Pedro</v>
      </c>
      <c r="BJ385" s="332">
        <f>Tabla14[[#This Row],[Numero de Ocacionales]]*Tabla14[[#This Row],[REAJUSTADO]]</f>
        <v>0</v>
      </c>
      <c r="BK385" s="332"/>
      <c r="BL385" s="332"/>
      <c r="BM385" s="332">
        <f>+Tabla14[[#This Row],[CUANTO SE REAJUSTA]]*3</f>
        <v>7726.3846153846152</v>
      </c>
    </row>
    <row r="386" spans="3:65" x14ac:dyDescent="0.25">
      <c r="C386" s="515">
        <v>45098</v>
      </c>
      <c r="D386" s="507">
        <f>YEAR(Tabla14[[#This Row],[Fecha]])</f>
        <v>2023</v>
      </c>
      <c r="E386" s="516">
        <f>IF(Tabla14[[#This Row],[Fecha]]&gt;0,_xlfn.ISOWEEKNUM(Tabla14[[#This Row],[Fecha]]),0)</f>
        <v>25</v>
      </c>
      <c r="F386" s="283">
        <v>49</v>
      </c>
      <c r="G386" s="275" t="s">
        <v>248</v>
      </c>
      <c r="H386" s="325" t="str">
        <f>_xlfn.XLOOKUP(Tabla14[[#This Row],[Codigo Finca]],Tabla4[Codigo Finca],Tabla4[Nombre Finca],"")</f>
        <v>Damaquiel</v>
      </c>
      <c r="I386" s="277">
        <f>_xlfn.XLOOKUP(Tabla14[[#This Row],[Codigo Finca]],Tabla4[Codigo Finca],Tabla4[Precio Caja],0)</f>
        <v>1800</v>
      </c>
      <c r="J386" s="277">
        <f>_xlfn.XLOOKUP(Tabla14[[#This Row],[Codigo Finca]],Tabla4[Codigo Finca],Tabla4[Precio Caja Segunda],0)</f>
        <v>1150</v>
      </c>
      <c r="K386" s="277">
        <f>_xlfn.XLOOKUP(Tabla14[[#This Row],[Codigo Finca]],Tabla4[Codigo Finca],Tabla4[Precio Rechazo],0)</f>
        <v>575</v>
      </c>
      <c r="L386" s="277">
        <f t="shared" si="413"/>
        <v>220</v>
      </c>
      <c r="M386" s="278">
        <f t="shared" si="414"/>
        <v>4.4897959183673466</v>
      </c>
      <c r="N386" s="283"/>
      <c r="O386" s="279"/>
      <c r="P386" s="280">
        <f t="shared" si="415"/>
        <v>0</v>
      </c>
      <c r="Q386" s="281">
        <f t="shared" si="416"/>
        <v>0</v>
      </c>
      <c r="R386" s="282">
        <f t="shared" si="417"/>
        <v>0</v>
      </c>
      <c r="S386" s="283">
        <f>18+35+30+17+2+118</f>
        <v>220</v>
      </c>
      <c r="T386" s="275">
        <v>4</v>
      </c>
      <c r="U386" s="280">
        <f t="shared" si="418"/>
        <v>49</v>
      </c>
      <c r="V386" s="281">
        <f t="shared" si="419"/>
        <v>12.25</v>
      </c>
      <c r="W386" s="282">
        <f t="shared" si="420"/>
        <v>22050</v>
      </c>
      <c r="X386" s="283"/>
      <c r="Y386" s="275"/>
      <c r="Z386" s="280">
        <f>Tabla14[[#This Row],[Cajas Segunda]]</f>
        <v>0</v>
      </c>
      <c r="AA386" s="281">
        <f t="shared" si="421"/>
        <v>0</v>
      </c>
      <c r="AB386" s="284">
        <f t="shared" si="422"/>
        <v>0</v>
      </c>
      <c r="AC386" s="285"/>
      <c r="AD386" s="286">
        <v>671</v>
      </c>
      <c r="AE386" s="286"/>
      <c r="AF386" s="286"/>
      <c r="AG386" s="286">
        <v>4</v>
      </c>
      <c r="AH386" s="280">
        <f t="shared" si="423"/>
        <v>26.84</v>
      </c>
      <c r="AI386" s="281">
        <f t="shared" si="424"/>
        <v>6.71</v>
      </c>
      <c r="AJ386" s="282">
        <f t="shared" si="425"/>
        <v>3858.25</v>
      </c>
      <c r="AK386" s="287">
        <f>Tabla14[[#This Row],[Cajas por Personas]]</f>
        <v>0</v>
      </c>
      <c r="AL386" s="288">
        <f>Tabla14[[#This Row],[Valor Precorte Pesona]]</f>
        <v>0</v>
      </c>
      <c r="AM386" s="294">
        <f>Tabla14[[#This Row],[Personas Precorte]]</f>
        <v>0</v>
      </c>
      <c r="AN386" s="308">
        <f>Tabla14[[#This Row],[Valor Precorte Pesona Precorte]]*Tabla14[[#This Row],[Perzonas Precorte]]</f>
        <v>0</v>
      </c>
      <c r="AO386" s="287">
        <f>Tabla14[[#This Row],[Cajas por Personas2]]</f>
        <v>12.25</v>
      </c>
      <c r="AP386" s="288">
        <f>Tabla14[[#This Row],[Valor Embarque Pesona]]</f>
        <v>22050</v>
      </c>
      <c r="AQ386" s="295">
        <f>Tabla14[[#This Row],[Personas Precorte2]]</f>
        <v>4</v>
      </c>
      <c r="AR386" s="296">
        <f>Tabla14[[#This Row],[Valor Embarque Pesona3]]*Tabla14[[#This Row],[Perzona Primera]]</f>
        <v>88200</v>
      </c>
      <c r="AS386" s="287">
        <f>Tabla14[[#This Row],[Columna2]]</f>
        <v>0</v>
      </c>
      <c r="AT386" s="288">
        <f>Tabla14[[#This Row],[Columna1]]</f>
        <v>0</v>
      </c>
      <c r="AU386" s="302">
        <f>Tabla14[[#This Row],[Personas Intervienen]]</f>
        <v>0</v>
      </c>
      <c r="AV386" s="297">
        <f>Tabla14[[#This Row],[Valor Embarque Pesona5]]*Tabla14[[#This Row],[Presonas Segunda]]</f>
        <v>0</v>
      </c>
      <c r="AW386" s="287">
        <f>Tabla14[[#This Row],[Bolsas Por Personas]]</f>
        <v>6.71</v>
      </c>
      <c r="AX386" s="288">
        <f>Tabla14[[#This Row],[Valor bolsas Pesona]]</f>
        <v>3858.25</v>
      </c>
      <c r="AY386" s="309">
        <f>Tabla14[[#This Row],[Personas13]]</f>
        <v>4</v>
      </c>
      <c r="AZ386" s="310">
        <f>Tabla14[[#This Row],[Valor bolsas Pesona2]]*Tabla14[[#This Row],[Personas Rechazo]]</f>
        <v>15433</v>
      </c>
      <c r="BA386" s="311">
        <f>+Tabla14[[#This Row],[Total Valor Segunda]]+Tabla14[[#This Row],[Total Valor Primera]]+Tabla14[[#This Row],[Total Valor Precorte]]</f>
        <v>88200</v>
      </c>
      <c r="BB386" s="292">
        <f>Tabla14[[#This Row],[Valor bolsas Pesona2]]+Tabla14[[#This Row],[Valor Embarque Pesona3]]</f>
        <v>25908.25</v>
      </c>
      <c r="BC386" s="332">
        <v>30000</v>
      </c>
      <c r="BD386" s="292">
        <f>Tabla14[[#This Row],[VALOR GANADO]]-Tabla14[[#This Row],[REAJUSTADO]]</f>
        <v>-4091.75</v>
      </c>
      <c r="BE386" s="250">
        <f>Tabla14[[#This Row],[CUANTO SE REAJUSTA]]*Tabla14[[#This Row],[Personas Rechazo]]</f>
        <v>-16367</v>
      </c>
      <c r="BF386" s="250">
        <f>Tabla14[[#This Row],[REAJUSTADO]]/25000</f>
        <v>1.2</v>
      </c>
      <c r="BG386" s="302">
        <f>Tabla14[[#This Row],[REAJUSTADO]]*Tabla14[[#This Row],[Personas Rechazo]]</f>
        <v>120000</v>
      </c>
      <c r="BH386" s="292" t="str">
        <f>Tabla14[[#This Row],[Finca]]</f>
        <v>Damaquiel</v>
      </c>
      <c r="BJ386" s="332">
        <f>Tabla14[[#This Row],[Numero de Ocacionales]]*Tabla14[[#This Row],[REAJUSTADO]]</f>
        <v>0</v>
      </c>
      <c r="BK386" s="332"/>
      <c r="BL386" s="332"/>
      <c r="BM386" s="332">
        <f>+Tabla14[[#This Row],[CUANTO SE REAJUSTA]]*3</f>
        <v>-12275.25</v>
      </c>
    </row>
    <row r="387" spans="3:65" x14ac:dyDescent="0.25">
      <c r="C387" s="515">
        <v>45099</v>
      </c>
      <c r="D387" s="507">
        <f>YEAR(Tabla14[[#This Row],[Fecha]])</f>
        <v>2023</v>
      </c>
      <c r="E387" s="516">
        <f>IF(Tabla14[[#This Row],[Fecha]]&gt;0,_xlfn.ISOWEEKNUM(Tabla14[[#This Row],[Fecha]]),0)</f>
        <v>25</v>
      </c>
      <c r="F387" s="283">
        <v>210</v>
      </c>
      <c r="G387" s="275" t="s">
        <v>251</v>
      </c>
      <c r="H387" s="325" t="str">
        <f>_xlfn.XLOOKUP(Tabla14[[#This Row],[Codigo Finca]],Tabla4[Codigo Finca],Tabla4[Nombre Finca],"")</f>
        <v>Pedrito</v>
      </c>
      <c r="I387" s="277">
        <f>_xlfn.XLOOKUP(Tabla14[[#This Row],[Codigo Finca]],Tabla4[Codigo Finca],Tabla4[Precio Caja],0)</f>
        <v>1800</v>
      </c>
      <c r="J387" s="277">
        <f>_xlfn.XLOOKUP(Tabla14[[#This Row],[Codigo Finca]],Tabla4[Codigo Finca],Tabla4[Precio Caja Segunda],0)</f>
        <v>1150</v>
      </c>
      <c r="K387" s="277">
        <f>_xlfn.XLOOKUP(Tabla14[[#This Row],[Codigo Finca]],Tabla4[Codigo Finca],Tabla4[Precio Rechazo],0)</f>
        <v>575</v>
      </c>
      <c r="L387" s="277">
        <f t="shared" si="413"/>
        <v>1008</v>
      </c>
      <c r="M387" s="278">
        <f t="shared" si="414"/>
        <v>4.8</v>
      </c>
      <c r="N387" s="283"/>
      <c r="O387" s="279"/>
      <c r="P387" s="280">
        <f t="shared" si="415"/>
        <v>0</v>
      </c>
      <c r="Q387" s="281">
        <f t="shared" si="416"/>
        <v>0</v>
      </c>
      <c r="R387" s="282">
        <f t="shared" si="417"/>
        <v>0</v>
      </c>
      <c r="S387" s="283">
        <f>52+3+59+60+10+253+142+95+42+25+132+39+52+44</f>
        <v>1008</v>
      </c>
      <c r="T387" s="275">
        <v>13</v>
      </c>
      <c r="U387" s="280">
        <f t="shared" si="418"/>
        <v>210</v>
      </c>
      <c r="V387" s="281">
        <f t="shared" si="419"/>
        <v>16.153846153846153</v>
      </c>
      <c r="W387" s="282">
        <f t="shared" si="420"/>
        <v>29076.923076923078</v>
      </c>
      <c r="X387" s="283"/>
      <c r="Y387" s="275"/>
      <c r="Z387" s="280">
        <f>Tabla14[[#This Row],[Cajas Segunda]]</f>
        <v>0</v>
      </c>
      <c r="AA387" s="281">
        <f t="shared" si="421"/>
        <v>0</v>
      </c>
      <c r="AB387" s="284">
        <f t="shared" si="422"/>
        <v>0</v>
      </c>
      <c r="AC387" s="285"/>
      <c r="AD387" s="286">
        <f>2537+63</f>
        <v>2600</v>
      </c>
      <c r="AE387" s="286"/>
      <c r="AF387" s="286"/>
      <c r="AG387" s="286">
        <v>13</v>
      </c>
      <c r="AH387" s="280">
        <f t="shared" si="423"/>
        <v>104</v>
      </c>
      <c r="AI387" s="281">
        <f t="shared" si="424"/>
        <v>8</v>
      </c>
      <c r="AJ387" s="282">
        <f t="shared" si="425"/>
        <v>4600</v>
      </c>
      <c r="AK387" s="287">
        <f>Tabla14[[#This Row],[Cajas por Personas]]</f>
        <v>0</v>
      </c>
      <c r="AL387" s="288">
        <f>Tabla14[[#This Row],[Valor Precorte Pesona]]</f>
        <v>0</v>
      </c>
      <c r="AM387" s="294">
        <f>Tabla14[[#This Row],[Personas Precorte]]</f>
        <v>0</v>
      </c>
      <c r="AN387" s="308">
        <f>Tabla14[[#This Row],[Valor Precorte Pesona Precorte]]*Tabla14[[#This Row],[Perzonas Precorte]]</f>
        <v>0</v>
      </c>
      <c r="AO387" s="287">
        <f>Tabla14[[#This Row],[Cajas por Personas2]]</f>
        <v>16.153846153846153</v>
      </c>
      <c r="AP387" s="288">
        <f>Tabla14[[#This Row],[Valor Embarque Pesona]]</f>
        <v>29076.923076923078</v>
      </c>
      <c r="AQ387" s="295">
        <f>Tabla14[[#This Row],[Personas Precorte2]]</f>
        <v>13</v>
      </c>
      <c r="AR387" s="296">
        <f>Tabla14[[#This Row],[Valor Embarque Pesona3]]*Tabla14[[#This Row],[Perzona Primera]]</f>
        <v>378000</v>
      </c>
      <c r="AS387" s="287">
        <f>Tabla14[[#This Row],[Columna2]]</f>
        <v>0</v>
      </c>
      <c r="AT387" s="288">
        <f>Tabla14[[#This Row],[Columna1]]</f>
        <v>0</v>
      </c>
      <c r="AU387" s="302">
        <f>Tabla14[[#This Row],[Personas Intervienen]]</f>
        <v>0</v>
      </c>
      <c r="AV387" s="297">
        <f>Tabla14[[#This Row],[Valor Embarque Pesona5]]*Tabla14[[#This Row],[Presonas Segunda]]</f>
        <v>0</v>
      </c>
      <c r="AW387" s="287">
        <f>Tabla14[[#This Row],[Bolsas Por Personas]]</f>
        <v>8</v>
      </c>
      <c r="AX387" s="288">
        <f>Tabla14[[#This Row],[Valor bolsas Pesona]]</f>
        <v>4600</v>
      </c>
      <c r="AY387" s="309">
        <f>Tabla14[[#This Row],[Personas13]]</f>
        <v>13</v>
      </c>
      <c r="AZ387" s="310">
        <f>Tabla14[[#This Row],[Valor bolsas Pesona2]]*Tabla14[[#This Row],[Personas Rechazo]]</f>
        <v>59800</v>
      </c>
      <c r="BA387" s="311">
        <f>+Tabla14[[#This Row],[Total Valor Segunda]]+Tabla14[[#This Row],[Total Valor Primera]]+Tabla14[[#This Row],[Total Valor Precorte]]</f>
        <v>378000</v>
      </c>
      <c r="BB387" s="292">
        <f>Tabla14[[#This Row],[Valor bolsas Pesona2]]+Tabla14[[#This Row],[Valor Embarque Pesona3]]</f>
        <v>33676.923076923078</v>
      </c>
      <c r="BC387" s="332">
        <v>33650</v>
      </c>
      <c r="BD387" s="292">
        <f>Tabla14[[#This Row],[VALOR GANADO]]-Tabla14[[#This Row],[REAJUSTADO]]</f>
        <v>26.923076923078042</v>
      </c>
      <c r="BE387" s="250">
        <f>Tabla14[[#This Row],[CUANTO SE REAJUSTA]]*Tabla14[[#This Row],[Personas Rechazo]]</f>
        <v>350.00000000001455</v>
      </c>
      <c r="BF387" s="250">
        <f>Tabla14[[#This Row],[REAJUSTADO]]/25000</f>
        <v>1.3460000000000001</v>
      </c>
      <c r="BG387" s="302">
        <f>Tabla14[[#This Row],[REAJUSTADO]]*Tabla14[[#This Row],[Personas Rechazo]]</f>
        <v>437450</v>
      </c>
      <c r="BH387" s="292" t="str">
        <f>Tabla14[[#This Row],[Finca]]</f>
        <v>Pedrito</v>
      </c>
      <c r="BJ387" s="332">
        <f>Tabla14[[#This Row],[Numero de Ocacionales]]*Tabla14[[#This Row],[REAJUSTADO]]</f>
        <v>0</v>
      </c>
      <c r="BK387" s="332"/>
      <c r="BL387" s="332"/>
      <c r="BM387" s="332">
        <f>+Tabla14[[#This Row],[CUANTO SE REAJUSTA]]*3</f>
        <v>80.769230769234127</v>
      </c>
    </row>
    <row r="388" spans="3:65" x14ac:dyDescent="0.25">
      <c r="C388" s="515">
        <v>45105</v>
      </c>
      <c r="D388" s="507">
        <f>YEAR(Tabla14[[#This Row],[Fecha]])</f>
        <v>2023</v>
      </c>
      <c r="E388" s="516">
        <f>IF(Tabla14[[#This Row],[Fecha]]&gt;0,_xlfn.ISOWEEKNUM(Tabla14[[#This Row],[Fecha]]),0)</f>
        <v>26</v>
      </c>
      <c r="F388" s="283">
        <v>120</v>
      </c>
      <c r="G388" s="275" t="s">
        <v>250</v>
      </c>
      <c r="H388" s="325" t="str">
        <f>_xlfn.XLOOKUP(Tabla14[[#This Row],[Codigo Finca]],Tabla4[Codigo Finca],Tabla4[Nombre Finca],"")</f>
        <v>San Pedro</v>
      </c>
      <c r="I388" s="277">
        <f>_xlfn.XLOOKUP(Tabla14[[#This Row],[Codigo Finca]],Tabla4[Codigo Finca],Tabla4[Precio Caja],0)</f>
        <v>1800</v>
      </c>
      <c r="J388" s="277">
        <f>_xlfn.XLOOKUP(Tabla14[[#This Row],[Codigo Finca]],Tabla4[Codigo Finca],Tabla4[Precio Caja Segunda],0)</f>
        <v>1150</v>
      </c>
      <c r="K388" s="277">
        <f>_xlfn.XLOOKUP(Tabla14[[#This Row],[Codigo Finca]],Tabla4[Codigo Finca],Tabla4[Precio Rechazo],0)</f>
        <v>575</v>
      </c>
      <c r="L388" s="277">
        <f t="shared" si="413"/>
        <v>839</v>
      </c>
      <c r="M388" s="278">
        <f t="shared" si="414"/>
        <v>6.9916666666666663</v>
      </c>
      <c r="N388" s="283"/>
      <c r="O388" s="279"/>
      <c r="P388" s="280">
        <f t="shared" si="415"/>
        <v>0</v>
      </c>
      <c r="Q388" s="281">
        <f t="shared" si="416"/>
        <v>0</v>
      </c>
      <c r="R388" s="282">
        <f t="shared" si="417"/>
        <v>0</v>
      </c>
      <c r="S388" s="283">
        <v>839</v>
      </c>
      <c r="T388" s="275">
        <v>11</v>
      </c>
      <c r="U388" s="280">
        <f t="shared" si="418"/>
        <v>120</v>
      </c>
      <c r="V388" s="281">
        <f t="shared" si="419"/>
        <v>10.909090909090908</v>
      </c>
      <c r="W388" s="282">
        <f t="shared" si="420"/>
        <v>19636.363636363636</v>
      </c>
      <c r="X388" s="283"/>
      <c r="Y388" s="275"/>
      <c r="Z388" s="280">
        <f>Tabla14[[#This Row],[Cajas Segunda]]</f>
        <v>0</v>
      </c>
      <c r="AA388" s="281">
        <f t="shared" si="421"/>
        <v>0</v>
      </c>
      <c r="AB388" s="284">
        <f t="shared" si="422"/>
        <v>0</v>
      </c>
      <c r="AC388" s="285"/>
      <c r="AD388" s="286">
        <f>1653-84</f>
        <v>1569</v>
      </c>
      <c r="AE388" s="286"/>
      <c r="AF388" s="286"/>
      <c r="AG388" s="286">
        <v>11</v>
      </c>
      <c r="AH388" s="280">
        <f t="shared" si="423"/>
        <v>62.76</v>
      </c>
      <c r="AI388" s="281">
        <f t="shared" si="424"/>
        <v>5.7054545454545451</v>
      </c>
      <c r="AJ388" s="282">
        <f t="shared" si="425"/>
        <v>3280.6363636363635</v>
      </c>
      <c r="AK388" s="287">
        <f>Tabla14[[#This Row],[Cajas por Personas]]</f>
        <v>0</v>
      </c>
      <c r="AL388" s="288">
        <f>Tabla14[[#This Row],[Valor Precorte Pesona]]</f>
        <v>0</v>
      </c>
      <c r="AM388" s="294">
        <f>Tabla14[[#This Row],[Personas Precorte]]</f>
        <v>0</v>
      </c>
      <c r="AN388" s="308">
        <f>Tabla14[[#This Row],[Valor Precorte Pesona Precorte]]*Tabla14[[#This Row],[Perzonas Precorte]]</f>
        <v>0</v>
      </c>
      <c r="AO388" s="287">
        <f>Tabla14[[#This Row],[Cajas por Personas2]]</f>
        <v>10.909090909090908</v>
      </c>
      <c r="AP388" s="288">
        <f>Tabla14[[#This Row],[Valor Embarque Pesona]]</f>
        <v>19636.363636363636</v>
      </c>
      <c r="AQ388" s="295">
        <f>Tabla14[[#This Row],[Personas Precorte2]]</f>
        <v>11</v>
      </c>
      <c r="AR388" s="296">
        <f>Tabla14[[#This Row],[Valor Embarque Pesona3]]*Tabla14[[#This Row],[Perzona Primera]]</f>
        <v>216000</v>
      </c>
      <c r="AS388" s="287">
        <f>Tabla14[[#This Row],[Columna2]]</f>
        <v>0</v>
      </c>
      <c r="AT388" s="288">
        <f>Tabla14[[#This Row],[Columna1]]</f>
        <v>0</v>
      </c>
      <c r="AU388" s="302">
        <f>Tabla14[[#This Row],[Personas Intervienen]]</f>
        <v>0</v>
      </c>
      <c r="AV388" s="297">
        <f>Tabla14[[#This Row],[Valor Embarque Pesona5]]*Tabla14[[#This Row],[Presonas Segunda]]</f>
        <v>0</v>
      </c>
      <c r="AW388" s="287">
        <f>Tabla14[[#This Row],[Bolsas Por Personas]]</f>
        <v>5.7054545454545451</v>
      </c>
      <c r="AX388" s="288">
        <f>Tabla14[[#This Row],[Valor bolsas Pesona]]</f>
        <v>3280.6363636363635</v>
      </c>
      <c r="AY388" s="309">
        <f>Tabla14[[#This Row],[Personas13]]</f>
        <v>11</v>
      </c>
      <c r="AZ388" s="310">
        <f>Tabla14[[#This Row],[Valor bolsas Pesona2]]*Tabla14[[#This Row],[Personas Rechazo]]</f>
        <v>36087</v>
      </c>
      <c r="BA388" s="311">
        <f>+Tabla14[[#This Row],[Total Valor Segunda]]+Tabla14[[#This Row],[Total Valor Primera]]+Tabla14[[#This Row],[Total Valor Precorte]]</f>
        <v>216000</v>
      </c>
      <c r="BB388" s="538">
        <f>Tabla14[[#This Row],[Valor bolsas Pesona2]]+Tabla14[[#This Row],[Valor Embarque Pesona3]]</f>
        <v>22917</v>
      </c>
      <c r="BC388" s="539">
        <v>37600</v>
      </c>
      <c r="BD388" s="538">
        <f>Tabla14[[#This Row],[VALOR GANADO]]-Tabla14[[#This Row],[REAJUSTADO]]</f>
        <v>-14683</v>
      </c>
      <c r="BE388" s="250">
        <f>Tabla14[[#This Row],[CUANTO SE REAJUSTA]]*Tabla14[[#This Row],[Personas Rechazo]]</f>
        <v>-161513</v>
      </c>
      <c r="BF388" s="250">
        <f>Tabla14[[#This Row],[REAJUSTADO]]/25000</f>
        <v>1.504</v>
      </c>
      <c r="BG388" s="302">
        <f>Tabla14[[#This Row],[REAJUSTADO]]*Tabla14[[#This Row],[Personas Rechazo]]</f>
        <v>413600</v>
      </c>
      <c r="BH388" s="292" t="str">
        <f>Tabla14[[#This Row],[Finca]]</f>
        <v>San Pedro</v>
      </c>
      <c r="BJ388" s="332">
        <f>Tabla14[[#This Row],[Numero de Ocacionales]]*Tabla14[[#This Row],[REAJUSTADO]]</f>
        <v>0</v>
      </c>
      <c r="BK388" s="332"/>
      <c r="BL388" s="332"/>
      <c r="BM388" s="332">
        <f>+Tabla14[[#This Row],[CUANTO SE REAJUSTA]]*3</f>
        <v>-44049</v>
      </c>
    </row>
    <row r="389" spans="3:65" x14ac:dyDescent="0.25">
      <c r="C389" s="515">
        <v>45105</v>
      </c>
      <c r="D389" s="507">
        <f>YEAR(Tabla14[[#This Row],[Fecha]])</f>
        <v>2023</v>
      </c>
      <c r="E389" s="518">
        <f>IF(Tabla14[[#This Row],[Fecha]]&gt;0,_xlfn.ISOWEEKNUM(Tabla14[[#This Row],[Fecha]]),0)</f>
        <v>26</v>
      </c>
      <c r="F389" s="269">
        <f>88-5</f>
        <v>83</v>
      </c>
      <c r="G389" s="275" t="s">
        <v>250</v>
      </c>
      <c r="H389" s="266" t="str">
        <f>_xlfn.XLOOKUP(Tabla14[[#This Row],[Codigo Finca]],Tabla4[Codigo Finca],Tabla4[Nombre Finca],"")</f>
        <v>San Pedro</v>
      </c>
      <c r="I389" s="262">
        <f>_xlfn.XLOOKUP(Tabla14[[#This Row],[Codigo Finca]],Tabla4[Codigo Finca],Tabla4[Precio Caja],0)</f>
        <v>1800</v>
      </c>
      <c r="J389" s="262">
        <f>_xlfn.XLOOKUP(Tabla14[[#This Row],[Codigo Finca]],Tabla4[Codigo Finca],Tabla4[Precio Caja Segunda],0)</f>
        <v>1150</v>
      </c>
      <c r="K389" s="262">
        <f>_xlfn.XLOOKUP(Tabla14[[#This Row],[Codigo Finca]],Tabla4[Codigo Finca],Tabla4[Precio Rechazo],0)</f>
        <v>575</v>
      </c>
      <c r="L389" s="262">
        <f t="shared" si="413"/>
        <v>0</v>
      </c>
      <c r="M389" s="272">
        <f t="shared" si="414"/>
        <v>0</v>
      </c>
      <c r="N389" s="269"/>
      <c r="O389" s="270"/>
      <c r="P389" s="280">
        <f t="shared" si="415"/>
        <v>0</v>
      </c>
      <c r="Q389" s="263">
        <f t="shared" si="416"/>
        <v>0</v>
      </c>
      <c r="R389" s="322">
        <f t="shared" si="417"/>
        <v>0</v>
      </c>
      <c r="S389" s="269"/>
      <c r="T389" s="268">
        <v>11</v>
      </c>
      <c r="U389" s="251">
        <f t="shared" si="418"/>
        <v>83</v>
      </c>
      <c r="V389" s="263">
        <f t="shared" si="419"/>
        <v>7.5454545454545459</v>
      </c>
      <c r="W389" s="322">
        <f t="shared" si="420"/>
        <v>13581.818181818182</v>
      </c>
      <c r="X389" s="269"/>
      <c r="Y389" s="268"/>
      <c r="Z389" s="251">
        <f>Tabla14[[#This Row],[Cajas Segunda]]</f>
        <v>0</v>
      </c>
      <c r="AA389" s="263">
        <f t="shared" si="421"/>
        <v>0</v>
      </c>
      <c r="AB389" s="265">
        <f t="shared" si="422"/>
        <v>0</v>
      </c>
      <c r="AC389" s="273"/>
      <c r="AD389" s="271"/>
      <c r="AE389" s="271"/>
      <c r="AF389" s="271"/>
      <c r="AG389" s="271">
        <v>11</v>
      </c>
      <c r="AH389" s="251">
        <f t="shared" si="423"/>
        <v>0</v>
      </c>
      <c r="AI389" s="263">
        <f t="shared" si="424"/>
        <v>0</v>
      </c>
      <c r="AJ389" s="322">
        <f t="shared" si="425"/>
        <v>0</v>
      </c>
      <c r="AK389" s="264">
        <f>Tabla14[[#This Row],[Cajas por Personas]]</f>
        <v>0</v>
      </c>
      <c r="AL389" s="267">
        <f>Tabla14[[#This Row],[Valor Precorte Pesona]]</f>
        <v>0</v>
      </c>
      <c r="AM389" s="294">
        <f>Tabla14[[#This Row],[Personas Precorte]]</f>
        <v>0</v>
      </c>
      <c r="AN389" s="308">
        <f>Tabla14[[#This Row],[Valor Precorte Pesona Precorte]]*Tabla14[[#This Row],[Perzonas Precorte]]</f>
        <v>0</v>
      </c>
      <c r="AO389" s="264">
        <f>Tabla14[[#This Row],[Cajas por Personas2]]</f>
        <v>7.5454545454545459</v>
      </c>
      <c r="AP389" s="267">
        <f>Tabla14[[#This Row],[Valor Embarque Pesona]]</f>
        <v>13581.818181818182</v>
      </c>
      <c r="AQ389" s="295">
        <f>Tabla14[[#This Row],[Personas Precorte2]]</f>
        <v>11</v>
      </c>
      <c r="AR389" s="296">
        <f>Tabla14[[#This Row],[Valor Embarque Pesona3]]*Tabla14[[#This Row],[Perzona Primera]]</f>
        <v>149400</v>
      </c>
      <c r="AS389" s="264">
        <f>Tabla14[[#This Row],[Columna2]]</f>
        <v>0</v>
      </c>
      <c r="AT389" s="267">
        <f>Tabla14[[#This Row],[Columna1]]</f>
        <v>0</v>
      </c>
      <c r="AU389" s="302">
        <f>Tabla14[[#This Row],[Personas Intervienen]]</f>
        <v>0</v>
      </c>
      <c r="AV389" s="297">
        <f>Tabla14[[#This Row],[Valor Embarque Pesona5]]*Tabla14[[#This Row],[Presonas Segunda]]</f>
        <v>0</v>
      </c>
      <c r="AW389" s="264">
        <f>Tabla14[[#This Row],[Bolsas Por Personas]]</f>
        <v>0</v>
      </c>
      <c r="AX389" s="267">
        <f>Tabla14[[#This Row],[Valor bolsas Pesona]]</f>
        <v>0</v>
      </c>
      <c r="AY389" s="290">
        <f>Tabla14[[#This Row],[Personas13]]</f>
        <v>11</v>
      </c>
      <c r="AZ389" s="323">
        <f>Tabla14[[#This Row],[Valor bolsas Pesona2]]*Tabla14[[#This Row],[Personas Rechazo]]</f>
        <v>0</v>
      </c>
      <c r="BA389" s="324">
        <f>+Tabla14[[#This Row],[Total Valor Segunda]]+Tabla14[[#This Row],[Total Valor Primera]]+Tabla14[[#This Row],[Total Valor Precorte]]</f>
        <v>149400</v>
      </c>
      <c r="BB389" s="538">
        <f>Tabla14[[#This Row],[Valor bolsas Pesona2]]+Tabla14[[#This Row],[Valor Embarque Pesona3]]</f>
        <v>13581.818181818182</v>
      </c>
      <c r="BC389" s="539"/>
      <c r="BD389" s="538">
        <f>Tabla14[[#This Row],[VALOR GANADO]]-Tabla14[[#This Row],[REAJUSTADO]]</f>
        <v>13581.818181818182</v>
      </c>
      <c r="BE389" s="250">
        <f>Tabla14[[#This Row],[CUANTO SE REAJUSTA]]*Tabla14[[#This Row],[Personas Rechazo]]</f>
        <v>149400</v>
      </c>
      <c r="BF389" s="250">
        <f>Tabla14[[#This Row],[REAJUSTADO]]/25000</f>
        <v>0</v>
      </c>
      <c r="BG389" s="302">
        <f>Tabla14[[#This Row],[REAJUSTADO]]*Tabla14[[#This Row],[Personas Rechazo]]</f>
        <v>0</v>
      </c>
      <c r="BH389" s="292" t="str">
        <f>Tabla14[[#This Row],[Finca]]</f>
        <v>San Pedro</v>
      </c>
      <c r="BJ389" s="332">
        <f>Tabla14[[#This Row],[Numero de Ocacionales]]*Tabla14[[#This Row],[REAJUSTADO]]</f>
        <v>0</v>
      </c>
      <c r="BK389" s="332"/>
      <c r="BL389" s="332"/>
      <c r="BM389" s="332">
        <f>+Tabla14[[#This Row],[CUANTO SE REAJUSTA]]*3</f>
        <v>40745.454545454544</v>
      </c>
    </row>
    <row r="390" spans="3:65" x14ac:dyDescent="0.25">
      <c r="C390" s="515">
        <v>45105</v>
      </c>
      <c r="D390" s="507">
        <f>YEAR(Tabla14[[#This Row],[Fecha]])</f>
        <v>2023</v>
      </c>
      <c r="E390" s="516">
        <f>IF(Tabla14[[#This Row],[Fecha]]&gt;0,_xlfn.ISOWEEKNUM(Tabla14[[#This Row],[Fecha]]),0)</f>
        <v>26</v>
      </c>
      <c r="F390" s="283">
        <v>5</v>
      </c>
      <c r="G390" s="275" t="s">
        <v>249</v>
      </c>
      <c r="H390" s="325" t="str">
        <f>_xlfn.XLOOKUP(Tabla14[[#This Row],[Codigo Finca]],Tabla4[Codigo Finca],Tabla4[Nombre Finca],"")</f>
        <v>San Pedro</v>
      </c>
      <c r="I390" s="277">
        <f>_xlfn.XLOOKUP(Tabla14[[#This Row],[Codigo Finca]],Tabla4[Codigo Finca],Tabla4[Precio Caja],0)</f>
        <v>2000</v>
      </c>
      <c r="J390" s="277">
        <f>_xlfn.XLOOKUP(Tabla14[[#This Row],[Codigo Finca]],Tabla4[Codigo Finca],Tabla4[Precio Caja Segunda],0)</f>
        <v>1150</v>
      </c>
      <c r="K390" s="277">
        <f>_xlfn.XLOOKUP(Tabla14[[#This Row],[Codigo Finca]],Tabla4[Codigo Finca],Tabla4[Precio Rechazo],0)</f>
        <v>675</v>
      </c>
      <c r="L390" s="277">
        <f t="shared" si="413"/>
        <v>0</v>
      </c>
      <c r="M390" s="278">
        <f t="shared" si="414"/>
        <v>0</v>
      </c>
      <c r="N390" s="283"/>
      <c r="O390" s="279"/>
      <c r="P390" s="280">
        <f t="shared" si="415"/>
        <v>0</v>
      </c>
      <c r="Q390" s="281">
        <f t="shared" si="416"/>
        <v>0</v>
      </c>
      <c r="R390" s="282">
        <f t="shared" si="417"/>
        <v>0</v>
      </c>
      <c r="S390" s="283"/>
      <c r="T390" s="275">
        <v>11</v>
      </c>
      <c r="U390" s="280">
        <f t="shared" si="418"/>
        <v>5</v>
      </c>
      <c r="V390" s="281">
        <f t="shared" si="419"/>
        <v>0.45454545454545453</v>
      </c>
      <c r="W390" s="282">
        <f t="shared" si="420"/>
        <v>909.09090909090912</v>
      </c>
      <c r="X390" s="283"/>
      <c r="Y390" s="275"/>
      <c r="Z390" s="280">
        <f>Tabla14[[#This Row],[Cajas Segunda]]</f>
        <v>0</v>
      </c>
      <c r="AA390" s="281">
        <f t="shared" si="421"/>
        <v>0</v>
      </c>
      <c r="AB390" s="284">
        <f t="shared" si="422"/>
        <v>0</v>
      </c>
      <c r="AC390" s="285"/>
      <c r="AD390" s="286">
        <v>84</v>
      </c>
      <c r="AE390" s="286"/>
      <c r="AF390" s="286"/>
      <c r="AG390" s="286">
        <v>11</v>
      </c>
      <c r="AH390" s="280">
        <f t="shared" si="423"/>
        <v>3.36</v>
      </c>
      <c r="AI390" s="281">
        <f t="shared" si="424"/>
        <v>0.30545454545454542</v>
      </c>
      <c r="AJ390" s="282">
        <f t="shared" si="425"/>
        <v>206.18181818181816</v>
      </c>
      <c r="AK390" s="287">
        <f>Tabla14[[#This Row],[Cajas por Personas]]</f>
        <v>0</v>
      </c>
      <c r="AL390" s="288">
        <f>Tabla14[[#This Row],[Valor Precorte Pesona]]</f>
        <v>0</v>
      </c>
      <c r="AM390" s="294">
        <f>Tabla14[[#This Row],[Personas Precorte]]</f>
        <v>0</v>
      </c>
      <c r="AN390" s="308">
        <f>Tabla14[[#This Row],[Valor Precorte Pesona Precorte]]*Tabla14[[#This Row],[Perzonas Precorte]]</f>
        <v>0</v>
      </c>
      <c r="AO390" s="287">
        <f>Tabla14[[#This Row],[Cajas por Personas2]]</f>
        <v>0.45454545454545453</v>
      </c>
      <c r="AP390" s="288">
        <f>Tabla14[[#This Row],[Valor Embarque Pesona]]</f>
        <v>909.09090909090912</v>
      </c>
      <c r="AQ390" s="295">
        <f>Tabla14[[#This Row],[Personas Precorte2]]</f>
        <v>11</v>
      </c>
      <c r="AR390" s="296">
        <f>Tabla14[[#This Row],[Valor Embarque Pesona3]]*Tabla14[[#This Row],[Perzona Primera]]</f>
        <v>10000</v>
      </c>
      <c r="AS390" s="287">
        <f>Tabla14[[#This Row],[Columna2]]</f>
        <v>0</v>
      </c>
      <c r="AT390" s="288">
        <f>Tabla14[[#This Row],[Columna1]]</f>
        <v>0</v>
      </c>
      <c r="AU390" s="302">
        <f>Tabla14[[#This Row],[Personas Intervienen]]</f>
        <v>0</v>
      </c>
      <c r="AV390" s="297">
        <f>Tabla14[[#This Row],[Valor Embarque Pesona5]]*Tabla14[[#This Row],[Presonas Segunda]]</f>
        <v>0</v>
      </c>
      <c r="AW390" s="287">
        <f>Tabla14[[#This Row],[Bolsas Por Personas]]</f>
        <v>0.30545454545454542</v>
      </c>
      <c r="AX390" s="288">
        <f>Tabla14[[#This Row],[Valor bolsas Pesona]]</f>
        <v>206.18181818181816</v>
      </c>
      <c r="AY390" s="309">
        <f>Tabla14[[#This Row],[Personas13]]</f>
        <v>11</v>
      </c>
      <c r="AZ390" s="310">
        <f>Tabla14[[#This Row],[Valor bolsas Pesona2]]*Tabla14[[#This Row],[Personas Rechazo]]</f>
        <v>2267.9999999999995</v>
      </c>
      <c r="BA390" s="311">
        <f>+Tabla14[[#This Row],[Total Valor Segunda]]+Tabla14[[#This Row],[Total Valor Primera]]+Tabla14[[#This Row],[Total Valor Precorte]]</f>
        <v>10000</v>
      </c>
      <c r="BB390" s="538">
        <f>Tabla14[[#This Row],[Valor bolsas Pesona2]]+Tabla14[[#This Row],[Valor Embarque Pesona3]]</f>
        <v>1115.2727272727273</v>
      </c>
      <c r="BC390" s="539"/>
      <c r="BD390" s="538">
        <f>Tabla14[[#This Row],[VALOR GANADO]]-Tabla14[[#This Row],[REAJUSTADO]]</f>
        <v>1115.2727272727273</v>
      </c>
      <c r="BE390" s="250">
        <f>Tabla14[[#This Row],[CUANTO SE REAJUSTA]]*Tabla14[[#This Row],[Personas Rechazo]]</f>
        <v>12268</v>
      </c>
      <c r="BF390" s="250">
        <f>Tabla14[[#This Row],[REAJUSTADO]]/25000</f>
        <v>0</v>
      </c>
      <c r="BG390" s="302">
        <f>Tabla14[[#This Row],[REAJUSTADO]]*Tabla14[[#This Row],[Personas Rechazo]]</f>
        <v>0</v>
      </c>
      <c r="BH390" s="292" t="str">
        <f>Tabla14[[#This Row],[Finca]]</f>
        <v>San Pedro</v>
      </c>
      <c r="BJ390" s="332">
        <f>Tabla14[[#This Row],[Numero de Ocacionales]]*Tabla14[[#This Row],[REAJUSTADO]]</f>
        <v>0</v>
      </c>
      <c r="BK390" s="332"/>
      <c r="BL390" s="332"/>
      <c r="BM390" s="332">
        <f>+Tabla14[[#This Row],[CUANTO SE REAJUSTA]]*3</f>
        <v>3345.818181818182</v>
      </c>
    </row>
    <row r="391" spans="3:65" x14ac:dyDescent="0.25">
      <c r="C391" s="515">
        <v>45105</v>
      </c>
      <c r="D391" s="507">
        <f>YEAR(Tabla14[[#This Row],[Fecha]])</f>
        <v>2023</v>
      </c>
      <c r="E391" s="516">
        <f>IF(Tabla14[[#This Row],[Fecha]]&gt;0,_xlfn.ISOWEEKNUM(Tabla14[[#This Row],[Fecha]]),0)</f>
        <v>26</v>
      </c>
      <c r="F391" s="283">
        <v>27</v>
      </c>
      <c r="G391" s="275" t="s">
        <v>248</v>
      </c>
      <c r="H391" s="325" t="str">
        <f>_xlfn.XLOOKUP(Tabla14[[#This Row],[Codigo Finca]],Tabla4[Codigo Finca],Tabla4[Nombre Finca],"")</f>
        <v>Damaquiel</v>
      </c>
      <c r="I391" s="277">
        <f>_xlfn.XLOOKUP(Tabla14[[#This Row],[Codigo Finca]],Tabla4[Codigo Finca],Tabla4[Precio Caja],0)</f>
        <v>1800</v>
      </c>
      <c r="J391" s="277">
        <f>_xlfn.XLOOKUP(Tabla14[[#This Row],[Codigo Finca]],Tabla4[Codigo Finca],Tabla4[Precio Caja Segunda],0)</f>
        <v>1150</v>
      </c>
      <c r="K391" s="277">
        <f>_xlfn.XLOOKUP(Tabla14[[#This Row],[Codigo Finca]],Tabla4[Codigo Finca],Tabla4[Precio Rechazo],0)</f>
        <v>575</v>
      </c>
      <c r="L391" s="277">
        <f t="shared" si="413"/>
        <v>0</v>
      </c>
      <c r="M391" s="278">
        <f t="shared" si="414"/>
        <v>0</v>
      </c>
      <c r="N391" s="283"/>
      <c r="O391" s="279"/>
      <c r="P391" s="280">
        <f t="shared" si="415"/>
        <v>0</v>
      </c>
      <c r="Q391" s="281">
        <f t="shared" si="416"/>
        <v>0</v>
      </c>
      <c r="R391" s="282">
        <f t="shared" si="417"/>
        <v>0</v>
      </c>
      <c r="S391" s="338"/>
      <c r="T391" s="275">
        <v>4</v>
      </c>
      <c r="U391" s="280">
        <f t="shared" si="418"/>
        <v>27</v>
      </c>
      <c r="V391" s="281">
        <f t="shared" si="419"/>
        <v>6.75</v>
      </c>
      <c r="W391" s="282">
        <f t="shared" si="420"/>
        <v>12150</v>
      </c>
      <c r="X391" s="283"/>
      <c r="Y391" s="275"/>
      <c r="Z391" s="280">
        <f>Tabla14[[#This Row],[Cajas Segunda]]</f>
        <v>0</v>
      </c>
      <c r="AA391" s="281">
        <f t="shared" si="421"/>
        <v>0</v>
      </c>
      <c r="AB391" s="284">
        <f t="shared" si="422"/>
        <v>0</v>
      </c>
      <c r="AC391" s="285"/>
      <c r="AD391" s="286">
        <v>322</v>
      </c>
      <c r="AE391" s="286"/>
      <c r="AF391" s="286"/>
      <c r="AG391" s="286">
        <v>4</v>
      </c>
      <c r="AH391" s="280">
        <f t="shared" si="423"/>
        <v>12.88</v>
      </c>
      <c r="AI391" s="281">
        <f t="shared" si="424"/>
        <v>3.22</v>
      </c>
      <c r="AJ391" s="282">
        <f t="shared" si="425"/>
        <v>1851.5</v>
      </c>
      <c r="AK391" s="287">
        <f>Tabla14[[#This Row],[Cajas por Personas]]</f>
        <v>0</v>
      </c>
      <c r="AL391" s="288">
        <f>Tabla14[[#This Row],[Valor Precorte Pesona]]</f>
        <v>0</v>
      </c>
      <c r="AM391" s="294">
        <f>Tabla14[[#This Row],[Personas Precorte]]</f>
        <v>0</v>
      </c>
      <c r="AN391" s="308">
        <f>Tabla14[[#This Row],[Valor Precorte Pesona Precorte]]*Tabla14[[#This Row],[Perzonas Precorte]]</f>
        <v>0</v>
      </c>
      <c r="AO391" s="287">
        <f>Tabla14[[#This Row],[Cajas por Personas2]]</f>
        <v>6.75</v>
      </c>
      <c r="AP391" s="288">
        <f>Tabla14[[#This Row],[Valor Embarque Pesona]]</f>
        <v>12150</v>
      </c>
      <c r="AQ391" s="295">
        <f>Tabla14[[#This Row],[Personas Precorte2]]</f>
        <v>4</v>
      </c>
      <c r="AR391" s="296">
        <f>Tabla14[[#This Row],[Valor Embarque Pesona3]]*Tabla14[[#This Row],[Perzona Primera]]</f>
        <v>48600</v>
      </c>
      <c r="AS391" s="287">
        <f>Tabla14[[#This Row],[Columna2]]</f>
        <v>0</v>
      </c>
      <c r="AT391" s="288">
        <f>Tabla14[[#This Row],[Columna1]]</f>
        <v>0</v>
      </c>
      <c r="AU391" s="302">
        <f>Tabla14[[#This Row],[Personas Intervienen]]</f>
        <v>0</v>
      </c>
      <c r="AV391" s="297">
        <f>Tabla14[[#This Row],[Valor Embarque Pesona5]]*Tabla14[[#This Row],[Presonas Segunda]]</f>
        <v>0</v>
      </c>
      <c r="AW391" s="287">
        <f>Tabla14[[#This Row],[Bolsas Por Personas]]</f>
        <v>3.22</v>
      </c>
      <c r="AX391" s="288">
        <f>Tabla14[[#This Row],[Valor bolsas Pesona]]</f>
        <v>1851.5</v>
      </c>
      <c r="AY391" s="309">
        <f>Tabla14[[#This Row],[Personas13]]</f>
        <v>4</v>
      </c>
      <c r="AZ391" s="310">
        <f>Tabla14[[#This Row],[Valor bolsas Pesona2]]*Tabla14[[#This Row],[Personas Rechazo]]</f>
        <v>7406</v>
      </c>
      <c r="BA391" s="311">
        <f>+Tabla14[[#This Row],[Total Valor Segunda]]+Tabla14[[#This Row],[Total Valor Primera]]+Tabla14[[#This Row],[Total Valor Precorte]]</f>
        <v>48600</v>
      </c>
      <c r="BB391" s="292">
        <f>Tabla14[[#This Row],[Valor bolsas Pesona2]]+Tabla14[[#This Row],[Valor Embarque Pesona3]]</f>
        <v>14001.5</v>
      </c>
      <c r="BC391" s="332">
        <v>30000</v>
      </c>
      <c r="BD391" s="292">
        <f>Tabla14[[#This Row],[VALOR GANADO]]-Tabla14[[#This Row],[REAJUSTADO]]</f>
        <v>-15998.5</v>
      </c>
      <c r="BE391" s="250">
        <f>Tabla14[[#This Row],[CUANTO SE REAJUSTA]]*Tabla14[[#This Row],[Personas Rechazo]]</f>
        <v>-63994</v>
      </c>
      <c r="BF391" s="250">
        <f>Tabla14[[#This Row],[REAJUSTADO]]/25000</f>
        <v>1.2</v>
      </c>
      <c r="BG391" s="302">
        <f>Tabla14[[#This Row],[REAJUSTADO]]*Tabla14[[#This Row],[Personas Rechazo]]</f>
        <v>120000</v>
      </c>
      <c r="BH391" s="292" t="str">
        <f>Tabla14[[#This Row],[Finca]]</f>
        <v>Damaquiel</v>
      </c>
      <c r="BJ391" s="332">
        <f>Tabla14[[#This Row],[Numero de Ocacionales]]*Tabla14[[#This Row],[REAJUSTADO]]</f>
        <v>0</v>
      </c>
      <c r="BK391" s="332"/>
      <c r="BL391" s="332"/>
      <c r="BM391" s="332">
        <f>+Tabla14[[#This Row],[CUANTO SE REAJUSTA]]*3</f>
        <v>-47995.5</v>
      </c>
    </row>
    <row r="392" spans="3:65" x14ac:dyDescent="0.25">
      <c r="C392" s="515">
        <v>45106</v>
      </c>
      <c r="D392" s="507">
        <f>YEAR(Tabla14[[#This Row],[Fecha]])</f>
        <v>2023</v>
      </c>
      <c r="E392" s="516">
        <f>IF(Tabla14[[#This Row],[Fecha]]&gt;0,_xlfn.ISOWEEKNUM(Tabla14[[#This Row],[Fecha]]),0)</f>
        <v>26</v>
      </c>
      <c r="F392" s="283">
        <v>176</v>
      </c>
      <c r="G392" s="275" t="s">
        <v>251</v>
      </c>
      <c r="H392" s="325" t="str">
        <f>_xlfn.XLOOKUP(Tabla14[[#This Row],[Codigo Finca]],Tabla4[Codigo Finca],Tabla4[Nombre Finca],"")</f>
        <v>Pedrito</v>
      </c>
      <c r="I392" s="277">
        <f>_xlfn.XLOOKUP(Tabla14[[#This Row],[Codigo Finca]],Tabla4[Codigo Finca],Tabla4[Precio Caja],0)</f>
        <v>1800</v>
      </c>
      <c r="J392" s="277">
        <f>_xlfn.XLOOKUP(Tabla14[[#This Row],[Codigo Finca]],Tabla4[Codigo Finca],Tabla4[Precio Caja Segunda],0)</f>
        <v>1150</v>
      </c>
      <c r="K392" s="277">
        <f>_xlfn.XLOOKUP(Tabla14[[#This Row],[Codigo Finca]],Tabla4[Codigo Finca],Tabla4[Precio Rechazo],0)</f>
        <v>575</v>
      </c>
      <c r="L392" s="277">
        <f t="shared" si="413"/>
        <v>1011</v>
      </c>
      <c r="M392" s="278">
        <f t="shared" si="414"/>
        <v>5.7443181818181817</v>
      </c>
      <c r="N392" s="283"/>
      <c r="O392" s="279"/>
      <c r="P392" s="280">
        <f t="shared" si="415"/>
        <v>0</v>
      </c>
      <c r="Q392" s="281">
        <f t="shared" si="416"/>
        <v>0</v>
      </c>
      <c r="R392" s="282">
        <f t="shared" si="417"/>
        <v>0</v>
      </c>
      <c r="S392" s="283">
        <v>1011</v>
      </c>
      <c r="T392" s="275">
        <v>15</v>
      </c>
      <c r="U392" s="280">
        <f t="shared" si="418"/>
        <v>176</v>
      </c>
      <c r="V392" s="281">
        <f t="shared" si="419"/>
        <v>11.733333333333333</v>
      </c>
      <c r="W392" s="282">
        <f t="shared" si="420"/>
        <v>21120</v>
      </c>
      <c r="X392" s="283"/>
      <c r="Y392" s="275"/>
      <c r="Z392" s="280">
        <f>Tabla14[[#This Row],[Cajas Segunda]]</f>
        <v>0</v>
      </c>
      <c r="AA392" s="281">
        <f t="shared" si="421"/>
        <v>0</v>
      </c>
      <c r="AB392" s="284">
        <f t="shared" si="422"/>
        <v>0</v>
      </c>
      <c r="AC392" s="285"/>
      <c r="AD392" s="286">
        <f>2050+80</f>
        <v>2130</v>
      </c>
      <c r="AE392" s="286"/>
      <c r="AF392" s="286"/>
      <c r="AG392" s="286">
        <v>15</v>
      </c>
      <c r="AH392" s="280">
        <f t="shared" si="423"/>
        <v>85.2</v>
      </c>
      <c r="AI392" s="281">
        <f t="shared" si="424"/>
        <v>5.6800000000000006</v>
      </c>
      <c r="AJ392" s="282">
        <f t="shared" si="425"/>
        <v>3266.0000000000005</v>
      </c>
      <c r="AK392" s="287">
        <f>Tabla14[[#This Row],[Cajas por Personas]]</f>
        <v>0</v>
      </c>
      <c r="AL392" s="288">
        <f>Tabla14[[#This Row],[Valor Precorte Pesona]]</f>
        <v>0</v>
      </c>
      <c r="AM392" s="294">
        <f>Tabla14[[#This Row],[Personas Precorte]]</f>
        <v>0</v>
      </c>
      <c r="AN392" s="308">
        <f>Tabla14[[#This Row],[Valor Precorte Pesona Precorte]]*Tabla14[[#This Row],[Perzonas Precorte]]</f>
        <v>0</v>
      </c>
      <c r="AO392" s="287">
        <f>Tabla14[[#This Row],[Cajas por Personas2]]</f>
        <v>11.733333333333333</v>
      </c>
      <c r="AP392" s="288">
        <f>Tabla14[[#This Row],[Valor Embarque Pesona]]</f>
        <v>21120</v>
      </c>
      <c r="AQ392" s="295">
        <f>Tabla14[[#This Row],[Personas Precorte2]]</f>
        <v>15</v>
      </c>
      <c r="AR392" s="296">
        <f>Tabla14[[#This Row],[Valor Embarque Pesona3]]*Tabla14[[#This Row],[Perzona Primera]]</f>
        <v>316800</v>
      </c>
      <c r="AS392" s="287">
        <f>Tabla14[[#This Row],[Columna2]]</f>
        <v>0</v>
      </c>
      <c r="AT392" s="288">
        <f>Tabla14[[#This Row],[Columna1]]</f>
        <v>0</v>
      </c>
      <c r="AU392" s="302">
        <f>Tabla14[[#This Row],[Personas Intervienen]]</f>
        <v>0</v>
      </c>
      <c r="AV392" s="297">
        <f>Tabla14[[#This Row],[Valor Embarque Pesona5]]*Tabla14[[#This Row],[Presonas Segunda]]</f>
        <v>0</v>
      </c>
      <c r="AW392" s="287">
        <f>Tabla14[[#This Row],[Bolsas Por Personas]]</f>
        <v>5.6800000000000006</v>
      </c>
      <c r="AX392" s="288">
        <f>Tabla14[[#This Row],[Valor bolsas Pesona]]</f>
        <v>3266.0000000000005</v>
      </c>
      <c r="AY392" s="309">
        <f>Tabla14[[#This Row],[Personas13]]</f>
        <v>15</v>
      </c>
      <c r="AZ392" s="310">
        <f>Tabla14[[#This Row],[Valor bolsas Pesona2]]*Tabla14[[#This Row],[Personas Rechazo]]</f>
        <v>48990.000000000007</v>
      </c>
      <c r="BA392" s="311">
        <f>+Tabla14[[#This Row],[Total Valor Segunda]]+Tabla14[[#This Row],[Total Valor Primera]]+Tabla14[[#This Row],[Total Valor Precorte]]</f>
        <v>316800</v>
      </c>
      <c r="BB392" s="292">
        <f>Tabla14[[#This Row],[Valor bolsas Pesona2]]+Tabla14[[#This Row],[Valor Embarque Pesona3]]</f>
        <v>24386</v>
      </c>
      <c r="BC392" s="332">
        <v>30000</v>
      </c>
      <c r="BD392" s="292">
        <f>Tabla14[[#This Row],[VALOR GANADO]]-Tabla14[[#This Row],[REAJUSTADO]]</f>
        <v>-5614</v>
      </c>
      <c r="BE392" s="250">
        <f>Tabla14[[#This Row],[CUANTO SE REAJUSTA]]*Tabla14[[#This Row],[Personas Rechazo]]</f>
        <v>-84210</v>
      </c>
      <c r="BF392" s="250">
        <f>Tabla14[[#This Row],[REAJUSTADO]]/25000</f>
        <v>1.2</v>
      </c>
      <c r="BG392" s="302">
        <f>Tabla14[[#This Row],[REAJUSTADO]]*Tabla14[[#This Row],[Personas Rechazo]]</f>
        <v>450000</v>
      </c>
      <c r="BH392" s="292" t="str">
        <f>Tabla14[[#This Row],[Finca]]</f>
        <v>Pedrito</v>
      </c>
      <c r="BJ392" s="332">
        <f>Tabla14[[#This Row],[Numero de Ocacionales]]*Tabla14[[#This Row],[REAJUSTADO]]</f>
        <v>0</v>
      </c>
      <c r="BK392" s="332"/>
      <c r="BL392" s="332"/>
      <c r="BM392" s="332">
        <f>+Tabla14[[#This Row],[CUANTO SE REAJUSTA]]*3</f>
        <v>-16842</v>
      </c>
    </row>
    <row r="393" spans="3:65" x14ac:dyDescent="0.25">
      <c r="C393" s="515">
        <v>45106</v>
      </c>
      <c r="D393" s="507">
        <f>YEAR(Tabla14[[#This Row],[Fecha]])</f>
        <v>2023</v>
      </c>
      <c r="E393" s="516">
        <f>IF(Tabla14[[#This Row],[Fecha]]&gt;0,_xlfn.ISOWEEKNUM(Tabla14[[#This Row],[Fecha]]),0)</f>
        <v>26</v>
      </c>
      <c r="F393" s="283">
        <v>54</v>
      </c>
      <c r="G393" s="275" t="s">
        <v>247</v>
      </c>
      <c r="H393" s="325" t="str">
        <f>_xlfn.XLOOKUP(Tabla14[[#This Row],[Codigo Finca]],Tabla4[Codigo Finca],Tabla4[Nombre Finca],"")</f>
        <v>Uveros</v>
      </c>
      <c r="I393" s="277">
        <f>_xlfn.XLOOKUP(Tabla14[[#This Row],[Codigo Finca]],Tabla4[Codigo Finca],Tabla4[Precio Caja],0)</f>
        <v>1800</v>
      </c>
      <c r="J393" s="277">
        <f>_xlfn.XLOOKUP(Tabla14[[#This Row],[Codigo Finca]],Tabla4[Codigo Finca],Tabla4[Precio Caja Segunda],0)</f>
        <v>1150</v>
      </c>
      <c r="K393" s="277">
        <f>_xlfn.XLOOKUP(Tabla14[[#This Row],[Codigo Finca]],Tabla4[Codigo Finca],Tabla4[Precio Rechazo],0)</f>
        <v>575</v>
      </c>
      <c r="L393" s="277">
        <f t="shared" ref="L393:L455" si="426">S393+N393</f>
        <v>0</v>
      </c>
      <c r="M393" s="278">
        <f t="shared" ref="M393:M455" si="427">IF(F393&gt;0,L393/F393,0)</f>
        <v>0</v>
      </c>
      <c r="N393" s="283"/>
      <c r="O393" s="279"/>
      <c r="P393" s="280">
        <f t="shared" ref="P393:P455" si="428">IF(N393&gt;0,(N393/M393)/2,0)</f>
        <v>0</v>
      </c>
      <c r="Q393" s="281">
        <f t="shared" ref="Q393:Q455" si="429">IF(O393&gt;0,P393/O393,0)</f>
        <v>0</v>
      </c>
      <c r="R393" s="282">
        <f t="shared" ref="R393:R455" si="430">IF(I393&gt;0,Q393*I393,)</f>
        <v>0</v>
      </c>
      <c r="S393" s="338"/>
      <c r="T393" s="275">
        <v>3</v>
      </c>
      <c r="U393" s="280">
        <f t="shared" ref="U393:U455" si="431">F393-P393</f>
        <v>54</v>
      </c>
      <c r="V393" s="281">
        <f t="shared" ref="V393:V455" si="432">IF(T393&gt;0,U393/T393,0)</f>
        <v>18</v>
      </c>
      <c r="W393" s="282">
        <f t="shared" ref="W393:W455" si="433">IF(T393&gt;0,(U393*I393)/T393,0)</f>
        <v>32400</v>
      </c>
      <c r="X393" s="283"/>
      <c r="Y393" s="275"/>
      <c r="Z393" s="280">
        <f>Tabla14[[#This Row],[Cajas Segunda]]</f>
        <v>0</v>
      </c>
      <c r="AA393" s="281">
        <f t="shared" ref="AA393:AA455" si="434">IF(Y393&gt;0,Z393/Y393,0)</f>
        <v>0</v>
      </c>
      <c r="AB393" s="284">
        <f t="shared" ref="AB393:AB455" si="435">IF(Y393&gt;0,(Z393*J393)/Y393,0)</f>
        <v>0</v>
      </c>
      <c r="AC393" s="285"/>
      <c r="AD393" s="286">
        <v>532</v>
      </c>
      <c r="AE393" s="286"/>
      <c r="AF393" s="286"/>
      <c r="AG393" s="286">
        <v>3</v>
      </c>
      <c r="AH393" s="280">
        <f t="shared" ref="AH393:AH455" si="436">IF(AND(AC393&gt;0,AE393=0,AF393=0,AD393=0),AC393,IF(AND(AC393=0,AE393&gt;0,AF393&gt;0,AD393=0),AE393*AF393/25,IF(AND(AC393=0,AE393=0,AF393=0,AD393&gt;0),AD393/25,0)))</f>
        <v>21.28</v>
      </c>
      <c r="AI393" s="281">
        <f t="shared" ref="AI393:AI455" si="437">IF(AG393&gt;0,AH393/AG393,0)</f>
        <v>7.0933333333333337</v>
      </c>
      <c r="AJ393" s="282">
        <f t="shared" ref="AJ393:AJ455" si="438">AI393*K393</f>
        <v>4078.666666666667</v>
      </c>
      <c r="AK393" s="287">
        <f>Tabla14[[#This Row],[Cajas por Personas]]</f>
        <v>0</v>
      </c>
      <c r="AL393" s="288">
        <f>Tabla14[[#This Row],[Valor Precorte Pesona]]</f>
        <v>0</v>
      </c>
      <c r="AM393" s="294">
        <f>Tabla14[[#This Row],[Personas Precorte]]</f>
        <v>0</v>
      </c>
      <c r="AN393" s="308">
        <f>Tabla14[[#This Row],[Valor Precorte Pesona Precorte]]*Tabla14[[#This Row],[Perzonas Precorte]]</f>
        <v>0</v>
      </c>
      <c r="AO393" s="287">
        <f>Tabla14[[#This Row],[Cajas por Personas2]]</f>
        <v>18</v>
      </c>
      <c r="AP393" s="288">
        <f>Tabla14[[#This Row],[Valor Embarque Pesona]]</f>
        <v>32400</v>
      </c>
      <c r="AQ393" s="295">
        <f>Tabla14[[#This Row],[Personas Precorte2]]</f>
        <v>3</v>
      </c>
      <c r="AR393" s="296">
        <f>Tabla14[[#This Row],[Valor Embarque Pesona3]]*Tabla14[[#This Row],[Perzona Primera]]</f>
        <v>97200</v>
      </c>
      <c r="AS393" s="287">
        <f>Tabla14[[#This Row],[Columna2]]</f>
        <v>0</v>
      </c>
      <c r="AT393" s="288">
        <f>Tabla14[[#This Row],[Columna1]]</f>
        <v>0</v>
      </c>
      <c r="AU393" s="302">
        <f>Tabla14[[#This Row],[Personas Intervienen]]</f>
        <v>0</v>
      </c>
      <c r="AV393" s="297">
        <f>Tabla14[[#This Row],[Valor Embarque Pesona5]]*Tabla14[[#This Row],[Presonas Segunda]]</f>
        <v>0</v>
      </c>
      <c r="AW393" s="287">
        <f>Tabla14[[#This Row],[Bolsas Por Personas]]</f>
        <v>7.0933333333333337</v>
      </c>
      <c r="AX393" s="288">
        <f>Tabla14[[#This Row],[Valor bolsas Pesona]]</f>
        <v>4078.666666666667</v>
      </c>
      <c r="AY393" s="309">
        <f>Tabla14[[#This Row],[Personas13]]</f>
        <v>3</v>
      </c>
      <c r="AZ393" s="310">
        <f>Tabla14[[#This Row],[Valor bolsas Pesona2]]*Tabla14[[#This Row],[Personas Rechazo]]</f>
        <v>12236</v>
      </c>
      <c r="BA393" s="311">
        <f>+Tabla14[[#This Row],[Total Valor Segunda]]+Tabla14[[#This Row],[Total Valor Primera]]+Tabla14[[#This Row],[Total Valor Precorte]]</f>
        <v>97200</v>
      </c>
      <c r="BB393" s="292">
        <f>Tabla14[[#This Row],[Valor bolsas Pesona2]]+Tabla14[[#This Row],[Valor Embarque Pesona3]]</f>
        <v>36478.666666666664</v>
      </c>
      <c r="BD393" s="292">
        <f>Tabla14[[#This Row],[VALOR GANADO]]-Tabla14[[#This Row],[REAJUSTADO]]</f>
        <v>36478.666666666664</v>
      </c>
      <c r="BE393" s="250">
        <f>Tabla14[[#This Row],[CUANTO SE REAJUSTA]]*Tabla14[[#This Row],[Personas Rechazo]]</f>
        <v>109436</v>
      </c>
      <c r="BF393" s="250">
        <f>Tabla14[[#This Row],[REAJUSTADO]]/25000</f>
        <v>0</v>
      </c>
      <c r="BG393" s="302">
        <f>Tabla14[[#This Row],[REAJUSTADO]]*Tabla14[[#This Row],[Personas Rechazo]]</f>
        <v>0</v>
      </c>
      <c r="BH393" s="292" t="str">
        <f>Tabla14[[#This Row],[Finca]]</f>
        <v>Uveros</v>
      </c>
      <c r="BJ393" s="332">
        <f>Tabla14[[#This Row],[Numero de Ocacionales]]*Tabla14[[#This Row],[REAJUSTADO]]</f>
        <v>0</v>
      </c>
      <c r="BK393" s="332"/>
      <c r="BL393" s="332"/>
      <c r="BM393" s="332">
        <f>+Tabla14[[#This Row],[CUANTO SE REAJUSTA]]*3</f>
        <v>109436</v>
      </c>
    </row>
    <row r="394" spans="3:65" x14ac:dyDescent="0.25">
      <c r="C394" s="515">
        <v>45112</v>
      </c>
      <c r="D394" s="507">
        <f>YEAR(Tabla14[[#This Row],[Fecha]])</f>
        <v>2023</v>
      </c>
      <c r="E394" s="516">
        <f>IF(Tabla14[[#This Row],[Fecha]]&gt;0,_xlfn.ISOWEEKNUM(Tabla14[[#This Row],[Fecha]]),0)</f>
        <v>27</v>
      </c>
      <c r="F394" s="543">
        <v>7</v>
      </c>
      <c r="G394" s="275" t="s">
        <v>249</v>
      </c>
      <c r="H394" s="325" t="str">
        <f>_xlfn.XLOOKUP(Tabla14[[#This Row],[Codigo Finca]],Tabla4[Codigo Finca],Tabla4[Nombre Finca],"")</f>
        <v>San Pedro</v>
      </c>
      <c r="I394" s="277">
        <f>_xlfn.XLOOKUP(Tabla14[[#This Row],[Codigo Finca]],Tabla4[Codigo Finca],Tabla4[Precio Caja],0)</f>
        <v>2000</v>
      </c>
      <c r="J394" s="277">
        <f>_xlfn.XLOOKUP(Tabla14[[#This Row],[Codigo Finca]],Tabla4[Codigo Finca],Tabla4[Precio Caja Segunda],0)</f>
        <v>1150</v>
      </c>
      <c r="K394" s="277">
        <f>_xlfn.XLOOKUP(Tabla14[[#This Row],[Codigo Finca]],Tabla4[Codigo Finca],Tabla4[Precio Rechazo],0)</f>
        <v>675</v>
      </c>
      <c r="L394" s="277">
        <f t="shared" si="426"/>
        <v>42</v>
      </c>
      <c r="M394" s="278">
        <f t="shared" si="427"/>
        <v>6</v>
      </c>
      <c r="N394" s="283"/>
      <c r="O394" s="279"/>
      <c r="P394" s="280">
        <f t="shared" si="428"/>
        <v>0</v>
      </c>
      <c r="Q394" s="281">
        <f t="shared" si="429"/>
        <v>0</v>
      </c>
      <c r="R394" s="282">
        <f t="shared" si="430"/>
        <v>0</v>
      </c>
      <c r="S394" s="283">
        <v>42</v>
      </c>
      <c r="T394" s="275">
        <v>13</v>
      </c>
      <c r="U394" s="280">
        <f t="shared" si="431"/>
        <v>7</v>
      </c>
      <c r="V394" s="281">
        <f t="shared" si="432"/>
        <v>0.53846153846153844</v>
      </c>
      <c r="W394" s="282">
        <f t="shared" si="433"/>
        <v>1076.9230769230769</v>
      </c>
      <c r="X394" s="283"/>
      <c r="Y394" s="275"/>
      <c r="Z394" s="280">
        <f>Tabla14[[#This Row],[Cajas Segunda]]</f>
        <v>0</v>
      </c>
      <c r="AA394" s="281">
        <f t="shared" si="434"/>
        <v>0</v>
      </c>
      <c r="AB394" s="284">
        <f t="shared" si="435"/>
        <v>0</v>
      </c>
      <c r="AC394" s="285"/>
      <c r="AD394" s="286">
        <v>1604</v>
      </c>
      <c r="AE394" s="286"/>
      <c r="AF394" s="286"/>
      <c r="AG394" s="286">
        <v>13</v>
      </c>
      <c r="AH394" s="280">
        <f t="shared" si="436"/>
        <v>64.16</v>
      </c>
      <c r="AI394" s="281">
        <f t="shared" si="437"/>
        <v>4.9353846153846153</v>
      </c>
      <c r="AJ394" s="282">
        <f t="shared" si="438"/>
        <v>3331.3846153846152</v>
      </c>
      <c r="AK394" s="287">
        <f>Tabla14[[#This Row],[Cajas por Personas]]</f>
        <v>0</v>
      </c>
      <c r="AL394" s="288">
        <f>Tabla14[[#This Row],[Valor Precorte Pesona]]</f>
        <v>0</v>
      </c>
      <c r="AM394" s="294">
        <f>Tabla14[[#This Row],[Personas Precorte]]</f>
        <v>0</v>
      </c>
      <c r="AN394" s="308">
        <f>Tabla14[[#This Row],[Valor Precorte Pesona Precorte]]*Tabla14[[#This Row],[Perzonas Precorte]]</f>
        <v>0</v>
      </c>
      <c r="AO394" s="287">
        <f>Tabla14[[#This Row],[Cajas por Personas2]]</f>
        <v>0.53846153846153844</v>
      </c>
      <c r="AP394" s="288">
        <f>Tabla14[[#This Row],[Valor Embarque Pesona]]</f>
        <v>1076.9230769230769</v>
      </c>
      <c r="AQ394" s="295">
        <f>Tabla14[[#This Row],[Personas Precorte2]]</f>
        <v>13</v>
      </c>
      <c r="AR394" s="296">
        <f>Tabla14[[#This Row],[Valor Embarque Pesona3]]*Tabla14[[#This Row],[Perzona Primera]]</f>
        <v>14000</v>
      </c>
      <c r="AS394" s="287">
        <f>Tabla14[[#This Row],[Columna2]]</f>
        <v>0</v>
      </c>
      <c r="AT394" s="288">
        <f>Tabla14[[#This Row],[Columna1]]</f>
        <v>0</v>
      </c>
      <c r="AU394" s="302">
        <f>Tabla14[[#This Row],[Personas Intervienen]]</f>
        <v>0</v>
      </c>
      <c r="AV394" s="297">
        <f>Tabla14[[#This Row],[Valor Embarque Pesona5]]*Tabla14[[#This Row],[Presonas Segunda]]</f>
        <v>0</v>
      </c>
      <c r="AW394" s="287">
        <f>Tabla14[[#This Row],[Bolsas Por Personas]]</f>
        <v>4.9353846153846153</v>
      </c>
      <c r="AX394" s="288">
        <f>Tabla14[[#This Row],[Valor bolsas Pesona]]</f>
        <v>3331.3846153846152</v>
      </c>
      <c r="AY394" s="309">
        <f>Tabla14[[#This Row],[Personas13]]</f>
        <v>13</v>
      </c>
      <c r="AZ394" s="310">
        <f>Tabla14[[#This Row],[Valor bolsas Pesona2]]*Tabla14[[#This Row],[Personas Rechazo]]</f>
        <v>43308</v>
      </c>
      <c r="BA394" s="311">
        <f>+Tabla14[[#This Row],[Total Valor Segunda]]+Tabla14[[#This Row],[Total Valor Primera]]+Tabla14[[#This Row],[Total Valor Precorte]]</f>
        <v>14000</v>
      </c>
      <c r="BB394" s="538">
        <f>Tabla14[[#This Row],[Valor bolsas Pesona2]]+Tabla14[[#This Row],[Valor Embarque Pesona3]]</f>
        <v>4408.3076923076924</v>
      </c>
      <c r="BC394" s="539">
        <v>30000</v>
      </c>
      <c r="BD394" s="538">
        <f>Tabla14[[#This Row],[VALOR GANADO]]-Tabla14[[#This Row],[REAJUSTADO]]</f>
        <v>-25591.692307692309</v>
      </c>
      <c r="BE394" s="250">
        <f>Tabla14[[#This Row],[CUANTO SE REAJUSTA]]*Tabla14[[#This Row],[Personas Rechazo]]</f>
        <v>-332692</v>
      </c>
      <c r="BF394" s="250">
        <f>Tabla14[[#This Row],[REAJUSTADO]]/25000</f>
        <v>1.2</v>
      </c>
      <c r="BG394" s="302">
        <f>Tabla14[[#This Row],[REAJUSTADO]]*Tabla14[[#This Row],[Personas Rechazo]]</f>
        <v>390000</v>
      </c>
      <c r="BH394" s="292" t="str">
        <f>Tabla14[[#This Row],[Finca]]</f>
        <v>San Pedro</v>
      </c>
      <c r="BJ394" s="332">
        <f>Tabla14[[#This Row],[Numero de Ocacionales]]*Tabla14[[#This Row],[REAJUSTADO]]</f>
        <v>0</v>
      </c>
      <c r="BK394" s="332"/>
      <c r="BL394" s="332"/>
      <c r="BM394" s="332">
        <f>+Tabla14[[#This Row],[CUANTO SE REAJUSTA]]*3</f>
        <v>-76775.076923076922</v>
      </c>
    </row>
    <row r="395" spans="3:65" x14ac:dyDescent="0.25">
      <c r="C395" s="515">
        <v>45112</v>
      </c>
      <c r="D395" s="507">
        <f>YEAR(Tabla14[[#This Row],[Fecha]])</f>
        <v>2023</v>
      </c>
      <c r="E395" s="516">
        <f>IF(Tabla14[[#This Row],[Fecha]]&gt;0,_xlfn.ISOWEEKNUM(Tabla14[[#This Row],[Fecha]]),0)</f>
        <v>27</v>
      </c>
      <c r="F395" s="543">
        <v>158</v>
      </c>
      <c r="G395" s="275" t="s">
        <v>250</v>
      </c>
      <c r="H395" s="325" t="str">
        <f>_xlfn.XLOOKUP(Tabla14[[#This Row],[Codigo Finca]],Tabla4[Codigo Finca],Tabla4[Nombre Finca],"")</f>
        <v>San Pedro</v>
      </c>
      <c r="I395" s="277">
        <f>_xlfn.XLOOKUP(Tabla14[[#This Row],[Codigo Finca]],Tabla4[Codigo Finca],Tabla4[Precio Caja],0)</f>
        <v>1800</v>
      </c>
      <c r="J395" s="277">
        <f>_xlfn.XLOOKUP(Tabla14[[#This Row],[Codigo Finca]],Tabla4[Codigo Finca],Tabla4[Precio Caja Segunda],0)</f>
        <v>1150</v>
      </c>
      <c r="K395" s="277">
        <f>_xlfn.XLOOKUP(Tabla14[[#This Row],[Codigo Finca]],Tabla4[Codigo Finca],Tabla4[Precio Rechazo],0)</f>
        <v>575</v>
      </c>
      <c r="L395" s="277">
        <f t="shared" si="426"/>
        <v>662</v>
      </c>
      <c r="M395" s="278">
        <f t="shared" si="427"/>
        <v>4.1898734177215191</v>
      </c>
      <c r="N395" s="283"/>
      <c r="O395" s="279"/>
      <c r="P395" s="280">
        <f t="shared" si="428"/>
        <v>0</v>
      </c>
      <c r="Q395" s="281">
        <f t="shared" si="429"/>
        <v>0</v>
      </c>
      <c r="R395" s="282">
        <f t="shared" si="430"/>
        <v>0</v>
      </c>
      <c r="S395" s="283">
        <f>704-42</f>
        <v>662</v>
      </c>
      <c r="T395" s="275">
        <v>13</v>
      </c>
      <c r="U395" s="280">
        <f t="shared" si="431"/>
        <v>158</v>
      </c>
      <c r="V395" s="281">
        <f t="shared" si="432"/>
        <v>12.153846153846153</v>
      </c>
      <c r="W395" s="282">
        <f t="shared" si="433"/>
        <v>21876.923076923078</v>
      </c>
      <c r="X395" s="283"/>
      <c r="Y395" s="275"/>
      <c r="Z395" s="280">
        <f>Tabla14[[#This Row],[Cajas Segunda]]</f>
        <v>0</v>
      </c>
      <c r="AA395" s="281">
        <f t="shared" si="434"/>
        <v>0</v>
      </c>
      <c r="AB395" s="284">
        <f t="shared" si="435"/>
        <v>0</v>
      </c>
      <c r="AC395" s="285"/>
      <c r="AD395" s="286"/>
      <c r="AE395" s="286"/>
      <c r="AF395" s="286"/>
      <c r="AG395" s="286">
        <v>13</v>
      </c>
      <c r="AH395" s="280">
        <f t="shared" si="436"/>
        <v>0</v>
      </c>
      <c r="AI395" s="281">
        <f t="shared" si="437"/>
        <v>0</v>
      </c>
      <c r="AJ395" s="282">
        <f t="shared" si="438"/>
        <v>0</v>
      </c>
      <c r="AK395" s="287">
        <f>Tabla14[[#This Row],[Cajas por Personas]]</f>
        <v>0</v>
      </c>
      <c r="AL395" s="288">
        <f>Tabla14[[#This Row],[Valor Precorte Pesona]]</f>
        <v>0</v>
      </c>
      <c r="AM395" s="294">
        <f>Tabla14[[#This Row],[Personas Precorte]]</f>
        <v>0</v>
      </c>
      <c r="AN395" s="308">
        <f>Tabla14[[#This Row],[Valor Precorte Pesona Precorte]]*Tabla14[[#This Row],[Perzonas Precorte]]</f>
        <v>0</v>
      </c>
      <c r="AO395" s="287">
        <f>Tabla14[[#This Row],[Cajas por Personas2]]</f>
        <v>12.153846153846153</v>
      </c>
      <c r="AP395" s="288">
        <f>Tabla14[[#This Row],[Valor Embarque Pesona]]</f>
        <v>21876.923076923078</v>
      </c>
      <c r="AQ395" s="295">
        <f>Tabla14[[#This Row],[Personas Precorte2]]</f>
        <v>13</v>
      </c>
      <c r="AR395" s="296">
        <f>Tabla14[[#This Row],[Valor Embarque Pesona3]]*Tabla14[[#This Row],[Perzona Primera]]</f>
        <v>284400</v>
      </c>
      <c r="AS395" s="287">
        <f>Tabla14[[#This Row],[Columna2]]</f>
        <v>0</v>
      </c>
      <c r="AT395" s="288">
        <f>Tabla14[[#This Row],[Columna1]]</f>
        <v>0</v>
      </c>
      <c r="AU395" s="302">
        <f>Tabla14[[#This Row],[Personas Intervienen]]</f>
        <v>0</v>
      </c>
      <c r="AV395" s="297">
        <f>Tabla14[[#This Row],[Valor Embarque Pesona5]]*Tabla14[[#This Row],[Presonas Segunda]]</f>
        <v>0</v>
      </c>
      <c r="AW395" s="287">
        <f>Tabla14[[#This Row],[Bolsas Por Personas]]</f>
        <v>0</v>
      </c>
      <c r="AX395" s="288">
        <f>Tabla14[[#This Row],[Valor bolsas Pesona]]</f>
        <v>0</v>
      </c>
      <c r="AY395" s="309">
        <f>Tabla14[[#This Row],[Personas13]]</f>
        <v>13</v>
      </c>
      <c r="AZ395" s="310">
        <f>Tabla14[[#This Row],[Valor bolsas Pesona2]]*Tabla14[[#This Row],[Personas Rechazo]]</f>
        <v>0</v>
      </c>
      <c r="BA395" s="311">
        <f>+Tabla14[[#This Row],[Total Valor Segunda]]+Tabla14[[#This Row],[Total Valor Primera]]+Tabla14[[#This Row],[Total Valor Precorte]]</f>
        <v>284400</v>
      </c>
      <c r="BB395" s="538">
        <f>Tabla14[[#This Row],[Valor bolsas Pesona2]]+Tabla14[[#This Row],[Valor Embarque Pesona3]]</f>
        <v>21876.923076923078</v>
      </c>
      <c r="BC395" s="539"/>
      <c r="BD395" s="538">
        <f>Tabla14[[#This Row],[VALOR GANADO]]-Tabla14[[#This Row],[REAJUSTADO]]</f>
        <v>21876.923076923078</v>
      </c>
      <c r="BE395" s="250">
        <f>Tabla14[[#This Row],[CUANTO SE REAJUSTA]]*Tabla14[[#This Row],[Personas Rechazo]]</f>
        <v>284400</v>
      </c>
      <c r="BF395" s="250">
        <f>Tabla14[[#This Row],[REAJUSTADO]]/25000</f>
        <v>0</v>
      </c>
      <c r="BG395" s="302">
        <f>Tabla14[[#This Row],[REAJUSTADO]]*Tabla14[[#This Row],[Personas Rechazo]]</f>
        <v>0</v>
      </c>
      <c r="BH395" s="292" t="str">
        <f>Tabla14[[#This Row],[Finca]]</f>
        <v>San Pedro</v>
      </c>
      <c r="BJ395" s="332">
        <f>Tabla14[[#This Row],[Numero de Ocacionales]]*Tabla14[[#This Row],[REAJUSTADO]]</f>
        <v>0</v>
      </c>
      <c r="BK395" s="332"/>
      <c r="BL395" s="332"/>
      <c r="BM395" s="332">
        <f>+Tabla14[[#This Row],[CUANTO SE REAJUSTA]]*3</f>
        <v>65630.769230769234</v>
      </c>
    </row>
    <row r="396" spans="3:65" x14ac:dyDescent="0.25">
      <c r="C396" s="515">
        <v>45112</v>
      </c>
      <c r="D396" s="507">
        <f>YEAR(Tabla14[[#This Row],[Fecha]])</f>
        <v>2023</v>
      </c>
      <c r="E396" s="516">
        <f>IF(Tabla14[[#This Row],[Fecha]]&gt;0,_xlfn.ISOWEEKNUM(Tabla14[[#This Row],[Fecha]]),0)</f>
        <v>27</v>
      </c>
      <c r="F396" s="543">
        <v>34</v>
      </c>
      <c r="G396" s="275" t="s">
        <v>248</v>
      </c>
      <c r="H396" s="325" t="str">
        <f>_xlfn.XLOOKUP(Tabla14[[#This Row],[Codigo Finca]],Tabla4[Codigo Finca],Tabla4[Nombre Finca],"")</f>
        <v>Damaquiel</v>
      </c>
      <c r="I396" s="277">
        <f>_xlfn.XLOOKUP(Tabla14[[#This Row],[Codigo Finca]],Tabla4[Codigo Finca],Tabla4[Precio Caja],0)</f>
        <v>1800</v>
      </c>
      <c r="J396" s="277">
        <f>_xlfn.XLOOKUP(Tabla14[[#This Row],[Codigo Finca]],Tabla4[Codigo Finca],Tabla4[Precio Caja Segunda],0)</f>
        <v>1150</v>
      </c>
      <c r="K396" s="277">
        <f>_xlfn.XLOOKUP(Tabla14[[#This Row],[Codigo Finca]],Tabla4[Codigo Finca],Tabla4[Precio Rechazo],0)</f>
        <v>575</v>
      </c>
      <c r="L396" s="277">
        <f t="shared" si="426"/>
        <v>181</v>
      </c>
      <c r="M396" s="278">
        <f t="shared" si="427"/>
        <v>5.3235294117647056</v>
      </c>
      <c r="N396" s="283"/>
      <c r="O396" s="279"/>
      <c r="P396" s="280">
        <f t="shared" si="428"/>
        <v>0</v>
      </c>
      <c r="Q396" s="281">
        <f t="shared" si="429"/>
        <v>0</v>
      </c>
      <c r="R396" s="282">
        <f t="shared" si="430"/>
        <v>0</v>
      </c>
      <c r="S396" s="283">
        <v>181</v>
      </c>
      <c r="T396" s="275">
        <v>4</v>
      </c>
      <c r="U396" s="280">
        <f t="shared" si="431"/>
        <v>34</v>
      </c>
      <c r="V396" s="281">
        <f t="shared" si="432"/>
        <v>8.5</v>
      </c>
      <c r="W396" s="282">
        <f t="shared" si="433"/>
        <v>15300</v>
      </c>
      <c r="X396" s="283"/>
      <c r="Y396" s="275"/>
      <c r="Z396" s="280">
        <f>Tabla14[[#This Row],[Cajas Segunda]]</f>
        <v>0</v>
      </c>
      <c r="AA396" s="281">
        <f t="shared" si="434"/>
        <v>0</v>
      </c>
      <c r="AB396" s="284">
        <f t="shared" si="435"/>
        <v>0</v>
      </c>
      <c r="AC396" s="285"/>
      <c r="AD396" s="286">
        <v>397</v>
      </c>
      <c r="AE396" s="286"/>
      <c r="AF396" s="286"/>
      <c r="AG396" s="286">
        <v>4</v>
      </c>
      <c r="AH396" s="280">
        <f t="shared" si="436"/>
        <v>15.88</v>
      </c>
      <c r="AI396" s="281">
        <f t="shared" si="437"/>
        <v>3.97</v>
      </c>
      <c r="AJ396" s="282">
        <f t="shared" si="438"/>
        <v>2282.75</v>
      </c>
      <c r="AK396" s="287">
        <f>Tabla14[[#This Row],[Cajas por Personas]]</f>
        <v>0</v>
      </c>
      <c r="AL396" s="288">
        <f>Tabla14[[#This Row],[Valor Precorte Pesona]]</f>
        <v>0</v>
      </c>
      <c r="AM396" s="294">
        <f>Tabla14[[#This Row],[Personas Precorte]]</f>
        <v>0</v>
      </c>
      <c r="AN396" s="308">
        <f>Tabla14[[#This Row],[Valor Precorte Pesona Precorte]]*Tabla14[[#This Row],[Perzonas Precorte]]</f>
        <v>0</v>
      </c>
      <c r="AO396" s="287">
        <f>Tabla14[[#This Row],[Cajas por Personas2]]</f>
        <v>8.5</v>
      </c>
      <c r="AP396" s="288">
        <f>Tabla14[[#This Row],[Valor Embarque Pesona]]</f>
        <v>15300</v>
      </c>
      <c r="AQ396" s="295">
        <f>Tabla14[[#This Row],[Personas Precorte2]]</f>
        <v>4</v>
      </c>
      <c r="AR396" s="296">
        <f>Tabla14[[#This Row],[Valor Embarque Pesona3]]*Tabla14[[#This Row],[Perzona Primera]]</f>
        <v>61200</v>
      </c>
      <c r="AS396" s="287">
        <f>Tabla14[[#This Row],[Columna2]]</f>
        <v>0</v>
      </c>
      <c r="AT396" s="288">
        <f>Tabla14[[#This Row],[Columna1]]</f>
        <v>0</v>
      </c>
      <c r="AU396" s="302">
        <f>Tabla14[[#This Row],[Personas Intervienen]]</f>
        <v>0</v>
      </c>
      <c r="AV396" s="297">
        <f>Tabla14[[#This Row],[Valor Embarque Pesona5]]*Tabla14[[#This Row],[Presonas Segunda]]</f>
        <v>0</v>
      </c>
      <c r="AW396" s="287">
        <f>Tabla14[[#This Row],[Bolsas Por Personas]]</f>
        <v>3.97</v>
      </c>
      <c r="AX396" s="288">
        <f>Tabla14[[#This Row],[Valor bolsas Pesona]]</f>
        <v>2282.75</v>
      </c>
      <c r="AY396" s="309">
        <f>Tabla14[[#This Row],[Personas13]]</f>
        <v>4</v>
      </c>
      <c r="AZ396" s="310">
        <f>Tabla14[[#This Row],[Valor bolsas Pesona2]]*Tabla14[[#This Row],[Personas Rechazo]]</f>
        <v>9131</v>
      </c>
      <c r="BA396" s="311">
        <f>+Tabla14[[#This Row],[Total Valor Segunda]]+Tabla14[[#This Row],[Total Valor Primera]]+Tabla14[[#This Row],[Total Valor Precorte]]</f>
        <v>61200</v>
      </c>
      <c r="BB396" s="292">
        <f>Tabla14[[#This Row],[Valor bolsas Pesona2]]+Tabla14[[#This Row],[Valor Embarque Pesona3]]</f>
        <v>17582.75</v>
      </c>
      <c r="BC396" s="332">
        <v>30000</v>
      </c>
      <c r="BD396" s="292">
        <f>Tabla14[[#This Row],[VALOR GANADO]]-Tabla14[[#This Row],[REAJUSTADO]]</f>
        <v>-12417.25</v>
      </c>
      <c r="BE396" s="250">
        <f>Tabla14[[#This Row],[CUANTO SE REAJUSTA]]*Tabla14[[#This Row],[Personas Rechazo]]</f>
        <v>-49669</v>
      </c>
      <c r="BF396" s="250">
        <f>Tabla14[[#This Row],[REAJUSTADO]]/25000</f>
        <v>1.2</v>
      </c>
      <c r="BG396" s="302">
        <f>Tabla14[[#This Row],[REAJUSTADO]]*Tabla14[[#This Row],[Personas Rechazo]]</f>
        <v>120000</v>
      </c>
      <c r="BH396" s="292" t="str">
        <f>Tabla14[[#This Row],[Finca]]</f>
        <v>Damaquiel</v>
      </c>
      <c r="BJ396" s="332">
        <f>Tabla14[[#This Row],[Numero de Ocacionales]]*Tabla14[[#This Row],[REAJUSTADO]]</f>
        <v>0</v>
      </c>
      <c r="BK396" s="332"/>
      <c r="BL396" s="332"/>
      <c r="BM396" s="332">
        <f>+Tabla14[[#This Row],[CUANTO SE REAJUSTA]]*3</f>
        <v>-37251.75</v>
      </c>
    </row>
    <row r="397" spans="3:65" x14ac:dyDescent="0.25">
      <c r="C397" s="517">
        <v>45112</v>
      </c>
      <c r="D397" s="507">
        <f>YEAR(Tabla14[[#This Row],[Fecha]])</f>
        <v>2023</v>
      </c>
      <c r="E397" s="518">
        <f>IF(Tabla14[[#This Row],[Fecha]]&gt;0,_xlfn.ISOWEEKNUM(Tabla14[[#This Row],[Fecha]]),0)</f>
        <v>27</v>
      </c>
      <c r="F397" s="269">
        <v>10</v>
      </c>
      <c r="G397" s="268" t="s">
        <v>251</v>
      </c>
      <c r="H397" s="266" t="str">
        <f>_xlfn.XLOOKUP(Tabla14[[#This Row],[Codigo Finca]],Tabla4[Codigo Finca],Tabla4[Nombre Finca],"")</f>
        <v>Pedrito</v>
      </c>
      <c r="I397" s="262">
        <f>_xlfn.XLOOKUP(Tabla14[[#This Row],[Codigo Finca]],Tabla4[Codigo Finca],Tabla4[Precio Caja],0)</f>
        <v>1800</v>
      </c>
      <c r="J397" s="262">
        <f>_xlfn.XLOOKUP(Tabla14[[#This Row],[Codigo Finca]],Tabla4[Codigo Finca],Tabla4[Precio Caja Segunda],0)</f>
        <v>1150</v>
      </c>
      <c r="K397" s="262">
        <f>_xlfn.XLOOKUP(Tabla14[[#This Row],[Codigo Finca]],Tabla4[Codigo Finca],Tabla4[Precio Rechazo],0)</f>
        <v>575</v>
      </c>
      <c r="L397" s="262">
        <f t="shared" si="426"/>
        <v>779</v>
      </c>
      <c r="M397" s="272">
        <f t="shared" si="427"/>
        <v>77.900000000000006</v>
      </c>
      <c r="N397" s="269"/>
      <c r="O397" s="270"/>
      <c r="P397" s="280">
        <f t="shared" si="428"/>
        <v>0</v>
      </c>
      <c r="Q397" s="263">
        <f t="shared" si="429"/>
        <v>0</v>
      </c>
      <c r="R397" s="322">
        <f t="shared" si="430"/>
        <v>0</v>
      </c>
      <c r="S397" s="269">
        <v>779</v>
      </c>
      <c r="T397" s="268">
        <v>14</v>
      </c>
      <c r="U397" s="251">
        <f t="shared" si="431"/>
        <v>10</v>
      </c>
      <c r="V397" s="263">
        <f t="shared" si="432"/>
        <v>0.7142857142857143</v>
      </c>
      <c r="W397" s="322">
        <f t="shared" si="433"/>
        <v>1285.7142857142858</v>
      </c>
      <c r="X397" s="269"/>
      <c r="Y397" s="268"/>
      <c r="Z397" s="251">
        <f>Tabla14[[#This Row],[Cajas Segunda]]</f>
        <v>0</v>
      </c>
      <c r="AA397" s="263">
        <f t="shared" si="434"/>
        <v>0</v>
      </c>
      <c r="AB397" s="265">
        <f t="shared" si="435"/>
        <v>0</v>
      </c>
      <c r="AC397" s="273"/>
      <c r="AD397" s="271"/>
      <c r="AE397" s="271"/>
      <c r="AF397" s="271"/>
      <c r="AG397" s="271">
        <v>14</v>
      </c>
      <c r="AH397" s="251">
        <f t="shared" si="436"/>
        <v>0</v>
      </c>
      <c r="AI397" s="263">
        <f t="shared" si="437"/>
        <v>0</v>
      </c>
      <c r="AJ397" s="322">
        <f t="shared" si="438"/>
        <v>0</v>
      </c>
      <c r="AK397" s="264">
        <f>Tabla14[[#This Row],[Cajas por Personas]]</f>
        <v>0</v>
      </c>
      <c r="AL397" s="267">
        <f>Tabla14[[#This Row],[Valor Precorte Pesona]]</f>
        <v>0</v>
      </c>
      <c r="AM397" s="294">
        <f>Tabla14[[#This Row],[Personas Precorte]]</f>
        <v>0</v>
      </c>
      <c r="AN397" s="308">
        <f>Tabla14[[#This Row],[Valor Precorte Pesona Precorte]]*Tabla14[[#This Row],[Perzonas Precorte]]</f>
        <v>0</v>
      </c>
      <c r="AO397" s="264">
        <f>Tabla14[[#This Row],[Cajas por Personas2]]</f>
        <v>0.7142857142857143</v>
      </c>
      <c r="AP397" s="267">
        <f>Tabla14[[#This Row],[Valor Embarque Pesona]]</f>
        <v>1285.7142857142858</v>
      </c>
      <c r="AQ397" s="295">
        <f>Tabla14[[#This Row],[Personas Precorte2]]</f>
        <v>14</v>
      </c>
      <c r="AR397" s="296">
        <f>Tabla14[[#This Row],[Valor Embarque Pesona3]]*Tabla14[[#This Row],[Perzona Primera]]</f>
        <v>18000</v>
      </c>
      <c r="AS397" s="264">
        <f>Tabla14[[#This Row],[Columna2]]</f>
        <v>0</v>
      </c>
      <c r="AT397" s="267">
        <f>Tabla14[[#This Row],[Columna1]]</f>
        <v>0</v>
      </c>
      <c r="AU397" s="302">
        <f>Tabla14[[#This Row],[Personas Intervienen]]</f>
        <v>0</v>
      </c>
      <c r="AV397" s="297">
        <f>Tabla14[[#This Row],[Valor Embarque Pesona5]]*Tabla14[[#This Row],[Presonas Segunda]]</f>
        <v>0</v>
      </c>
      <c r="AW397" s="264">
        <f>Tabla14[[#This Row],[Bolsas Por Personas]]</f>
        <v>0</v>
      </c>
      <c r="AX397" s="267">
        <f>Tabla14[[#This Row],[Valor bolsas Pesona]]</f>
        <v>0</v>
      </c>
      <c r="AY397" s="290">
        <f>Tabla14[[#This Row],[Personas13]]</f>
        <v>14</v>
      </c>
      <c r="AZ397" s="323">
        <f>Tabla14[[#This Row],[Valor bolsas Pesona2]]*Tabla14[[#This Row],[Personas Rechazo]]</f>
        <v>0</v>
      </c>
      <c r="BA397" s="324">
        <f>+Tabla14[[#This Row],[Total Valor Segunda]]+Tabla14[[#This Row],[Total Valor Primera]]+Tabla14[[#This Row],[Total Valor Precorte]]</f>
        <v>18000</v>
      </c>
      <c r="BB397" s="538">
        <f>Tabla14[[#This Row],[Valor bolsas Pesona2]]+Tabla14[[#This Row],[Valor Embarque Pesona3]]</f>
        <v>1285.7142857142858</v>
      </c>
      <c r="BC397" s="539">
        <v>30000</v>
      </c>
      <c r="BD397" s="538">
        <f>Tabla14[[#This Row],[VALOR GANADO]]-Tabla14[[#This Row],[REAJUSTADO]]</f>
        <v>-28714.285714285714</v>
      </c>
      <c r="BE397" s="250">
        <f>Tabla14[[#This Row],[CUANTO SE REAJUSTA]]*Tabla14[[#This Row],[Personas Rechazo]]</f>
        <v>-402000</v>
      </c>
      <c r="BF397" s="250">
        <f>Tabla14[[#This Row],[REAJUSTADO]]/25000</f>
        <v>1.2</v>
      </c>
      <c r="BG397" s="302">
        <f>Tabla14[[#This Row],[REAJUSTADO]]*Tabla14[[#This Row],[Personas Rechazo]]</f>
        <v>420000</v>
      </c>
      <c r="BH397" s="292" t="str">
        <f>Tabla14[[#This Row],[Finca]]</f>
        <v>Pedrito</v>
      </c>
      <c r="BJ397" s="332">
        <f>Tabla14[[#This Row],[Numero de Ocacionales]]*Tabla14[[#This Row],[REAJUSTADO]]</f>
        <v>0</v>
      </c>
      <c r="BK397" s="332"/>
      <c r="BL397" s="332"/>
      <c r="BM397" s="332">
        <f>+Tabla14[[#This Row],[CUANTO SE REAJUSTA]]*3</f>
        <v>-86142.857142857145</v>
      </c>
    </row>
    <row r="398" spans="3:65" x14ac:dyDescent="0.25">
      <c r="C398" s="515">
        <v>45113</v>
      </c>
      <c r="D398" s="507">
        <f>YEAR(Tabla14[[#This Row],[Fecha]])</f>
        <v>2023</v>
      </c>
      <c r="E398" s="516">
        <f>IF(Tabla14[[#This Row],[Fecha]]&gt;0,_xlfn.ISOWEEKNUM(Tabla14[[#This Row],[Fecha]]),0)</f>
        <v>27</v>
      </c>
      <c r="F398" s="543">
        <v>122</v>
      </c>
      <c r="G398" s="275" t="s">
        <v>251</v>
      </c>
      <c r="H398" s="325" t="str">
        <f>_xlfn.XLOOKUP(Tabla14[[#This Row],[Codigo Finca]],Tabla4[Codigo Finca],Tabla4[Nombre Finca],"")</f>
        <v>Pedrito</v>
      </c>
      <c r="I398" s="277">
        <f>_xlfn.XLOOKUP(Tabla14[[#This Row],[Codigo Finca]],Tabla4[Codigo Finca],Tabla4[Precio Caja],0)</f>
        <v>1800</v>
      </c>
      <c r="J398" s="277">
        <f>_xlfn.XLOOKUP(Tabla14[[#This Row],[Codigo Finca]],Tabla4[Codigo Finca],Tabla4[Precio Caja Segunda],0)</f>
        <v>1150</v>
      </c>
      <c r="K398" s="277">
        <f>_xlfn.XLOOKUP(Tabla14[[#This Row],[Codigo Finca]],Tabla4[Codigo Finca],Tabla4[Precio Rechazo],0)</f>
        <v>575</v>
      </c>
      <c r="L398" s="277">
        <f t="shared" si="426"/>
        <v>0</v>
      </c>
      <c r="M398" s="278">
        <f t="shared" si="427"/>
        <v>0</v>
      </c>
      <c r="N398" s="283"/>
      <c r="O398" s="279"/>
      <c r="P398" s="280">
        <f t="shared" si="428"/>
        <v>0</v>
      </c>
      <c r="Q398" s="281">
        <f t="shared" si="429"/>
        <v>0</v>
      </c>
      <c r="R398" s="282">
        <f t="shared" si="430"/>
        <v>0</v>
      </c>
      <c r="S398" s="283"/>
      <c r="T398" s="275">
        <v>14</v>
      </c>
      <c r="U398" s="280">
        <f t="shared" si="431"/>
        <v>122</v>
      </c>
      <c r="V398" s="281">
        <f t="shared" si="432"/>
        <v>8.7142857142857135</v>
      </c>
      <c r="W398" s="282">
        <f t="shared" si="433"/>
        <v>15685.714285714286</v>
      </c>
      <c r="X398" s="283"/>
      <c r="Y398" s="275"/>
      <c r="Z398" s="280">
        <f>Tabla14[[#This Row],[Cajas Segunda]]</f>
        <v>0</v>
      </c>
      <c r="AA398" s="281">
        <f t="shared" si="434"/>
        <v>0</v>
      </c>
      <c r="AB398" s="284">
        <f t="shared" si="435"/>
        <v>0</v>
      </c>
      <c r="AC398" s="285"/>
      <c r="AD398" s="286">
        <v>2059</v>
      </c>
      <c r="AE398" s="286"/>
      <c r="AF398" s="286"/>
      <c r="AG398" s="286">
        <v>14</v>
      </c>
      <c r="AH398" s="280">
        <f t="shared" si="436"/>
        <v>82.36</v>
      </c>
      <c r="AI398" s="281">
        <f t="shared" si="437"/>
        <v>5.8828571428571426</v>
      </c>
      <c r="AJ398" s="282">
        <f t="shared" si="438"/>
        <v>3382.6428571428569</v>
      </c>
      <c r="AK398" s="287">
        <f>Tabla14[[#This Row],[Cajas por Personas]]</f>
        <v>0</v>
      </c>
      <c r="AL398" s="288">
        <f>Tabla14[[#This Row],[Valor Precorte Pesona]]</f>
        <v>0</v>
      </c>
      <c r="AM398" s="294">
        <f>Tabla14[[#This Row],[Personas Precorte]]</f>
        <v>0</v>
      </c>
      <c r="AN398" s="308">
        <f>Tabla14[[#This Row],[Valor Precorte Pesona Precorte]]*Tabla14[[#This Row],[Perzonas Precorte]]</f>
        <v>0</v>
      </c>
      <c r="AO398" s="287">
        <f>Tabla14[[#This Row],[Cajas por Personas2]]</f>
        <v>8.7142857142857135</v>
      </c>
      <c r="AP398" s="288">
        <f>Tabla14[[#This Row],[Valor Embarque Pesona]]</f>
        <v>15685.714285714286</v>
      </c>
      <c r="AQ398" s="295">
        <f>Tabla14[[#This Row],[Personas Precorte2]]</f>
        <v>14</v>
      </c>
      <c r="AR398" s="296">
        <f>Tabla14[[#This Row],[Valor Embarque Pesona3]]*Tabla14[[#This Row],[Perzona Primera]]</f>
        <v>219600</v>
      </c>
      <c r="AS398" s="287">
        <f>Tabla14[[#This Row],[Columna2]]</f>
        <v>0</v>
      </c>
      <c r="AT398" s="288">
        <f>Tabla14[[#This Row],[Columna1]]</f>
        <v>0</v>
      </c>
      <c r="AU398" s="302">
        <f>Tabla14[[#This Row],[Personas Intervienen]]</f>
        <v>0</v>
      </c>
      <c r="AV398" s="297">
        <f>Tabla14[[#This Row],[Valor Embarque Pesona5]]*Tabla14[[#This Row],[Presonas Segunda]]</f>
        <v>0</v>
      </c>
      <c r="AW398" s="287">
        <f>Tabla14[[#This Row],[Bolsas Por Personas]]</f>
        <v>5.8828571428571426</v>
      </c>
      <c r="AX398" s="288">
        <f>Tabla14[[#This Row],[Valor bolsas Pesona]]</f>
        <v>3382.6428571428569</v>
      </c>
      <c r="AY398" s="309">
        <f>Tabla14[[#This Row],[Personas13]]</f>
        <v>14</v>
      </c>
      <c r="AZ398" s="310">
        <f>Tabla14[[#This Row],[Valor bolsas Pesona2]]*Tabla14[[#This Row],[Personas Rechazo]]</f>
        <v>47357</v>
      </c>
      <c r="BA398" s="311">
        <f>+Tabla14[[#This Row],[Total Valor Segunda]]+Tabla14[[#This Row],[Total Valor Primera]]+Tabla14[[#This Row],[Total Valor Precorte]]</f>
        <v>219600</v>
      </c>
      <c r="BB398" s="538">
        <f>Tabla14[[#This Row],[Valor bolsas Pesona2]]+Tabla14[[#This Row],[Valor Embarque Pesona3]]</f>
        <v>19068.357142857145</v>
      </c>
      <c r="BC398" s="539"/>
      <c r="BD398" s="538">
        <f>Tabla14[[#This Row],[VALOR GANADO]]-Tabla14[[#This Row],[REAJUSTADO]]</f>
        <v>19068.357142857145</v>
      </c>
      <c r="BE398" s="250">
        <f>Tabla14[[#This Row],[CUANTO SE REAJUSTA]]*Tabla14[[#This Row],[Personas Rechazo]]</f>
        <v>266957</v>
      </c>
      <c r="BF398" s="250">
        <f>Tabla14[[#This Row],[REAJUSTADO]]/25000</f>
        <v>0</v>
      </c>
      <c r="BG398" s="302">
        <f>Tabla14[[#This Row],[REAJUSTADO]]*Tabla14[[#This Row],[Personas Rechazo]]</f>
        <v>0</v>
      </c>
      <c r="BH398" s="292" t="str">
        <f>Tabla14[[#This Row],[Finca]]</f>
        <v>Pedrito</v>
      </c>
      <c r="BJ398" s="332">
        <f>Tabla14[[#This Row],[Numero de Ocacionales]]*Tabla14[[#This Row],[REAJUSTADO]]</f>
        <v>0</v>
      </c>
      <c r="BK398" s="332"/>
      <c r="BL398" s="332"/>
      <c r="BM398" s="332">
        <f>+Tabla14[[#This Row],[CUANTO SE REAJUSTA]]*3</f>
        <v>57205.071428571435</v>
      </c>
    </row>
    <row r="399" spans="3:65" x14ac:dyDescent="0.25">
      <c r="C399" s="515">
        <v>45113</v>
      </c>
      <c r="D399" s="507">
        <f>YEAR(Tabla14[[#This Row],[Fecha]])</f>
        <v>2023</v>
      </c>
      <c r="E399" s="516">
        <f>IF(Tabla14[[#This Row],[Fecha]]&gt;0,_xlfn.ISOWEEKNUM(Tabla14[[#This Row],[Fecha]]),0)</f>
        <v>27</v>
      </c>
      <c r="F399" s="283">
        <v>30</v>
      </c>
      <c r="G399" s="275" t="s">
        <v>266</v>
      </c>
      <c r="H399" s="325" t="str">
        <f>_xlfn.XLOOKUP(Tabla14[[#This Row],[Codigo Finca]],Tabla4[Codigo Finca],Tabla4[Nombre Finca],"")</f>
        <v>Uveros</v>
      </c>
      <c r="I399" s="277">
        <f>_xlfn.XLOOKUP(Tabla14[[#This Row],[Codigo Finca]],Tabla4[Codigo Finca],Tabla4[Precio Caja],0)</f>
        <v>1800</v>
      </c>
      <c r="J399" s="277">
        <f>_xlfn.XLOOKUP(Tabla14[[#This Row],[Codigo Finca]],Tabla4[Codigo Finca],Tabla4[Precio Caja Segunda],0)</f>
        <v>1150</v>
      </c>
      <c r="K399" s="277">
        <f>_xlfn.XLOOKUP(Tabla14[[#This Row],[Codigo Finca]],Tabla4[Codigo Finca],Tabla4[Precio Rechazo],0)</f>
        <v>575</v>
      </c>
      <c r="L399" s="277">
        <f t="shared" si="426"/>
        <v>0</v>
      </c>
      <c r="M399" s="278">
        <f t="shared" si="427"/>
        <v>0</v>
      </c>
      <c r="N399" s="283"/>
      <c r="O399" s="279"/>
      <c r="P399" s="280">
        <f t="shared" si="428"/>
        <v>0</v>
      </c>
      <c r="Q399" s="281">
        <f t="shared" si="429"/>
        <v>0</v>
      </c>
      <c r="R399" s="282">
        <f t="shared" si="430"/>
        <v>0</v>
      </c>
      <c r="S399" s="338"/>
      <c r="T399" s="275">
        <v>5</v>
      </c>
      <c r="U399" s="280">
        <f t="shared" si="431"/>
        <v>30</v>
      </c>
      <c r="V399" s="281">
        <f t="shared" si="432"/>
        <v>6</v>
      </c>
      <c r="W399" s="282">
        <f t="shared" si="433"/>
        <v>10800</v>
      </c>
      <c r="X399" s="283"/>
      <c r="Y399" s="275"/>
      <c r="Z399" s="280">
        <f>Tabla14[[#This Row],[Cajas Segunda]]</f>
        <v>0</v>
      </c>
      <c r="AA399" s="281">
        <f t="shared" si="434"/>
        <v>0</v>
      </c>
      <c r="AB399" s="284">
        <f t="shared" si="435"/>
        <v>0</v>
      </c>
      <c r="AC399" s="285"/>
      <c r="AD399" s="286">
        <v>322</v>
      </c>
      <c r="AE399" s="286"/>
      <c r="AF399" s="286"/>
      <c r="AG399" s="286">
        <v>5</v>
      </c>
      <c r="AH399" s="280">
        <f t="shared" si="436"/>
        <v>12.88</v>
      </c>
      <c r="AI399" s="281">
        <f t="shared" si="437"/>
        <v>2.5760000000000001</v>
      </c>
      <c r="AJ399" s="282">
        <f t="shared" si="438"/>
        <v>1481.2</v>
      </c>
      <c r="AK399" s="287">
        <f>Tabla14[[#This Row],[Cajas por Personas]]</f>
        <v>0</v>
      </c>
      <c r="AL399" s="288">
        <f>Tabla14[[#This Row],[Valor Precorte Pesona]]</f>
        <v>0</v>
      </c>
      <c r="AM399" s="294">
        <f>Tabla14[[#This Row],[Personas Precorte]]</f>
        <v>0</v>
      </c>
      <c r="AN399" s="308">
        <f>Tabla14[[#This Row],[Valor Precorte Pesona Precorte]]*Tabla14[[#This Row],[Perzonas Precorte]]</f>
        <v>0</v>
      </c>
      <c r="AO399" s="287">
        <f>Tabla14[[#This Row],[Cajas por Personas2]]</f>
        <v>6</v>
      </c>
      <c r="AP399" s="288">
        <f>Tabla14[[#This Row],[Valor Embarque Pesona]]</f>
        <v>10800</v>
      </c>
      <c r="AQ399" s="295">
        <f>Tabla14[[#This Row],[Personas Precorte2]]</f>
        <v>5</v>
      </c>
      <c r="AR399" s="296">
        <f>Tabla14[[#This Row],[Valor Embarque Pesona3]]*Tabla14[[#This Row],[Perzona Primera]]</f>
        <v>54000</v>
      </c>
      <c r="AS399" s="287">
        <f>Tabla14[[#This Row],[Columna2]]</f>
        <v>0</v>
      </c>
      <c r="AT399" s="288">
        <f>Tabla14[[#This Row],[Columna1]]</f>
        <v>0</v>
      </c>
      <c r="AU399" s="302">
        <f>Tabla14[[#This Row],[Personas Intervienen]]</f>
        <v>0</v>
      </c>
      <c r="AV399" s="297">
        <f>Tabla14[[#This Row],[Valor Embarque Pesona5]]*Tabla14[[#This Row],[Presonas Segunda]]</f>
        <v>0</v>
      </c>
      <c r="AW399" s="287">
        <f>Tabla14[[#This Row],[Bolsas Por Personas]]</f>
        <v>2.5760000000000001</v>
      </c>
      <c r="AX399" s="288">
        <f>Tabla14[[#This Row],[Valor bolsas Pesona]]</f>
        <v>1481.2</v>
      </c>
      <c r="AY399" s="309">
        <f>Tabla14[[#This Row],[Personas13]]</f>
        <v>5</v>
      </c>
      <c r="AZ399" s="310">
        <f>Tabla14[[#This Row],[Valor bolsas Pesona2]]*Tabla14[[#This Row],[Personas Rechazo]]</f>
        <v>7406</v>
      </c>
      <c r="BA399" s="311">
        <f>+Tabla14[[#This Row],[Total Valor Segunda]]+Tabla14[[#This Row],[Total Valor Primera]]+Tabla14[[#This Row],[Total Valor Precorte]]</f>
        <v>54000</v>
      </c>
      <c r="BB399" s="292">
        <f>Tabla14[[#This Row],[Valor bolsas Pesona2]]+Tabla14[[#This Row],[Valor Embarque Pesona3]]</f>
        <v>12281.2</v>
      </c>
      <c r="BC399" s="332">
        <v>30000</v>
      </c>
      <c r="BD399" s="292">
        <f>Tabla14[[#This Row],[VALOR GANADO]]-Tabla14[[#This Row],[REAJUSTADO]]</f>
        <v>-17718.8</v>
      </c>
      <c r="BE399" s="250">
        <f>Tabla14[[#This Row],[CUANTO SE REAJUSTA]]*Tabla14[[#This Row],[Personas Rechazo]]</f>
        <v>-88594</v>
      </c>
      <c r="BF399" s="250">
        <f>Tabla14[[#This Row],[REAJUSTADO]]/25000</f>
        <v>1.2</v>
      </c>
      <c r="BG399" s="302">
        <f>Tabla14[[#This Row],[REAJUSTADO]]*Tabla14[[#This Row],[Personas Rechazo]]</f>
        <v>150000</v>
      </c>
      <c r="BH399" s="292" t="str">
        <f>Tabla14[[#This Row],[Finca]]</f>
        <v>Uveros</v>
      </c>
      <c r="BJ399" s="332">
        <f>Tabla14[[#This Row],[Numero de Ocacionales]]*Tabla14[[#This Row],[REAJUSTADO]]</f>
        <v>0</v>
      </c>
      <c r="BK399" s="332"/>
      <c r="BL399" s="332"/>
      <c r="BM399" s="332">
        <f>+Tabla14[[#This Row],[CUANTO SE REAJUSTA]]*3</f>
        <v>-53156.399999999994</v>
      </c>
    </row>
    <row r="400" spans="3:65" x14ac:dyDescent="0.25">
      <c r="C400" s="515">
        <v>45118</v>
      </c>
      <c r="D400" s="507">
        <f>YEAR(Tabla14[[#This Row],[Fecha]])</f>
        <v>2023</v>
      </c>
      <c r="E400" s="516">
        <f>IF(Tabla14[[#This Row],[Fecha]]&gt;0,_xlfn.ISOWEEKNUM(Tabla14[[#This Row],[Fecha]]),0)</f>
        <v>28</v>
      </c>
      <c r="F400" s="283">
        <v>198</v>
      </c>
      <c r="G400" s="275" t="s">
        <v>250</v>
      </c>
      <c r="H400" s="325" t="str">
        <f>_xlfn.XLOOKUP(Tabla14[[#This Row],[Codigo Finca]],Tabla4[Codigo Finca],Tabla4[Nombre Finca],"")</f>
        <v>San Pedro</v>
      </c>
      <c r="I400" s="277">
        <f>_xlfn.XLOOKUP(Tabla14[[#This Row],[Codigo Finca]],Tabla4[Codigo Finca],Tabla4[Precio Caja],0)</f>
        <v>1800</v>
      </c>
      <c r="J400" s="277">
        <f>_xlfn.XLOOKUP(Tabla14[[#This Row],[Codigo Finca]],Tabla4[Codigo Finca],Tabla4[Precio Caja Segunda],0)</f>
        <v>1150</v>
      </c>
      <c r="K400" s="277">
        <f>_xlfn.XLOOKUP(Tabla14[[#This Row],[Codigo Finca]],Tabla4[Codigo Finca],Tabla4[Precio Rechazo],0)</f>
        <v>575</v>
      </c>
      <c r="L400" s="277">
        <f t="shared" si="426"/>
        <v>719</v>
      </c>
      <c r="M400" s="278">
        <f t="shared" si="427"/>
        <v>3.6313131313131315</v>
      </c>
      <c r="N400" s="283"/>
      <c r="O400" s="279"/>
      <c r="P400" s="280">
        <f t="shared" si="428"/>
        <v>0</v>
      </c>
      <c r="Q400" s="281">
        <f t="shared" si="429"/>
        <v>0</v>
      </c>
      <c r="R400" s="282">
        <f t="shared" si="430"/>
        <v>0</v>
      </c>
      <c r="S400" s="283">
        <f>4+88+436+105+18+2+66</f>
        <v>719</v>
      </c>
      <c r="T400" s="275">
        <v>10</v>
      </c>
      <c r="U400" s="280">
        <f t="shared" si="431"/>
        <v>198</v>
      </c>
      <c r="V400" s="281">
        <f t="shared" si="432"/>
        <v>19.8</v>
      </c>
      <c r="W400" s="282">
        <f t="shared" si="433"/>
        <v>35640</v>
      </c>
      <c r="X400" s="283"/>
      <c r="Y400" s="275"/>
      <c r="Z400" s="280">
        <f>Tabla14[[#This Row],[Cajas Segunda]]</f>
        <v>0</v>
      </c>
      <c r="AA400" s="281">
        <f t="shared" si="434"/>
        <v>0</v>
      </c>
      <c r="AB400" s="284">
        <f t="shared" si="435"/>
        <v>0</v>
      </c>
      <c r="AC400" s="285"/>
      <c r="AD400" s="286">
        <v>1532</v>
      </c>
      <c r="AE400" s="286"/>
      <c r="AF400" s="286"/>
      <c r="AG400" s="286">
        <v>10</v>
      </c>
      <c r="AH400" s="280">
        <f t="shared" si="436"/>
        <v>61.28</v>
      </c>
      <c r="AI400" s="281">
        <f t="shared" si="437"/>
        <v>6.1280000000000001</v>
      </c>
      <c r="AJ400" s="282">
        <f t="shared" si="438"/>
        <v>3523.6</v>
      </c>
      <c r="AK400" s="287">
        <f>Tabla14[[#This Row],[Cajas por Personas]]</f>
        <v>0</v>
      </c>
      <c r="AL400" s="288">
        <f>Tabla14[[#This Row],[Valor Precorte Pesona]]</f>
        <v>0</v>
      </c>
      <c r="AM400" s="294">
        <f>Tabla14[[#This Row],[Personas Precorte]]</f>
        <v>0</v>
      </c>
      <c r="AN400" s="308">
        <f>Tabla14[[#This Row],[Valor Precorte Pesona Precorte]]*Tabla14[[#This Row],[Perzonas Precorte]]</f>
        <v>0</v>
      </c>
      <c r="AO400" s="287">
        <f>Tabla14[[#This Row],[Cajas por Personas2]]</f>
        <v>19.8</v>
      </c>
      <c r="AP400" s="288">
        <f>Tabla14[[#This Row],[Valor Embarque Pesona]]</f>
        <v>35640</v>
      </c>
      <c r="AQ400" s="295">
        <f>Tabla14[[#This Row],[Personas Precorte2]]</f>
        <v>10</v>
      </c>
      <c r="AR400" s="296">
        <f>Tabla14[[#This Row],[Valor Embarque Pesona3]]*Tabla14[[#This Row],[Perzona Primera]]</f>
        <v>356400</v>
      </c>
      <c r="AS400" s="287">
        <f>Tabla14[[#This Row],[Columna2]]</f>
        <v>0</v>
      </c>
      <c r="AT400" s="288">
        <f>Tabla14[[#This Row],[Columna1]]</f>
        <v>0</v>
      </c>
      <c r="AU400" s="302">
        <f>Tabla14[[#This Row],[Personas Intervienen]]</f>
        <v>0</v>
      </c>
      <c r="AV400" s="297">
        <f>Tabla14[[#This Row],[Valor Embarque Pesona5]]*Tabla14[[#This Row],[Presonas Segunda]]</f>
        <v>0</v>
      </c>
      <c r="AW400" s="287">
        <f>Tabla14[[#This Row],[Bolsas Por Personas]]</f>
        <v>6.1280000000000001</v>
      </c>
      <c r="AX400" s="288">
        <f>Tabla14[[#This Row],[Valor bolsas Pesona]]</f>
        <v>3523.6</v>
      </c>
      <c r="AY400" s="309">
        <f>Tabla14[[#This Row],[Personas13]]</f>
        <v>10</v>
      </c>
      <c r="AZ400" s="310">
        <f>Tabla14[[#This Row],[Valor bolsas Pesona2]]*Tabla14[[#This Row],[Personas Rechazo]]</f>
        <v>35236</v>
      </c>
      <c r="BA400" s="311">
        <f>+Tabla14[[#This Row],[Total Valor Segunda]]+Tabla14[[#This Row],[Total Valor Primera]]+Tabla14[[#This Row],[Total Valor Precorte]]</f>
        <v>356400</v>
      </c>
      <c r="BB400" s="292">
        <f>Tabla14[[#This Row],[Valor bolsas Pesona2]]+Tabla14[[#This Row],[Valor Embarque Pesona3]]</f>
        <v>39163.599999999999</v>
      </c>
      <c r="BC400" s="332">
        <v>39200</v>
      </c>
      <c r="BD400" s="292">
        <f>Tabla14[[#This Row],[VALOR GANADO]]-Tabla14[[#This Row],[REAJUSTADO]]</f>
        <v>-36.400000000001455</v>
      </c>
      <c r="BE400" s="250">
        <f>Tabla14[[#This Row],[CUANTO SE REAJUSTA]]*Tabla14[[#This Row],[Personas Rechazo]]</f>
        <v>-364.00000000001455</v>
      </c>
      <c r="BF400" s="250">
        <f>Tabla14[[#This Row],[REAJUSTADO]]/25000</f>
        <v>1.5680000000000001</v>
      </c>
      <c r="BG400" s="302">
        <f>Tabla14[[#This Row],[REAJUSTADO]]*Tabla14[[#This Row],[Personas Rechazo]]</f>
        <v>392000</v>
      </c>
      <c r="BH400" s="292" t="str">
        <f>Tabla14[[#This Row],[Finca]]</f>
        <v>San Pedro</v>
      </c>
      <c r="BJ400" s="332">
        <f>Tabla14[[#This Row],[Numero de Ocacionales]]*Tabla14[[#This Row],[REAJUSTADO]]</f>
        <v>0</v>
      </c>
      <c r="BK400" s="332"/>
      <c r="BL400" s="332"/>
      <c r="BM400" s="332">
        <f>+Tabla14[[#This Row],[CUANTO SE REAJUSTA]]*3</f>
        <v>-109.20000000000437</v>
      </c>
    </row>
    <row r="401" spans="3:65" x14ac:dyDescent="0.25">
      <c r="C401" s="515">
        <v>45118</v>
      </c>
      <c r="D401" s="507">
        <f>YEAR(Tabla14[[#This Row],[Fecha]])</f>
        <v>2023</v>
      </c>
      <c r="E401" s="516">
        <f>IF(Tabla14[[#This Row],[Fecha]]&gt;0,_xlfn.ISOWEEKNUM(Tabla14[[#This Row],[Fecha]]),0)</f>
        <v>28</v>
      </c>
      <c r="F401" s="283">
        <v>34</v>
      </c>
      <c r="G401" s="275" t="s">
        <v>247</v>
      </c>
      <c r="H401" s="325" t="str">
        <f>_xlfn.XLOOKUP(Tabla14[[#This Row],[Codigo Finca]],Tabla4[Codigo Finca],Tabla4[Nombre Finca],"")</f>
        <v>Uveros</v>
      </c>
      <c r="I401" s="277">
        <f>_xlfn.XLOOKUP(Tabla14[[#This Row],[Codigo Finca]],Tabla4[Codigo Finca],Tabla4[Precio Caja],0)</f>
        <v>1800</v>
      </c>
      <c r="J401" s="277">
        <f>_xlfn.XLOOKUP(Tabla14[[#This Row],[Codigo Finca]],Tabla4[Codigo Finca],Tabla4[Precio Caja Segunda],0)</f>
        <v>1150</v>
      </c>
      <c r="K401" s="277">
        <f>_xlfn.XLOOKUP(Tabla14[[#This Row],[Codigo Finca]],Tabla4[Codigo Finca],Tabla4[Precio Rechazo],0)</f>
        <v>575</v>
      </c>
      <c r="L401" s="277">
        <f t="shared" si="426"/>
        <v>239</v>
      </c>
      <c r="M401" s="278">
        <f t="shared" si="427"/>
        <v>7.0294117647058822</v>
      </c>
      <c r="N401" s="283"/>
      <c r="O401" s="279"/>
      <c r="P401" s="280">
        <f t="shared" si="428"/>
        <v>0</v>
      </c>
      <c r="Q401" s="281">
        <f t="shared" si="429"/>
        <v>0</v>
      </c>
      <c r="R401" s="282">
        <f t="shared" si="430"/>
        <v>0</v>
      </c>
      <c r="S401" s="283">
        <f>103+12+8+1+3+16+71+8+4+13</f>
        <v>239</v>
      </c>
      <c r="T401" s="275">
        <v>4</v>
      </c>
      <c r="U401" s="280">
        <f t="shared" si="431"/>
        <v>34</v>
      </c>
      <c r="V401" s="281">
        <f t="shared" si="432"/>
        <v>8.5</v>
      </c>
      <c r="W401" s="282">
        <f t="shared" si="433"/>
        <v>15300</v>
      </c>
      <c r="X401" s="283"/>
      <c r="Y401" s="275"/>
      <c r="Z401" s="280">
        <f>Tabla14[[#This Row],[Cajas Segunda]]</f>
        <v>0</v>
      </c>
      <c r="AA401" s="281">
        <f t="shared" si="434"/>
        <v>0</v>
      </c>
      <c r="AB401" s="284">
        <f t="shared" si="435"/>
        <v>0</v>
      </c>
      <c r="AC401" s="285"/>
      <c r="AD401" s="286">
        <v>543</v>
      </c>
      <c r="AE401" s="286"/>
      <c r="AF401" s="286"/>
      <c r="AG401" s="286">
        <v>4</v>
      </c>
      <c r="AH401" s="280">
        <f t="shared" si="436"/>
        <v>21.72</v>
      </c>
      <c r="AI401" s="281">
        <f t="shared" si="437"/>
        <v>5.43</v>
      </c>
      <c r="AJ401" s="282">
        <f t="shared" si="438"/>
        <v>3122.25</v>
      </c>
      <c r="AK401" s="287">
        <f>Tabla14[[#This Row],[Cajas por Personas]]</f>
        <v>0</v>
      </c>
      <c r="AL401" s="288">
        <f>Tabla14[[#This Row],[Valor Precorte Pesona]]</f>
        <v>0</v>
      </c>
      <c r="AM401" s="294">
        <f>Tabla14[[#This Row],[Personas Precorte]]</f>
        <v>0</v>
      </c>
      <c r="AN401" s="308">
        <f>Tabla14[[#This Row],[Valor Precorte Pesona Precorte]]*Tabla14[[#This Row],[Perzonas Precorte]]</f>
        <v>0</v>
      </c>
      <c r="AO401" s="287">
        <f>Tabla14[[#This Row],[Cajas por Personas2]]</f>
        <v>8.5</v>
      </c>
      <c r="AP401" s="288">
        <f>Tabla14[[#This Row],[Valor Embarque Pesona]]</f>
        <v>15300</v>
      </c>
      <c r="AQ401" s="295">
        <f>Tabla14[[#This Row],[Personas Precorte2]]</f>
        <v>4</v>
      </c>
      <c r="AR401" s="296">
        <f>Tabla14[[#This Row],[Valor Embarque Pesona3]]*Tabla14[[#This Row],[Perzona Primera]]</f>
        <v>61200</v>
      </c>
      <c r="AS401" s="287">
        <f>Tabla14[[#This Row],[Columna2]]</f>
        <v>0</v>
      </c>
      <c r="AT401" s="288">
        <f>Tabla14[[#This Row],[Columna1]]</f>
        <v>0</v>
      </c>
      <c r="AU401" s="302">
        <f>Tabla14[[#This Row],[Personas Intervienen]]</f>
        <v>0</v>
      </c>
      <c r="AV401" s="297">
        <f>Tabla14[[#This Row],[Valor Embarque Pesona5]]*Tabla14[[#This Row],[Presonas Segunda]]</f>
        <v>0</v>
      </c>
      <c r="AW401" s="287">
        <f>Tabla14[[#This Row],[Bolsas Por Personas]]</f>
        <v>5.43</v>
      </c>
      <c r="AX401" s="288">
        <f>Tabla14[[#This Row],[Valor bolsas Pesona]]</f>
        <v>3122.25</v>
      </c>
      <c r="AY401" s="309">
        <f>Tabla14[[#This Row],[Personas13]]</f>
        <v>4</v>
      </c>
      <c r="AZ401" s="310">
        <f>Tabla14[[#This Row],[Valor bolsas Pesona2]]*Tabla14[[#This Row],[Personas Rechazo]]</f>
        <v>12489</v>
      </c>
      <c r="BA401" s="311">
        <f>+Tabla14[[#This Row],[Total Valor Segunda]]+Tabla14[[#This Row],[Total Valor Primera]]+Tabla14[[#This Row],[Total Valor Precorte]]</f>
        <v>61200</v>
      </c>
      <c r="BB401" s="292">
        <f>Tabla14[[#This Row],[Valor bolsas Pesona2]]+Tabla14[[#This Row],[Valor Embarque Pesona3]]</f>
        <v>18422.25</v>
      </c>
      <c r="BD401" s="292">
        <f>Tabla14[[#This Row],[VALOR GANADO]]-Tabla14[[#This Row],[REAJUSTADO]]</f>
        <v>18422.25</v>
      </c>
      <c r="BE401" s="250">
        <f>Tabla14[[#This Row],[CUANTO SE REAJUSTA]]*Tabla14[[#This Row],[Personas Rechazo]]</f>
        <v>73689</v>
      </c>
      <c r="BF401" s="250">
        <f>Tabla14[[#This Row],[REAJUSTADO]]/25000</f>
        <v>0</v>
      </c>
      <c r="BG401" s="302">
        <f>Tabla14[[#This Row],[REAJUSTADO]]*Tabla14[[#This Row],[Personas Rechazo]]</f>
        <v>0</v>
      </c>
      <c r="BH401" s="292" t="str">
        <f>Tabla14[[#This Row],[Finca]]</f>
        <v>Uveros</v>
      </c>
      <c r="BJ401" s="332">
        <f>Tabla14[[#This Row],[Numero de Ocacionales]]*Tabla14[[#This Row],[REAJUSTADO]]</f>
        <v>0</v>
      </c>
      <c r="BK401" s="332"/>
      <c r="BL401" s="332"/>
      <c r="BM401" s="332">
        <f>+Tabla14[[#This Row],[CUANTO SE REAJUSTA]]*3</f>
        <v>55266.75</v>
      </c>
    </row>
    <row r="402" spans="3:65" x14ac:dyDescent="0.25">
      <c r="C402" s="515">
        <v>45119</v>
      </c>
      <c r="D402" s="507">
        <f>YEAR(Tabla14[[#This Row],[Fecha]])</f>
        <v>2023</v>
      </c>
      <c r="E402" s="516">
        <f>IF(Tabla14[[#This Row],[Fecha]]&gt;0,_xlfn.ISOWEEKNUM(Tabla14[[#This Row],[Fecha]]),0)</f>
        <v>28</v>
      </c>
      <c r="F402" s="283">
        <v>70</v>
      </c>
      <c r="G402" s="275" t="s">
        <v>251</v>
      </c>
      <c r="H402" s="325" t="str">
        <f>_xlfn.XLOOKUP(Tabla14[[#This Row],[Codigo Finca]],Tabla4[Codigo Finca],Tabla4[Nombre Finca],"")</f>
        <v>Pedrito</v>
      </c>
      <c r="I402" s="277">
        <f>_xlfn.XLOOKUP(Tabla14[[#This Row],[Codigo Finca]],Tabla4[Codigo Finca],Tabla4[Precio Caja],0)</f>
        <v>1800</v>
      </c>
      <c r="J402" s="277">
        <f>_xlfn.XLOOKUP(Tabla14[[#This Row],[Codigo Finca]],Tabla4[Codigo Finca],Tabla4[Precio Caja Segunda],0)</f>
        <v>1150</v>
      </c>
      <c r="K402" s="277">
        <f>_xlfn.XLOOKUP(Tabla14[[#This Row],[Codigo Finca]],Tabla4[Codigo Finca],Tabla4[Precio Rechazo],0)</f>
        <v>575</v>
      </c>
      <c r="L402" s="277">
        <f t="shared" si="426"/>
        <v>479</v>
      </c>
      <c r="M402" s="278">
        <f t="shared" si="427"/>
        <v>6.8428571428571425</v>
      </c>
      <c r="N402" s="283"/>
      <c r="O402" s="279"/>
      <c r="P402" s="280">
        <f t="shared" si="428"/>
        <v>0</v>
      </c>
      <c r="Q402" s="281">
        <f t="shared" si="429"/>
        <v>0</v>
      </c>
      <c r="R402" s="282">
        <f t="shared" si="430"/>
        <v>0</v>
      </c>
      <c r="S402" s="283">
        <v>479</v>
      </c>
      <c r="T402" s="275">
        <v>12</v>
      </c>
      <c r="U402" s="280">
        <f t="shared" si="431"/>
        <v>70</v>
      </c>
      <c r="V402" s="281">
        <f t="shared" si="432"/>
        <v>5.833333333333333</v>
      </c>
      <c r="W402" s="282">
        <f t="shared" si="433"/>
        <v>10500</v>
      </c>
      <c r="X402" s="283"/>
      <c r="Y402" s="275"/>
      <c r="Z402" s="280">
        <f>Tabla14[[#This Row],[Cajas Segunda]]</f>
        <v>0</v>
      </c>
      <c r="AA402" s="281">
        <f t="shared" si="434"/>
        <v>0</v>
      </c>
      <c r="AB402" s="284">
        <f t="shared" si="435"/>
        <v>0</v>
      </c>
      <c r="AC402" s="285"/>
      <c r="AD402" s="286">
        <v>1355</v>
      </c>
      <c r="AE402" s="286"/>
      <c r="AF402" s="286"/>
      <c r="AG402" s="286">
        <v>12</v>
      </c>
      <c r="AH402" s="280">
        <f t="shared" si="436"/>
        <v>54.2</v>
      </c>
      <c r="AI402" s="281">
        <f t="shared" si="437"/>
        <v>4.5166666666666666</v>
      </c>
      <c r="AJ402" s="282">
        <f t="shared" si="438"/>
        <v>2597.0833333333335</v>
      </c>
      <c r="AK402" s="287">
        <f>Tabla14[[#This Row],[Cajas por Personas]]</f>
        <v>0</v>
      </c>
      <c r="AL402" s="288">
        <f>Tabla14[[#This Row],[Valor Precorte Pesona]]</f>
        <v>0</v>
      </c>
      <c r="AM402" s="294">
        <f>Tabla14[[#This Row],[Personas Precorte]]</f>
        <v>0</v>
      </c>
      <c r="AN402" s="308">
        <f>Tabla14[[#This Row],[Valor Precorte Pesona Precorte]]*Tabla14[[#This Row],[Perzonas Precorte]]</f>
        <v>0</v>
      </c>
      <c r="AO402" s="287">
        <f>Tabla14[[#This Row],[Cajas por Personas2]]</f>
        <v>5.833333333333333</v>
      </c>
      <c r="AP402" s="288">
        <f>Tabla14[[#This Row],[Valor Embarque Pesona]]</f>
        <v>10500</v>
      </c>
      <c r="AQ402" s="295">
        <f>Tabla14[[#This Row],[Personas Precorte2]]</f>
        <v>12</v>
      </c>
      <c r="AR402" s="296">
        <f>Tabla14[[#This Row],[Valor Embarque Pesona3]]*Tabla14[[#This Row],[Perzona Primera]]</f>
        <v>126000</v>
      </c>
      <c r="AS402" s="287">
        <f>Tabla14[[#This Row],[Columna2]]</f>
        <v>0</v>
      </c>
      <c r="AT402" s="288">
        <f>Tabla14[[#This Row],[Columna1]]</f>
        <v>0</v>
      </c>
      <c r="AU402" s="302">
        <f>Tabla14[[#This Row],[Personas Intervienen]]</f>
        <v>0</v>
      </c>
      <c r="AV402" s="297">
        <f>Tabla14[[#This Row],[Valor Embarque Pesona5]]*Tabla14[[#This Row],[Presonas Segunda]]</f>
        <v>0</v>
      </c>
      <c r="AW402" s="287">
        <f>Tabla14[[#This Row],[Bolsas Por Personas]]</f>
        <v>4.5166666666666666</v>
      </c>
      <c r="AX402" s="288">
        <f>Tabla14[[#This Row],[Valor bolsas Pesona]]</f>
        <v>2597.0833333333335</v>
      </c>
      <c r="AY402" s="309">
        <f>Tabla14[[#This Row],[Personas13]]</f>
        <v>12</v>
      </c>
      <c r="AZ402" s="310">
        <f>Tabla14[[#This Row],[Valor bolsas Pesona2]]*Tabla14[[#This Row],[Personas Rechazo]]</f>
        <v>31165</v>
      </c>
      <c r="BA402" s="311">
        <f>+Tabla14[[#This Row],[Total Valor Segunda]]+Tabla14[[#This Row],[Total Valor Primera]]+Tabla14[[#This Row],[Total Valor Precorte]]</f>
        <v>126000</v>
      </c>
      <c r="BB402" s="292">
        <f>Tabla14[[#This Row],[Valor bolsas Pesona2]]+Tabla14[[#This Row],[Valor Embarque Pesona3]]</f>
        <v>13097.083333333334</v>
      </c>
      <c r="BC402" s="332">
        <v>30000</v>
      </c>
      <c r="BD402" s="292">
        <f>Tabla14[[#This Row],[VALOR GANADO]]-Tabla14[[#This Row],[REAJUSTADO]]</f>
        <v>-16902.916666666664</v>
      </c>
      <c r="BE402" s="250">
        <f>Tabla14[[#This Row],[CUANTO SE REAJUSTA]]*Tabla14[[#This Row],[Personas Rechazo]]</f>
        <v>-202834.99999999997</v>
      </c>
      <c r="BF402" s="250">
        <f>Tabla14[[#This Row],[REAJUSTADO]]/25000</f>
        <v>1.2</v>
      </c>
      <c r="BG402" s="302">
        <f>Tabla14[[#This Row],[REAJUSTADO]]*Tabla14[[#This Row],[Personas Rechazo]]</f>
        <v>360000</v>
      </c>
      <c r="BH402" s="292" t="str">
        <f>Tabla14[[#This Row],[Finca]]</f>
        <v>Pedrito</v>
      </c>
      <c r="BJ402" s="332">
        <f>Tabla14[[#This Row],[Numero de Ocacionales]]*Tabla14[[#This Row],[REAJUSTADO]]</f>
        <v>0</v>
      </c>
      <c r="BK402" s="332"/>
      <c r="BL402" s="332"/>
      <c r="BM402" s="332">
        <f>+Tabla14[[#This Row],[CUANTO SE REAJUSTA]]*3</f>
        <v>-50708.749999999993</v>
      </c>
    </row>
    <row r="403" spans="3:65" x14ac:dyDescent="0.25">
      <c r="C403" s="515">
        <v>45120</v>
      </c>
      <c r="D403" s="507">
        <f>YEAR(Tabla14[[#This Row],[Fecha]])</f>
        <v>2023</v>
      </c>
      <c r="E403" s="516">
        <f>IF(Tabla14[[#This Row],[Fecha]]&gt;0,_xlfn.ISOWEEKNUM(Tabla14[[#This Row],[Fecha]]),0)</f>
        <v>28</v>
      </c>
      <c r="F403" s="283">
        <v>31</v>
      </c>
      <c r="G403" s="275" t="s">
        <v>248</v>
      </c>
      <c r="H403" s="325" t="str">
        <f>_xlfn.XLOOKUP(Tabla14[[#This Row],[Codigo Finca]],Tabla4[Codigo Finca],Tabla4[Nombre Finca],"")</f>
        <v>Damaquiel</v>
      </c>
      <c r="I403" s="277">
        <f>_xlfn.XLOOKUP(Tabla14[[#This Row],[Codigo Finca]],Tabla4[Codigo Finca],Tabla4[Precio Caja],0)</f>
        <v>1800</v>
      </c>
      <c r="J403" s="277">
        <f>_xlfn.XLOOKUP(Tabla14[[#This Row],[Codigo Finca]],Tabla4[Codigo Finca],Tabla4[Precio Caja Segunda],0)</f>
        <v>1150</v>
      </c>
      <c r="K403" s="277" t="s">
        <v>270</v>
      </c>
      <c r="L403" s="277">
        <f t="shared" si="426"/>
        <v>235</v>
      </c>
      <c r="M403" s="278">
        <f t="shared" si="427"/>
        <v>7.580645161290323</v>
      </c>
      <c r="N403" s="283"/>
      <c r="O403" s="279"/>
      <c r="P403" s="280">
        <f t="shared" si="428"/>
        <v>0</v>
      </c>
      <c r="Q403" s="281">
        <f t="shared" si="429"/>
        <v>0</v>
      </c>
      <c r="R403" s="282">
        <f t="shared" si="430"/>
        <v>0</v>
      </c>
      <c r="S403" s="283">
        <f>51+3+8+8+59+2+68+4+25+7</f>
        <v>235</v>
      </c>
      <c r="T403" s="275">
        <v>4</v>
      </c>
      <c r="U403" s="280">
        <f t="shared" si="431"/>
        <v>31</v>
      </c>
      <c r="V403" s="281">
        <f t="shared" si="432"/>
        <v>7.75</v>
      </c>
      <c r="W403" s="282">
        <f t="shared" si="433"/>
        <v>13950</v>
      </c>
      <c r="X403" s="283"/>
      <c r="Y403" s="275"/>
      <c r="Z403" s="280">
        <f>Tabla14[[#This Row],[Cajas Segunda]]</f>
        <v>0</v>
      </c>
      <c r="AA403" s="281">
        <f t="shared" si="434"/>
        <v>0</v>
      </c>
      <c r="AB403" s="284">
        <f t="shared" si="435"/>
        <v>0</v>
      </c>
      <c r="AC403" s="285"/>
      <c r="AD403" s="286">
        <v>572</v>
      </c>
      <c r="AE403" s="286"/>
      <c r="AF403" s="286"/>
      <c r="AG403" s="286">
        <v>4</v>
      </c>
      <c r="AH403" s="280">
        <f t="shared" si="436"/>
        <v>22.88</v>
      </c>
      <c r="AI403" s="281">
        <f t="shared" si="437"/>
        <v>5.72</v>
      </c>
      <c r="AJ403" s="282" t="e">
        <f t="shared" si="438"/>
        <v>#VALUE!</v>
      </c>
      <c r="AK403" s="287">
        <f>Tabla14[[#This Row],[Cajas por Personas]]</f>
        <v>0</v>
      </c>
      <c r="AL403" s="288">
        <f>Tabla14[[#This Row],[Valor Precorte Pesona]]</f>
        <v>0</v>
      </c>
      <c r="AM403" s="294">
        <f>Tabla14[[#This Row],[Personas Precorte]]</f>
        <v>0</v>
      </c>
      <c r="AN403" s="308">
        <f>Tabla14[[#This Row],[Valor Precorte Pesona Precorte]]*Tabla14[[#This Row],[Perzonas Precorte]]</f>
        <v>0</v>
      </c>
      <c r="AO403" s="287">
        <f>Tabla14[[#This Row],[Cajas por Personas2]]</f>
        <v>7.75</v>
      </c>
      <c r="AP403" s="288">
        <f>Tabla14[[#This Row],[Valor Embarque Pesona]]</f>
        <v>13950</v>
      </c>
      <c r="AQ403" s="295">
        <f>Tabla14[[#This Row],[Personas Precorte2]]</f>
        <v>4</v>
      </c>
      <c r="AR403" s="296">
        <f>Tabla14[[#This Row],[Valor Embarque Pesona3]]*Tabla14[[#This Row],[Perzona Primera]]</f>
        <v>55800</v>
      </c>
      <c r="AS403" s="287">
        <f>Tabla14[[#This Row],[Columna2]]</f>
        <v>0</v>
      </c>
      <c r="AT403" s="288">
        <f>Tabla14[[#This Row],[Columna1]]</f>
        <v>0</v>
      </c>
      <c r="AU403" s="302">
        <f>Tabla14[[#This Row],[Personas Intervienen]]</f>
        <v>0</v>
      </c>
      <c r="AV403" s="297">
        <f>Tabla14[[#This Row],[Valor Embarque Pesona5]]*Tabla14[[#This Row],[Presonas Segunda]]</f>
        <v>0</v>
      </c>
      <c r="AW403" s="287">
        <f>Tabla14[[#This Row],[Bolsas Por Personas]]</f>
        <v>5.72</v>
      </c>
      <c r="AX403" s="288" t="e">
        <f>Tabla14[[#This Row],[Valor bolsas Pesona]]</f>
        <v>#VALUE!</v>
      </c>
      <c r="AY403" s="309">
        <f>Tabla14[[#This Row],[Personas13]]</f>
        <v>4</v>
      </c>
      <c r="AZ403" s="310" t="e">
        <f>Tabla14[[#This Row],[Valor bolsas Pesona2]]*Tabla14[[#This Row],[Personas Rechazo]]</f>
        <v>#VALUE!</v>
      </c>
      <c r="BA403" s="311">
        <f>+Tabla14[[#This Row],[Total Valor Segunda]]+Tabla14[[#This Row],[Total Valor Primera]]+Tabla14[[#This Row],[Total Valor Precorte]]</f>
        <v>55800</v>
      </c>
      <c r="BB403" s="292" t="e">
        <f>Tabla14[[#This Row],[Valor bolsas Pesona2]]+Tabla14[[#This Row],[Valor Embarque Pesona3]]</f>
        <v>#VALUE!</v>
      </c>
      <c r="BC403" s="332">
        <v>30000</v>
      </c>
      <c r="BD403" s="292" t="e">
        <f>Tabla14[[#This Row],[VALOR GANADO]]-Tabla14[[#This Row],[REAJUSTADO]]</f>
        <v>#VALUE!</v>
      </c>
      <c r="BE403" s="250" t="e">
        <f>Tabla14[[#This Row],[CUANTO SE REAJUSTA]]*Tabla14[[#This Row],[Personas Rechazo]]</f>
        <v>#VALUE!</v>
      </c>
      <c r="BF403" s="250">
        <f>Tabla14[[#This Row],[REAJUSTADO]]/25000</f>
        <v>1.2</v>
      </c>
      <c r="BG403" s="302">
        <f>Tabla14[[#This Row],[REAJUSTADO]]*Tabla14[[#This Row],[Personas Rechazo]]</f>
        <v>120000</v>
      </c>
      <c r="BH403" s="292" t="str">
        <f>Tabla14[[#This Row],[Finca]]</f>
        <v>Damaquiel</v>
      </c>
      <c r="BJ403" s="332">
        <f>Tabla14[[#This Row],[Numero de Ocacionales]]*Tabla14[[#This Row],[REAJUSTADO]]</f>
        <v>0</v>
      </c>
      <c r="BK403" s="332"/>
      <c r="BL403" s="332"/>
      <c r="BM403" s="332" t="e">
        <f>+Tabla14[[#This Row],[CUANTO SE REAJUSTA]]*3</f>
        <v>#VALUE!</v>
      </c>
    </row>
    <row r="404" spans="3:65" x14ac:dyDescent="0.25">
      <c r="C404" s="515">
        <v>45125</v>
      </c>
      <c r="D404" s="507">
        <f>YEAR(Tabla14[[#This Row],[Fecha]])</f>
        <v>2023</v>
      </c>
      <c r="E404" s="516">
        <f>IF(Tabla14[[#This Row],[Fecha]]&gt;0,_xlfn.ISOWEEKNUM(Tabla14[[#This Row],[Fecha]]),0)</f>
        <v>29</v>
      </c>
      <c r="F404" s="283">
        <f>166-14</f>
        <v>152</v>
      </c>
      <c r="G404" s="275" t="s">
        <v>250</v>
      </c>
      <c r="H404" s="325" t="str">
        <f>_xlfn.XLOOKUP(Tabla14[[#This Row],[Codigo Finca]],Tabla4[Codigo Finca],Tabla4[Nombre Finca],"")</f>
        <v>San Pedro</v>
      </c>
      <c r="I404" s="277">
        <f>_xlfn.XLOOKUP(Tabla14[[#This Row],[Codigo Finca]],Tabla4[Codigo Finca],Tabla4[Precio Caja],0)</f>
        <v>1800</v>
      </c>
      <c r="J404" s="277">
        <f>_xlfn.XLOOKUP(Tabla14[[#This Row],[Codigo Finca]],Tabla4[Codigo Finca],Tabla4[Precio Caja Segunda],0)</f>
        <v>1150</v>
      </c>
      <c r="K404" s="277">
        <f>_xlfn.XLOOKUP(Tabla14[[#This Row],[Codigo Finca]],Tabla4[Codigo Finca],Tabla4[Precio Rechazo],0)</f>
        <v>575</v>
      </c>
      <c r="L404" s="277">
        <f t="shared" si="426"/>
        <v>768</v>
      </c>
      <c r="M404" s="278">
        <f t="shared" si="427"/>
        <v>5.0526315789473681</v>
      </c>
      <c r="N404" s="283"/>
      <c r="O404" s="279"/>
      <c r="P404" s="280">
        <f t="shared" si="428"/>
        <v>0</v>
      </c>
      <c r="Q404" s="281">
        <f t="shared" si="429"/>
        <v>0</v>
      </c>
      <c r="R404" s="282">
        <f t="shared" si="430"/>
        <v>0</v>
      </c>
      <c r="S404" s="283">
        <v>768</v>
      </c>
      <c r="T404" s="275">
        <v>13</v>
      </c>
      <c r="U404" s="280">
        <f t="shared" si="431"/>
        <v>152</v>
      </c>
      <c r="V404" s="281">
        <f t="shared" si="432"/>
        <v>11.692307692307692</v>
      </c>
      <c r="W404" s="282">
        <f t="shared" si="433"/>
        <v>21046.153846153848</v>
      </c>
      <c r="X404" s="283"/>
      <c r="Y404" s="275"/>
      <c r="Z404" s="280">
        <f>Tabla14[[#This Row],[Cajas Segunda]]</f>
        <v>0</v>
      </c>
      <c r="AA404" s="281">
        <f t="shared" si="434"/>
        <v>0</v>
      </c>
      <c r="AB404" s="284">
        <f t="shared" si="435"/>
        <v>0</v>
      </c>
      <c r="AC404" s="285"/>
      <c r="AD404" s="286">
        <f>1727-290</f>
        <v>1437</v>
      </c>
      <c r="AE404" s="286"/>
      <c r="AF404" s="286"/>
      <c r="AG404" s="286">
        <v>13</v>
      </c>
      <c r="AH404" s="280">
        <f t="shared" si="436"/>
        <v>57.48</v>
      </c>
      <c r="AI404" s="281">
        <f t="shared" si="437"/>
        <v>4.4215384615384616</v>
      </c>
      <c r="AJ404" s="282">
        <f t="shared" si="438"/>
        <v>2542.3846153846152</v>
      </c>
      <c r="AK404" s="287">
        <f>Tabla14[[#This Row],[Cajas por Personas]]</f>
        <v>0</v>
      </c>
      <c r="AL404" s="288">
        <f>Tabla14[[#This Row],[Valor Precorte Pesona]]</f>
        <v>0</v>
      </c>
      <c r="AM404" s="294">
        <f>Tabla14[[#This Row],[Personas Precorte]]</f>
        <v>0</v>
      </c>
      <c r="AN404" s="308">
        <f>Tabla14[[#This Row],[Valor Precorte Pesona Precorte]]*Tabla14[[#This Row],[Perzonas Precorte]]</f>
        <v>0</v>
      </c>
      <c r="AO404" s="287">
        <f>Tabla14[[#This Row],[Cajas por Personas2]]</f>
        <v>11.692307692307692</v>
      </c>
      <c r="AP404" s="288">
        <f>Tabla14[[#This Row],[Valor Embarque Pesona]]</f>
        <v>21046.153846153848</v>
      </c>
      <c r="AQ404" s="295">
        <f>Tabla14[[#This Row],[Personas Precorte2]]</f>
        <v>13</v>
      </c>
      <c r="AR404" s="296">
        <f>Tabla14[[#This Row],[Valor Embarque Pesona3]]*Tabla14[[#This Row],[Perzona Primera]]</f>
        <v>273600</v>
      </c>
      <c r="AS404" s="287">
        <f>Tabla14[[#This Row],[Columna2]]</f>
        <v>0</v>
      </c>
      <c r="AT404" s="288">
        <f>Tabla14[[#This Row],[Columna1]]</f>
        <v>0</v>
      </c>
      <c r="AU404" s="302">
        <f>Tabla14[[#This Row],[Personas Intervienen]]</f>
        <v>0</v>
      </c>
      <c r="AV404" s="297">
        <f>Tabla14[[#This Row],[Valor Embarque Pesona5]]*Tabla14[[#This Row],[Presonas Segunda]]</f>
        <v>0</v>
      </c>
      <c r="AW404" s="287">
        <f>Tabla14[[#This Row],[Bolsas Por Personas]]</f>
        <v>4.4215384615384616</v>
      </c>
      <c r="AX404" s="288">
        <f>Tabla14[[#This Row],[Valor bolsas Pesona]]</f>
        <v>2542.3846153846152</v>
      </c>
      <c r="AY404" s="309">
        <f>Tabla14[[#This Row],[Personas13]]</f>
        <v>13</v>
      </c>
      <c r="AZ404" s="310">
        <f>Tabla14[[#This Row],[Valor bolsas Pesona2]]*Tabla14[[#This Row],[Personas Rechazo]]</f>
        <v>33051</v>
      </c>
      <c r="BA404" s="311">
        <f>+Tabla14[[#This Row],[Total Valor Segunda]]+Tabla14[[#This Row],[Total Valor Primera]]+Tabla14[[#This Row],[Total Valor Precorte]]</f>
        <v>273600</v>
      </c>
      <c r="BB404" s="538">
        <f>Tabla14[[#This Row],[Valor bolsas Pesona2]]+Tabla14[[#This Row],[Valor Embarque Pesona3]]</f>
        <v>23588.538461538461</v>
      </c>
      <c r="BC404" s="539">
        <v>30000</v>
      </c>
      <c r="BD404" s="538">
        <f>Tabla14[[#This Row],[VALOR GANADO]]-Tabla14[[#This Row],[REAJUSTADO]]</f>
        <v>-6411.461538461539</v>
      </c>
      <c r="BE404" s="250">
        <f>Tabla14[[#This Row],[CUANTO SE REAJUSTA]]*Tabla14[[#This Row],[Personas Rechazo]]</f>
        <v>-83349</v>
      </c>
      <c r="BF404" s="250">
        <f>Tabla14[[#This Row],[REAJUSTADO]]/25000</f>
        <v>1.2</v>
      </c>
      <c r="BG404" s="302">
        <f>Tabla14[[#This Row],[REAJUSTADO]]*Tabla14[[#This Row],[Personas Rechazo]]</f>
        <v>390000</v>
      </c>
      <c r="BH404" s="292" t="str">
        <f>Tabla14[[#This Row],[Finca]]</f>
        <v>San Pedro</v>
      </c>
      <c r="BJ404" s="332">
        <f>Tabla14[[#This Row],[Numero de Ocacionales]]*Tabla14[[#This Row],[REAJUSTADO]]</f>
        <v>0</v>
      </c>
      <c r="BK404" s="332"/>
      <c r="BL404" s="332"/>
      <c r="BM404" s="332">
        <f>+Tabla14[[#This Row],[CUANTO SE REAJUSTA]]*3</f>
        <v>-19234.384615384617</v>
      </c>
    </row>
    <row r="405" spans="3:65" x14ac:dyDescent="0.25">
      <c r="C405" s="515">
        <v>45125</v>
      </c>
      <c r="D405" s="507">
        <f>YEAR(Tabla14[[#This Row],[Fecha]])</f>
        <v>2023</v>
      </c>
      <c r="E405" s="516">
        <f>IF(Tabla14[[#This Row],[Fecha]]&gt;0,_xlfn.ISOWEEKNUM(Tabla14[[#This Row],[Fecha]]),0)</f>
        <v>29</v>
      </c>
      <c r="F405" s="283">
        <v>14</v>
      </c>
      <c r="G405" s="275" t="s">
        <v>249</v>
      </c>
      <c r="H405" s="325" t="str">
        <f>_xlfn.XLOOKUP(Tabla14[[#This Row],[Codigo Finca]],Tabla4[Codigo Finca],Tabla4[Nombre Finca],"")</f>
        <v>San Pedro</v>
      </c>
      <c r="I405" s="277">
        <f>_xlfn.XLOOKUP(Tabla14[[#This Row],[Codigo Finca]],Tabla4[Codigo Finca],Tabla4[Precio Caja],0)</f>
        <v>2000</v>
      </c>
      <c r="J405" s="277">
        <f>_xlfn.XLOOKUP(Tabla14[[#This Row],[Codigo Finca]],Tabla4[Codigo Finca],Tabla4[Precio Caja Segunda],0)</f>
        <v>1150</v>
      </c>
      <c r="K405" s="277">
        <f>_xlfn.XLOOKUP(Tabla14[[#This Row],[Codigo Finca]],Tabla4[Codigo Finca],Tabla4[Precio Rechazo],0)</f>
        <v>675</v>
      </c>
      <c r="L405" s="277">
        <f t="shared" si="426"/>
        <v>35</v>
      </c>
      <c r="M405" s="278">
        <f t="shared" si="427"/>
        <v>2.5</v>
      </c>
      <c r="N405" s="283"/>
      <c r="O405" s="279"/>
      <c r="P405" s="280">
        <f t="shared" si="428"/>
        <v>0</v>
      </c>
      <c r="Q405" s="281">
        <f t="shared" si="429"/>
        <v>0</v>
      </c>
      <c r="R405" s="282">
        <f t="shared" si="430"/>
        <v>0</v>
      </c>
      <c r="S405" s="283">
        <v>35</v>
      </c>
      <c r="T405" s="275">
        <v>13</v>
      </c>
      <c r="U405" s="280">
        <f t="shared" si="431"/>
        <v>14</v>
      </c>
      <c r="V405" s="281">
        <f t="shared" si="432"/>
        <v>1.0769230769230769</v>
      </c>
      <c r="W405" s="282">
        <f t="shared" si="433"/>
        <v>2153.8461538461538</v>
      </c>
      <c r="X405" s="283"/>
      <c r="Y405" s="275"/>
      <c r="Z405" s="280">
        <f>Tabla14[[#This Row],[Cajas Segunda]]</f>
        <v>0</v>
      </c>
      <c r="AA405" s="281">
        <f t="shared" si="434"/>
        <v>0</v>
      </c>
      <c r="AB405" s="284">
        <f t="shared" si="435"/>
        <v>0</v>
      </c>
      <c r="AC405" s="285"/>
      <c r="AD405" s="286">
        <v>290</v>
      </c>
      <c r="AE405" s="286"/>
      <c r="AF405" s="286"/>
      <c r="AG405" s="286">
        <v>13</v>
      </c>
      <c r="AH405" s="280">
        <f t="shared" si="436"/>
        <v>11.6</v>
      </c>
      <c r="AI405" s="281">
        <f t="shared" si="437"/>
        <v>0.89230769230769225</v>
      </c>
      <c r="AJ405" s="282">
        <f t="shared" si="438"/>
        <v>602.30769230769226</v>
      </c>
      <c r="AK405" s="287">
        <f>Tabla14[[#This Row],[Cajas por Personas]]</f>
        <v>0</v>
      </c>
      <c r="AL405" s="288">
        <f>Tabla14[[#This Row],[Valor Precorte Pesona]]</f>
        <v>0</v>
      </c>
      <c r="AM405" s="294">
        <f>Tabla14[[#This Row],[Personas Precorte]]</f>
        <v>0</v>
      </c>
      <c r="AN405" s="308">
        <f>Tabla14[[#This Row],[Valor Precorte Pesona Precorte]]*Tabla14[[#This Row],[Perzonas Precorte]]</f>
        <v>0</v>
      </c>
      <c r="AO405" s="287">
        <f>Tabla14[[#This Row],[Cajas por Personas2]]</f>
        <v>1.0769230769230769</v>
      </c>
      <c r="AP405" s="288">
        <f>Tabla14[[#This Row],[Valor Embarque Pesona]]</f>
        <v>2153.8461538461538</v>
      </c>
      <c r="AQ405" s="295">
        <f>Tabla14[[#This Row],[Personas Precorte2]]</f>
        <v>13</v>
      </c>
      <c r="AR405" s="296">
        <f>Tabla14[[#This Row],[Valor Embarque Pesona3]]*Tabla14[[#This Row],[Perzona Primera]]</f>
        <v>28000</v>
      </c>
      <c r="AS405" s="287">
        <f>Tabla14[[#This Row],[Columna2]]</f>
        <v>0</v>
      </c>
      <c r="AT405" s="288">
        <f>Tabla14[[#This Row],[Columna1]]</f>
        <v>0</v>
      </c>
      <c r="AU405" s="302">
        <f>Tabla14[[#This Row],[Personas Intervienen]]</f>
        <v>0</v>
      </c>
      <c r="AV405" s="297">
        <f>Tabla14[[#This Row],[Valor Embarque Pesona5]]*Tabla14[[#This Row],[Presonas Segunda]]</f>
        <v>0</v>
      </c>
      <c r="AW405" s="287">
        <f>Tabla14[[#This Row],[Bolsas Por Personas]]</f>
        <v>0.89230769230769225</v>
      </c>
      <c r="AX405" s="288">
        <f>Tabla14[[#This Row],[Valor bolsas Pesona]]</f>
        <v>602.30769230769226</v>
      </c>
      <c r="AY405" s="309">
        <f>Tabla14[[#This Row],[Personas13]]</f>
        <v>13</v>
      </c>
      <c r="AZ405" s="310">
        <f>Tabla14[[#This Row],[Valor bolsas Pesona2]]*Tabla14[[#This Row],[Personas Rechazo]]</f>
        <v>7829.9999999999991</v>
      </c>
      <c r="BA405" s="311">
        <f>+Tabla14[[#This Row],[Total Valor Segunda]]+Tabla14[[#This Row],[Total Valor Primera]]+Tabla14[[#This Row],[Total Valor Precorte]]</f>
        <v>28000</v>
      </c>
      <c r="BB405" s="538">
        <f>Tabla14[[#This Row],[Valor bolsas Pesona2]]+Tabla14[[#This Row],[Valor Embarque Pesona3]]</f>
        <v>2756.1538461538462</v>
      </c>
      <c r="BC405" s="539"/>
      <c r="BD405" s="538">
        <f>Tabla14[[#This Row],[VALOR GANADO]]-Tabla14[[#This Row],[REAJUSTADO]]</f>
        <v>2756.1538461538462</v>
      </c>
      <c r="BE405" s="250">
        <f>Tabla14[[#This Row],[CUANTO SE REAJUSTA]]*Tabla14[[#This Row],[Personas Rechazo]]</f>
        <v>35830</v>
      </c>
      <c r="BF405" s="250">
        <f>Tabla14[[#This Row],[REAJUSTADO]]/25000</f>
        <v>0</v>
      </c>
      <c r="BG405" s="302">
        <f>Tabla14[[#This Row],[REAJUSTADO]]*Tabla14[[#This Row],[Personas Rechazo]]</f>
        <v>0</v>
      </c>
      <c r="BH405" s="292" t="str">
        <f>Tabla14[[#This Row],[Finca]]</f>
        <v>San Pedro</v>
      </c>
      <c r="BJ405" s="332">
        <f>Tabla14[[#This Row],[Numero de Ocacionales]]*Tabla14[[#This Row],[REAJUSTADO]]</f>
        <v>0</v>
      </c>
      <c r="BK405" s="332"/>
      <c r="BL405" s="332"/>
      <c r="BM405" s="332">
        <f>+Tabla14[[#This Row],[CUANTO SE REAJUSTA]]*3</f>
        <v>8268.461538461539</v>
      </c>
    </row>
    <row r="406" spans="3:65" x14ac:dyDescent="0.25">
      <c r="C406" s="515">
        <v>45125</v>
      </c>
      <c r="D406" s="507">
        <f>YEAR(Tabla14[[#This Row],[Fecha]])</f>
        <v>2023</v>
      </c>
      <c r="E406" s="516">
        <f>IF(Tabla14[[#This Row],[Fecha]]&gt;0,_xlfn.ISOWEEKNUM(Tabla14[[#This Row],[Fecha]]),0)</f>
        <v>29</v>
      </c>
      <c r="F406" s="283">
        <v>35</v>
      </c>
      <c r="G406" s="275" t="s">
        <v>247</v>
      </c>
      <c r="H406" s="325" t="str">
        <f>_xlfn.XLOOKUP(Tabla14[[#This Row],[Codigo Finca]],Tabla4[Codigo Finca],Tabla4[Nombre Finca],"")</f>
        <v>Uveros</v>
      </c>
      <c r="I406" s="277">
        <f>_xlfn.XLOOKUP(Tabla14[[#This Row],[Codigo Finca]],Tabla4[Codigo Finca],Tabla4[Precio Caja],0)</f>
        <v>1800</v>
      </c>
      <c r="J406" s="277">
        <f>_xlfn.XLOOKUP(Tabla14[[#This Row],[Codigo Finca]],Tabla4[Codigo Finca],Tabla4[Precio Caja Segunda],0)</f>
        <v>1150</v>
      </c>
      <c r="K406" s="277">
        <f>_xlfn.XLOOKUP(Tabla14[[#This Row],[Codigo Finca]],Tabla4[Codigo Finca],Tabla4[Precio Rechazo],0)</f>
        <v>575</v>
      </c>
      <c r="L406" s="277">
        <f t="shared" si="426"/>
        <v>0</v>
      </c>
      <c r="M406" s="278">
        <f t="shared" si="427"/>
        <v>0</v>
      </c>
      <c r="N406" s="283"/>
      <c r="O406" s="279"/>
      <c r="P406" s="280">
        <f t="shared" si="428"/>
        <v>0</v>
      </c>
      <c r="Q406" s="281">
        <f t="shared" si="429"/>
        <v>0</v>
      </c>
      <c r="R406" s="282">
        <f t="shared" si="430"/>
        <v>0</v>
      </c>
      <c r="S406" s="283"/>
      <c r="T406" s="545"/>
      <c r="U406" s="280">
        <f t="shared" si="431"/>
        <v>35</v>
      </c>
      <c r="V406" s="281">
        <f t="shared" si="432"/>
        <v>0</v>
      </c>
      <c r="W406" s="282">
        <f t="shared" si="433"/>
        <v>0</v>
      </c>
      <c r="X406" s="283"/>
      <c r="Y406" s="275"/>
      <c r="Z406" s="280">
        <f>Tabla14[[#This Row],[Cajas Segunda]]</f>
        <v>0</v>
      </c>
      <c r="AA406" s="281">
        <f t="shared" si="434"/>
        <v>0</v>
      </c>
      <c r="AB406" s="284">
        <f t="shared" si="435"/>
        <v>0</v>
      </c>
      <c r="AC406" s="285"/>
      <c r="AD406" s="286">
        <v>596</v>
      </c>
      <c r="AE406" s="286"/>
      <c r="AF406" s="286"/>
      <c r="AG406" s="544"/>
      <c r="AH406" s="280">
        <f t="shared" si="436"/>
        <v>23.84</v>
      </c>
      <c r="AI406" s="281">
        <f t="shared" si="437"/>
        <v>0</v>
      </c>
      <c r="AJ406" s="282">
        <f t="shared" si="438"/>
        <v>0</v>
      </c>
      <c r="AK406" s="287">
        <f>Tabla14[[#This Row],[Cajas por Personas]]</f>
        <v>0</v>
      </c>
      <c r="AL406" s="288">
        <f>Tabla14[[#This Row],[Valor Precorte Pesona]]</f>
        <v>0</v>
      </c>
      <c r="AM406" s="294">
        <f>Tabla14[[#This Row],[Personas Precorte]]</f>
        <v>0</v>
      </c>
      <c r="AN406" s="308">
        <f>Tabla14[[#This Row],[Valor Precorte Pesona Precorte]]*Tabla14[[#This Row],[Perzonas Precorte]]</f>
        <v>0</v>
      </c>
      <c r="AO406" s="287">
        <f>Tabla14[[#This Row],[Cajas por Personas2]]</f>
        <v>0</v>
      </c>
      <c r="AP406" s="288">
        <f>Tabla14[[#This Row],[Valor Embarque Pesona]]</f>
        <v>0</v>
      </c>
      <c r="AQ406" s="295">
        <f>Tabla14[[#This Row],[Personas Precorte2]]</f>
        <v>0</v>
      </c>
      <c r="AR406" s="296">
        <f>Tabla14[[#This Row],[Valor Embarque Pesona3]]*Tabla14[[#This Row],[Perzona Primera]]</f>
        <v>0</v>
      </c>
      <c r="AS406" s="287">
        <f>Tabla14[[#This Row],[Columna2]]</f>
        <v>0</v>
      </c>
      <c r="AT406" s="288">
        <f>Tabla14[[#This Row],[Columna1]]</f>
        <v>0</v>
      </c>
      <c r="AU406" s="302">
        <f>Tabla14[[#This Row],[Personas Intervienen]]</f>
        <v>0</v>
      </c>
      <c r="AV406" s="297">
        <f>Tabla14[[#This Row],[Valor Embarque Pesona5]]*Tabla14[[#This Row],[Presonas Segunda]]</f>
        <v>0</v>
      </c>
      <c r="AW406" s="287">
        <f>Tabla14[[#This Row],[Bolsas Por Personas]]</f>
        <v>0</v>
      </c>
      <c r="AX406" s="288">
        <f>Tabla14[[#This Row],[Valor bolsas Pesona]]</f>
        <v>0</v>
      </c>
      <c r="AY406" s="309">
        <f>Tabla14[[#This Row],[Personas13]]</f>
        <v>0</v>
      </c>
      <c r="AZ406" s="310">
        <f>Tabla14[[#This Row],[Valor bolsas Pesona2]]*Tabla14[[#This Row],[Personas Rechazo]]</f>
        <v>0</v>
      </c>
      <c r="BA406" s="311">
        <f>+Tabla14[[#This Row],[Total Valor Segunda]]+Tabla14[[#This Row],[Total Valor Primera]]+Tabla14[[#This Row],[Total Valor Precorte]]</f>
        <v>0</v>
      </c>
      <c r="BB406" s="292">
        <f>Tabla14[[#This Row],[Valor bolsas Pesona2]]+Tabla14[[#This Row],[Valor Embarque Pesona3]]</f>
        <v>0</v>
      </c>
      <c r="BC406" s="332">
        <v>30000</v>
      </c>
      <c r="BD406" s="292">
        <f>Tabla14[[#This Row],[VALOR GANADO]]-Tabla14[[#This Row],[REAJUSTADO]]</f>
        <v>-30000</v>
      </c>
      <c r="BE406" s="250">
        <f>Tabla14[[#This Row],[CUANTO SE REAJUSTA]]*Tabla14[[#This Row],[Personas Rechazo]]</f>
        <v>0</v>
      </c>
      <c r="BF406" s="250">
        <f>Tabla14[[#This Row],[REAJUSTADO]]/25000</f>
        <v>1.2</v>
      </c>
      <c r="BG406" s="302">
        <f>Tabla14[[#This Row],[REAJUSTADO]]*Tabla14[[#This Row],[Personas Rechazo]]</f>
        <v>0</v>
      </c>
      <c r="BH406" s="292" t="str">
        <f>Tabla14[[#This Row],[Finca]]</f>
        <v>Uveros</v>
      </c>
      <c r="BJ406" s="332">
        <f>Tabla14[[#This Row],[Numero de Ocacionales]]*Tabla14[[#This Row],[REAJUSTADO]]</f>
        <v>0</v>
      </c>
      <c r="BK406" s="332"/>
      <c r="BL406" s="332"/>
      <c r="BM406" s="332">
        <f>+Tabla14[[#This Row],[CUANTO SE REAJUSTA]]*3</f>
        <v>-90000</v>
      </c>
    </row>
    <row r="407" spans="3:65" x14ac:dyDescent="0.25">
      <c r="C407" s="515">
        <v>45126</v>
      </c>
      <c r="D407" s="507">
        <f>YEAR(Tabla14[[#This Row],[Fecha]])</f>
        <v>2023</v>
      </c>
      <c r="E407" s="516">
        <f>IF(Tabla14[[#This Row],[Fecha]]&gt;0,_xlfn.ISOWEEKNUM(Tabla14[[#This Row],[Fecha]]),0)</f>
        <v>29</v>
      </c>
      <c r="F407" s="283">
        <v>72</v>
      </c>
      <c r="G407" s="275" t="s">
        <v>251</v>
      </c>
      <c r="H407" s="325" t="str">
        <f>_xlfn.XLOOKUP(Tabla14[[#This Row],[Codigo Finca]],Tabla4[Codigo Finca],Tabla4[Nombre Finca],"")</f>
        <v>Pedrito</v>
      </c>
      <c r="I407" s="277">
        <f>_xlfn.XLOOKUP(Tabla14[[#This Row],[Codigo Finca]],Tabla4[Codigo Finca],Tabla4[Precio Caja],0)</f>
        <v>1800</v>
      </c>
      <c r="J407" s="277">
        <f>_xlfn.XLOOKUP(Tabla14[[#This Row],[Codigo Finca]],Tabla4[Codigo Finca],Tabla4[Precio Caja Segunda],0)</f>
        <v>1150</v>
      </c>
      <c r="K407" s="277">
        <f>_xlfn.XLOOKUP(Tabla14[[#This Row],[Codigo Finca]],Tabla4[Codigo Finca],Tabla4[Precio Rechazo],0)</f>
        <v>575</v>
      </c>
      <c r="L407" s="277">
        <f t="shared" si="426"/>
        <v>530</v>
      </c>
      <c r="M407" s="278">
        <f t="shared" si="427"/>
        <v>7.3611111111111107</v>
      </c>
      <c r="N407" s="283"/>
      <c r="O407" s="279"/>
      <c r="P407" s="280">
        <f t="shared" si="428"/>
        <v>0</v>
      </c>
      <c r="Q407" s="281">
        <f t="shared" si="429"/>
        <v>0</v>
      </c>
      <c r="R407" s="282">
        <f t="shared" si="430"/>
        <v>0</v>
      </c>
      <c r="S407" s="283">
        <v>530</v>
      </c>
      <c r="T407" s="275">
        <v>9</v>
      </c>
      <c r="U407" s="280">
        <f t="shared" si="431"/>
        <v>72</v>
      </c>
      <c r="V407" s="281">
        <f t="shared" si="432"/>
        <v>8</v>
      </c>
      <c r="W407" s="282">
        <f t="shared" si="433"/>
        <v>14400</v>
      </c>
      <c r="X407" s="283"/>
      <c r="Y407" s="275"/>
      <c r="Z407" s="280">
        <f>Tabla14[[#This Row],[Cajas Segunda]]</f>
        <v>0</v>
      </c>
      <c r="AA407" s="281">
        <f t="shared" si="434"/>
        <v>0</v>
      </c>
      <c r="AB407" s="284">
        <f t="shared" si="435"/>
        <v>0</v>
      </c>
      <c r="AC407" s="285"/>
      <c r="AD407" s="286">
        <v>1525.7</v>
      </c>
      <c r="AE407" s="286"/>
      <c r="AF407" s="286"/>
      <c r="AG407" s="286">
        <v>9</v>
      </c>
      <c r="AH407" s="280">
        <f t="shared" si="436"/>
        <v>61.027999999999999</v>
      </c>
      <c r="AI407" s="281">
        <f t="shared" si="437"/>
        <v>6.7808888888888887</v>
      </c>
      <c r="AJ407" s="282">
        <f t="shared" si="438"/>
        <v>3899.0111111111109</v>
      </c>
      <c r="AK407" s="287">
        <f>Tabla14[[#This Row],[Cajas por Personas]]</f>
        <v>0</v>
      </c>
      <c r="AL407" s="288">
        <f>Tabla14[[#This Row],[Valor Precorte Pesona]]</f>
        <v>0</v>
      </c>
      <c r="AM407" s="294">
        <f>Tabla14[[#This Row],[Personas Precorte]]</f>
        <v>0</v>
      </c>
      <c r="AN407" s="308">
        <f>Tabla14[[#This Row],[Valor Precorte Pesona Precorte]]*Tabla14[[#This Row],[Perzonas Precorte]]</f>
        <v>0</v>
      </c>
      <c r="AO407" s="287">
        <f>Tabla14[[#This Row],[Cajas por Personas2]]</f>
        <v>8</v>
      </c>
      <c r="AP407" s="288">
        <f>Tabla14[[#This Row],[Valor Embarque Pesona]]</f>
        <v>14400</v>
      </c>
      <c r="AQ407" s="295">
        <f>Tabla14[[#This Row],[Personas Precorte2]]</f>
        <v>9</v>
      </c>
      <c r="AR407" s="296">
        <f>Tabla14[[#This Row],[Valor Embarque Pesona3]]*Tabla14[[#This Row],[Perzona Primera]]</f>
        <v>129600</v>
      </c>
      <c r="AS407" s="287">
        <f>Tabla14[[#This Row],[Columna2]]</f>
        <v>0</v>
      </c>
      <c r="AT407" s="288">
        <f>Tabla14[[#This Row],[Columna1]]</f>
        <v>0</v>
      </c>
      <c r="AU407" s="302">
        <f>Tabla14[[#This Row],[Personas Intervienen]]</f>
        <v>0</v>
      </c>
      <c r="AV407" s="297">
        <f>Tabla14[[#This Row],[Valor Embarque Pesona5]]*Tabla14[[#This Row],[Presonas Segunda]]</f>
        <v>0</v>
      </c>
      <c r="AW407" s="287">
        <f>Tabla14[[#This Row],[Bolsas Por Personas]]</f>
        <v>6.7808888888888887</v>
      </c>
      <c r="AX407" s="288">
        <f>Tabla14[[#This Row],[Valor bolsas Pesona]]</f>
        <v>3899.0111111111109</v>
      </c>
      <c r="AY407" s="309">
        <f>Tabla14[[#This Row],[Personas13]]</f>
        <v>9</v>
      </c>
      <c r="AZ407" s="310">
        <f>Tabla14[[#This Row],[Valor bolsas Pesona2]]*Tabla14[[#This Row],[Personas Rechazo]]</f>
        <v>35091.1</v>
      </c>
      <c r="BA407" s="311">
        <f>+Tabla14[[#This Row],[Total Valor Segunda]]+Tabla14[[#This Row],[Total Valor Primera]]+Tabla14[[#This Row],[Total Valor Precorte]]</f>
        <v>129600</v>
      </c>
      <c r="BB407" s="292">
        <f>Tabla14[[#This Row],[Valor bolsas Pesona2]]+Tabla14[[#This Row],[Valor Embarque Pesona3]]</f>
        <v>18299.011111111111</v>
      </c>
      <c r="BC407" s="332">
        <v>30000</v>
      </c>
      <c r="BD407" s="292">
        <f>Tabla14[[#This Row],[VALOR GANADO]]-Tabla14[[#This Row],[REAJUSTADO]]</f>
        <v>-11700.988888888889</v>
      </c>
      <c r="BE407" s="250">
        <f>Tabla14[[#This Row],[CUANTO SE REAJUSTA]]*Tabla14[[#This Row],[Personas Rechazo]]</f>
        <v>-105308.9</v>
      </c>
      <c r="BF407" s="250">
        <f>Tabla14[[#This Row],[REAJUSTADO]]/25000</f>
        <v>1.2</v>
      </c>
      <c r="BG407" s="302">
        <f>Tabla14[[#This Row],[REAJUSTADO]]*Tabla14[[#This Row],[Personas Rechazo]]</f>
        <v>270000</v>
      </c>
      <c r="BH407" s="292" t="str">
        <f>Tabla14[[#This Row],[Finca]]</f>
        <v>Pedrito</v>
      </c>
      <c r="BJ407" s="332">
        <f>Tabla14[[#This Row],[Numero de Ocacionales]]*Tabla14[[#This Row],[REAJUSTADO]]</f>
        <v>0</v>
      </c>
      <c r="BK407" s="332"/>
      <c r="BL407" s="332"/>
      <c r="BM407" s="332">
        <f>+Tabla14[[#This Row],[CUANTO SE REAJUSTA]]*3</f>
        <v>-35102.966666666667</v>
      </c>
    </row>
    <row r="408" spans="3:65" x14ac:dyDescent="0.25">
      <c r="C408" s="515">
        <v>45126</v>
      </c>
      <c r="D408" s="507">
        <f>YEAR(Tabla14[[#This Row],[Fecha]])</f>
        <v>2023</v>
      </c>
      <c r="E408" s="516">
        <f>IF(Tabla14[[#This Row],[Fecha]]&gt;0,_xlfn.ISOWEEKNUM(Tabla14[[#This Row],[Fecha]]),0)</f>
        <v>29</v>
      </c>
      <c r="F408" s="283">
        <v>30</v>
      </c>
      <c r="G408" s="275" t="s">
        <v>248</v>
      </c>
      <c r="H408" s="325" t="str">
        <f>_xlfn.XLOOKUP(Tabla14[[#This Row],[Codigo Finca]],Tabla4[Codigo Finca],Tabla4[Nombre Finca],"")</f>
        <v>Damaquiel</v>
      </c>
      <c r="I408" s="277">
        <f>_xlfn.XLOOKUP(Tabla14[[#This Row],[Codigo Finca]],Tabla4[Codigo Finca],Tabla4[Precio Caja],0)</f>
        <v>1800</v>
      </c>
      <c r="J408" s="277">
        <f>_xlfn.XLOOKUP(Tabla14[[#This Row],[Codigo Finca]],Tabla4[Codigo Finca],Tabla4[Precio Caja Segunda],0)</f>
        <v>1150</v>
      </c>
      <c r="K408" s="277">
        <f>_xlfn.XLOOKUP(Tabla14[[#This Row],[Codigo Finca]],Tabla4[Codigo Finca],Tabla4[Precio Rechazo],0)</f>
        <v>575</v>
      </c>
      <c r="L408" s="277">
        <f t="shared" si="426"/>
        <v>0</v>
      </c>
      <c r="M408" s="278">
        <f t="shared" si="427"/>
        <v>0</v>
      </c>
      <c r="N408" s="283"/>
      <c r="O408" s="279"/>
      <c r="P408" s="280">
        <f t="shared" si="428"/>
        <v>0</v>
      </c>
      <c r="Q408" s="281">
        <f t="shared" si="429"/>
        <v>0</v>
      </c>
      <c r="R408" s="282">
        <f t="shared" si="430"/>
        <v>0</v>
      </c>
      <c r="S408" s="283"/>
      <c r="T408" s="545"/>
      <c r="U408" s="280">
        <f t="shared" si="431"/>
        <v>30</v>
      </c>
      <c r="V408" s="281">
        <f t="shared" si="432"/>
        <v>0</v>
      </c>
      <c r="W408" s="282">
        <f t="shared" si="433"/>
        <v>0</v>
      </c>
      <c r="X408" s="283"/>
      <c r="Y408" s="275"/>
      <c r="Z408" s="280">
        <f>Tabla14[[#This Row],[Cajas Segunda]]</f>
        <v>0</v>
      </c>
      <c r="AA408" s="281">
        <f t="shared" si="434"/>
        <v>0</v>
      </c>
      <c r="AB408" s="284">
        <f t="shared" si="435"/>
        <v>0</v>
      </c>
      <c r="AC408" s="285"/>
      <c r="AD408" s="286">
        <v>531</v>
      </c>
      <c r="AE408" s="286"/>
      <c r="AF408" s="286"/>
      <c r="AG408" s="544"/>
      <c r="AH408" s="280">
        <f t="shared" si="436"/>
        <v>21.24</v>
      </c>
      <c r="AI408" s="281">
        <f t="shared" si="437"/>
        <v>0</v>
      </c>
      <c r="AJ408" s="282">
        <f t="shared" si="438"/>
        <v>0</v>
      </c>
      <c r="AK408" s="287">
        <f>Tabla14[[#This Row],[Cajas por Personas]]</f>
        <v>0</v>
      </c>
      <c r="AL408" s="288">
        <f>Tabla14[[#This Row],[Valor Precorte Pesona]]</f>
        <v>0</v>
      </c>
      <c r="AM408" s="294">
        <f>Tabla14[[#This Row],[Personas Precorte]]</f>
        <v>0</v>
      </c>
      <c r="AN408" s="308">
        <f>Tabla14[[#This Row],[Valor Precorte Pesona Precorte]]*Tabla14[[#This Row],[Perzonas Precorte]]</f>
        <v>0</v>
      </c>
      <c r="AO408" s="287">
        <f>Tabla14[[#This Row],[Cajas por Personas2]]</f>
        <v>0</v>
      </c>
      <c r="AP408" s="288">
        <f>Tabla14[[#This Row],[Valor Embarque Pesona]]</f>
        <v>0</v>
      </c>
      <c r="AQ408" s="295">
        <f>Tabla14[[#This Row],[Personas Precorte2]]</f>
        <v>0</v>
      </c>
      <c r="AR408" s="296">
        <f>Tabla14[[#This Row],[Valor Embarque Pesona3]]*Tabla14[[#This Row],[Perzona Primera]]</f>
        <v>0</v>
      </c>
      <c r="AS408" s="287">
        <f>Tabla14[[#This Row],[Columna2]]</f>
        <v>0</v>
      </c>
      <c r="AT408" s="288">
        <f>Tabla14[[#This Row],[Columna1]]</f>
        <v>0</v>
      </c>
      <c r="AU408" s="302">
        <f>Tabla14[[#This Row],[Personas Intervienen]]</f>
        <v>0</v>
      </c>
      <c r="AV408" s="297">
        <f>Tabla14[[#This Row],[Valor Embarque Pesona5]]*Tabla14[[#This Row],[Presonas Segunda]]</f>
        <v>0</v>
      </c>
      <c r="AW408" s="287">
        <f>Tabla14[[#This Row],[Bolsas Por Personas]]</f>
        <v>0</v>
      </c>
      <c r="AX408" s="288">
        <f>Tabla14[[#This Row],[Valor bolsas Pesona]]</f>
        <v>0</v>
      </c>
      <c r="AY408" s="309">
        <f>Tabla14[[#This Row],[Personas13]]</f>
        <v>0</v>
      </c>
      <c r="AZ408" s="310">
        <f>Tabla14[[#This Row],[Valor bolsas Pesona2]]*Tabla14[[#This Row],[Personas Rechazo]]</f>
        <v>0</v>
      </c>
      <c r="BA408" s="311">
        <f>+Tabla14[[#This Row],[Total Valor Segunda]]+Tabla14[[#This Row],[Total Valor Primera]]+Tabla14[[#This Row],[Total Valor Precorte]]</f>
        <v>0</v>
      </c>
      <c r="BB408" s="292">
        <f>Tabla14[[#This Row],[Valor bolsas Pesona2]]+Tabla14[[#This Row],[Valor Embarque Pesona3]]</f>
        <v>0</v>
      </c>
      <c r="BD408" s="292">
        <f>Tabla14[[#This Row],[VALOR GANADO]]-Tabla14[[#This Row],[REAJUSTADO]]</f>
        <v>0</v>
      </c>
      <c r="BE408" s="250">
        <f>Tabla14[[#This Row],[CUANTO SE REAJUSTA]]*Tabla14[[#This Row],[Personas Rechazo]]</f>
        <v>0</v>
      </c>
      <c r="BF408" s="250">
        <f>Tabla14[[#This Row],[REAJUSTADO]]/25000</f>
        <v>0</v>
      </c>
      <c r="BG408" s="302">
        <f>Tabla14[[#This Row],[REAJUSTADO]]*Tabla14[[#This Row],[Personas Rechazo]]</f>
        <v>0</v>
      </c>
      <c r="BH408" s="292" t="str">
        <f>Tabla14[[#This Row],[Finca]]</f>
        <v>Damaquiel</v>
      </c>
      <c r="BJ408" s="332">
        <f>Tabla14[[#This Row],[Numero de Ocacionales]]*Tabla14[[#This Row],[REAJUSTADO]]</f>
        <v>0</v>
      </c>
      <c r="BK408" s="332"/>
      <c r="BL408" s="332"/>
      <c r="BM408" s="332">
        <f>+Tabla14[[#This Row],[CUANTO SE REAJUSTA]]*3</f>
        <v>0</v>
      </c>
    </row>
    <row r="409" spans="3:65" x14ac:dyDescent="0.25">
      <c r="C409" s="515">
        <v>45132</v>
      </c>
      <c r="D409" s="507">
        <f>YEAR(Tabla14[[#This Row],[Fecha]])</f>
        <v>2023</v>
      </c>
      <c r="E409" s="516">
        <f>IF(Tabla14[[#This Row],[Fecha]]&gt;0,_xlfn.ISOWEEKNUM(Tabla14[[#This Row],[Fecha]]),0)</f>
        <v>30</v>
      </c>
      <c r="F409" s="283">
        <f>177-9</f>
        <v>168</v>
      </c>
      <c r="G409" s="275" t="s">
        <v>250</v>
      </c>
      <c r="H409" s="325" t="str">
        <f>_xlfn.XLOOKUP(Tabla14[[#This Row],[Codigo Finca]],Tabla4[Codigo Finca],Tabla4[Nombre Finca],"")</f>
        <v>San Pedro</v>
      </c>
      <c r="I409" s="277">
        <f>_xlfn.XLOOKUP(Tabla14[[#This Row],[Codigo Finca]],Tabla4[Codigo Finca],Tabla4[Precio Caja],0)</f>
        <v>1800</v>
      </c>
      <c r="J409" s="277">
        <f>_xlfn.XLOOKUP(Tabla14[[#This Row],[Codigo Finca]],Tabla4[Codigo Finca],Tabla4[Precio Caja Segunda],0)</f>
        <v>1150</v>
      </c>
      <c r="K409" s="277">
        <f>_xlfn.XLOOKUP(Tabla14[[#This Row],[Codigo Finca]],Tabla4[Codigo Finca],Tabla4[Precio Rechazo],0)</f>
        <v>575</v>
      </c>
      <c r="L409" s="277">
        <f t="shared" si="426"/>
        <v>628</v>
      </c>
      <c r="M409" s="278">
        <f t="shared" si="427"/>
        <v>3.7380952380952381</v>
      </c>
      <c r="N409" s="283"/>
      <c r="O409" s="279"/>
      <c r="P409" s="280">
        <f t="shared" si="428"/>
        <v>0</v>
      </c>
      <c r="Q409" s="281">
        <f t="shared" si="429"/>
        <v>0</v>
      </c>
      <c r="R409" s="282">
        <f t="shared" si="430"/>
        <v>0</v>
      </c>
      <c r="S409" s="283">
        <f>669-41</f>
        <v>628</v>
      </c>
      <c r="T409" s="275">
        <v>12</v>
      </c>
      <c r="U409" s="280">
        <f t="shared" si="431"/>
        <v>168</v>
      </c>
      <c r="V409" s="281">
        <f t="shared" si="432"/>
        <v>14</v>
      </c>
      <c r="W409" s="282">
        <f t="shared" si="433"/>
        <v>25200</v>
      </c>
      <c r="X409" s="283"/>
      <c r="Y409" s="275"/>
      <c r="Z409" s="280">
        <f>Tabla14[[#This Row],[Cajas Segunda]]</f>
        <v>0</v>
      </c>
      <c r="AA409" s="281">
        <f t="shared" si="434"/>
        <v>0</v>
      </c>
      <c r="AB409" s="284">
        <f t="shared" si="435"/>
        <v>0</v>
      </c>
      <c r="AC409" s="285"/>
      <c r="AD409" s="286">
        <v>1013</v>
      </c>
      <c r="AE409" s="286"/>
      <c r="AF409" s="286"/>
      <c r="AG409" s="286">
        <v>12</v>
      </c>
      <c r="AH409" s="280">
        <f t="shared" si="436"/>
        <v>40.520000000000003</v>
      </c>
      <c r="AI409" s="281">
        <f t="shared" si="437"/>
        <v>3.3766666666666669</v>
      </c>
      <c r="AJ409" s="282">
        <f t="shared" si="438"/>
        <v>1941.5833333333335</v>
      </c>
      <c r="AK409" s="287">
        <f>Tabla14[[#This Row],[Cajas por Personas]]</f>
        <v>0</v>
      </c>
      <c r="AL409" s="288">
        <f>Tabla14[[#This Row],[Valor Precorte Pesona]]</f>
        <v>0</v>
      </c>
      <c r="AM409" s="294">
        <f>Tabla14[[#This Row],[Personas Precorte]]</f>
        <v>0</v>
      </c>
      <c r="AN409" s="308">
        <f>Tabla14[[#This Row],[Valor Precorte Pesona Precorte]]*Tabla14[[#This Row],[Perzonas Precorte]]</f>
        <v>0</v>
      </c>
      <c r="AO409" s="287">
        <f>Tabla14[[#This Row],[Cajas por Personas2]]</f>
        <v>14</v>
      </c>
      <c r="AP409" s="288">
        <f>Tabla14[[#This Row],[Valor Embarque Pesona]]</f>
        <v>25200</v>
      </c>
      <c r="AQ409" s="295">
        <f>Tabla14[[#This Row],[Personas Precorte2]]</f>
        <v>12</v>
      </c>
      <c r="AR409" s="296">
        <f>Tabla14[[#This Row],[Valor Embarque Pesona3]]*Tabla14[[#This Row],[Perzona Primera]]</f>
        <v>302400</v>
      </c>
      <c r="AS409" s="287">
        <f>Tabla14[[#This Row],[Columna2]]</f>
        <v>0</v>
      </c>
      <c r="AT409" s="288">
        <f>Tabla14[[#This Row],[Columna1]]</f>
        <v>0</v>
      </c>
      <c r="AU409" s="302">
        <f>Tabla14[[#This Row],[Personas Intervienen]]</f>
        <v>0</v>
      </c>
      <c r="AV409" s="297">
        <f>Tabla14[[#This Row],[Valor Embarque Pesona5]]*Tabla14[[#This Row],[Presonas Segunda]]</f>
        <v>0</v>
      </c>
      <c r="AW409" s="287">
        <f>Tabla14[[#This Row],[Bolsas Por Personas]]</f>
        <v>3.3766666666666669</v>
      </c>
      <c r="AX409" s="288">
        <f>Tabla14[[#This Row],[Valor bolsas Pesona]]</f>
        <v>1941.5833333333335</v>
      </c>
      <c r="AY409" s="309">
        <f>Tabla14[[#This Row],[Personas13]]</f>
        <v>12</v>
      </c>
      <c r="AZ409" s="310">
        <f>Tabla14[[#This Row],[Valor bolsas Pesona2]]*Tabla14[[#This Row],[Personas Rechazo]]</f>
        <v>23299</v>
      </c>
      <c r="BA409" s="311">
        <f>+Tabla14[[#This Row],[Total Valor Segunda]]+Tabla14[[#This Row],[Total Valor Primera]]+Tabla14[[#This Row],[Total Valor Precorte]]</f>
        <v>302400</v>
      </c>
      <c r="BB409" s="540">
        <f>Tabla14[[#This Row],[Valor bolsas Pesona2]]+Tabla14[[#This Row],[Valor Embarque Pesona3]]</f>
        <v>27141.583333333332</v>
      </c>
      <c r="BC409" s="541">
        <v>30000</v>
      </c>
      <c r="BD409" s="540">
        <f>Tabla14[[#This Row],[VALOR GANADO]]-Tabla14[[#This Row],[REAJUSTADO]]</f>
        <v>-2858.4166666666679</v>
      </c>
      <c r="BE409" s="250">
        <f>Tabla14[[#This Row],[CUANTO SE REAJUSTA]]*Tabla14[[#This Row],[Personas Rechazo]]</f>
        <v>-34301.000000000015</v>
      </c>
      <c r="BF409" s="250">
        <f>Tabla14[[#This Row],[REAJUSTADO]]/25000</f>
        <v>1.2</v>
      </c>
      <c r="BG409" s="302">
        <f>Tabla14[[#This Row],[REAJUSTADO]]*Tabla14[[#This Row],[Personas Rechazo]]</f>
        <v>360000</v>
      </c>
      <c r="BH409" s="292" t="str">
        <f>Tabla14[[#This Row],[Finca]]</f>
        <v>San Pedro</v>
      </c>
      <c r="BJ409" s="332">
        <f>Tabla14[[#This Row],[Numero de Ocacionales]]*Tabla14[[#This Row],[REAJUSTADO]]</f>
        <v>0</v>
      </c>
      <c r="BK409" s="332"/>
      <c r="BL409" s="332"/>
      <c r="BM409" s="332">
        <f>+Tabla14[[#This Row],[CUANTO SE REAJUSTA]]*3</f>
        <v>-8575.2500000000036</v>
      </c>
    </row>
    <row r="410" spans="3:65" x14ac:dyDescent="0.25">
      <c r="C410" s="515">
        <v>45132</v>
      </c>
      <c r="D410" s="507">
        <f>YEAR(Tabla14[[#This Row],[Fecha]])</f>
        <v>2023</v>
      </c>
      <c r="E410" s="516">
        <f>IF(Tabla14[[#This Row],[Fecha]]&gt;0,_xlfn.ISOWEEKNUM(Tabla14[[#This Row],[Fecha]]),0)</f>
        <v>30</v>
      </c>
      <c r="F410" s="283">
        <v>9</v>
      </c>
      <c r="G410" s="275" t="s">
        <v>249</v>
      </c>
      <c r="H410" s="325" t="str">
        <f>_xlfn.XLOOKUP(Tabla14[[#This Row],[Codigo Finca]],Tabla4[Codigo Finca],Tabla4[Nombre Finca],"")</f>
        <v>San Pedro</v>
      </c>
      <c r="I410" s="277">
        <f>_xlfn.XLOOKUP(Tabla14[[#This Row],[Codigo Finca]],Tabla4[Codigo Finca],Tabla4[Precio Caja],0)</f>
        <v>2000</v>
      </c>
      <c r="J410" s="277">
        <f>_xlfn.XLOOKUP(Tabla14[[#This Row],[Codigo Finca]],Tabla4[Codigo Finca],Tabla4[Precio Caja Segunda],0)</f>
        <v>1150</v>
      </c>
      <c r="K410" s="277">
        <f>_xlfn.XLOOKUP(Tabla14[[#This Row],[Codigo Finca]],Tabla4[Codigo Finca],Tabla4[Precio Rechazo],0)</f>
        <v>675</v>
      </c>
      <c r="L410" s="277">
        <f t="shared" si="426"/>
        <v>41</v>
      </c>
      <c r="M410" s="278">
        <f t="shared" si="427"/>
        <v>4.5555555555555554</v>
      </c>
      <c r="N410" s="283"/>
      <c r="O410" s="279"/>
      <c r="P410" s="280">
        <f t="shared" si="428"/>
        <v>0</v>
      </c>
      <c r="Q410" s="281">
        <f t="shared" si="429"/>
        <v>0</v>
      </c>
      <c r="R410" s="282">
        <f t="shared" si="430"/>
        <v>0</v>
      </c>
      <c r="S410" s="283">
        <v>41</v>
      </c>
      <c r="T410" s="275">
        <v>12</v>
      </c>
      <c r="U410" s="280">
        <f t="shared" si="431"/>
        <v>9</v>
      </c>
      <c r="V410" s="281">
        <f t="shared" si="432"/>
        <v>0.75</v>
      </c>
      <c r="W410" s="282">
        <f t="shared" si="433"/>
        <v>1500</v>
      </c>
      <c r="X410" s="283"/>
      <c r="Y410" s="275"/>
      <c r="Z410" s="280">
        <f>Tabla14[[#This Row],[Cajas Segunda]]</f>
        <v>0</v>
      </c>
      <c r="AA410" s="281">
        <f t="shared" si="434"/>
        <v>0</v>
      </c>
      <c r="AB410" s="284">
        <f t="shared" si="435"/>
        <v>0</v>
      </c>
      <c r="AC410" s="285"/>
      <c r="AD410" s="286"/>
      <c r="AE410" s="286"/>
      <c r="AF410" s="286"/>
      <c r="AG410" s="544"/>
      <c r="AH410" s="280">
        <f t="shared" si="436"/>
        <v>0</v>
      </c>
      <c r="AI410" s="281">
        <f t="shared" si="437"/>
        <v>0</v>
      </c>
      <c r="AJ410" s="282">
        <f t="shared" si="438"/>
        <v>0</v>
      </c>
      <c r="AK410" s="287">
        <f>Tabla14[[#This Row],[Cajas por Personas]]</f>
        <v>0</v>
      </c>
      <c r="AL410" s="288">
        <f>Tabla14[[#This Row],[Valor Precorte Pesona]]</f>
        <v>0</v>
      </c>
      <c r="AM410" s="294">
        <f>Tabla14[[#This Row],[Personas Precorte]]</f>
        <v>0</v>
      </c>
      <c r="AN410" s="308">
        <f>Tabla14[[#This Row],[Valor Precorte Pesona Precorte]]*Tabla14[[#This Row],[Perzonas Precorte]]</f>
        <v>0</v>
      </c>
      <c r="AO410" s="287">
        <f>Tabla14[[#This Row],[Cajas por Personas2]]</f>
        <v>0.75</v>
      </c>
      <c r="AP410" s="288">
        <f>Tabla14[[#This Row],[Valor Embarque Pesona]]</f>
        <v>1500</v>
      </c>
      <c r="AQ410" s="295">
        <f>Tabla14[[#This Row],[Personas Precorte2]]</f>
        <v>12</v>
      </c>
      <c r="AR410" s="296">
        <f>Tabla14[[#This Row],[Valor Embarque Pesona3]]*Tabla14[[#This Row],[Perzona Primera]]</f>
        <v>18000</v>
      </c>
      <c r="AS410" s="287">
        <f>Tabla14[[#This Row],[Columna2]]</f>
        <v>0</v>
      </c>
      <c r="AT410" s="288">
        <f>Tabla14[[#This Row],[Columna1]]</f>
        <v>0</v>
      </c>
      <c r="AU410" s="302">
        <f>Tabla14[[#This Row],[Personas Intervienen]]</f>
        <v>0</v>
      </c>
      <c r="AV410" s="297">
        <f>Tabla14[[#This Row],[Valor Embarque Pesona5]]*Tabla14[[#This Row],[Presonas Segunda]]</f>
        <v>0</v>
      </c>
      <c r="AW410" s="287">
        <f>Tabla14[[#This Row],[Bolsas Por Personas]]</f>
        <v>0</v>
      </c>
      <c r="AX410" s="288">
        <f>Tabla14[[#This Row],[Valor bolsas Pesona]]</f>
        <v>0</v>
      </c>
      <c r="AY410" s="309">
        <f>Tabla14[[#This Row],[Personas13]]</f>
        <v>0</v>
      </c>
      <c r="AZ410" s="310">
        <f>Tabla14[[#This Row],[Valor bolsas Pesona2]]*Tabla14[[#This Row],[Personas Rechazo]]</f>
        <v>0</v>
      </c>
      <c r="BA410" s="311">
        <f>+Tabla14[[#This Row],[Total Valor Segunda]]+Tabla14[[#This Row],[Total Valor Primera]]+Tabla14[[#This Row],[Total Valor Precorte]]</f>
        <v>18000</v>
      </c>
      <c r="BB410" s="540">
        <f>Tabla14[[#This Row],[Valor bolsas Pesona2]]+Tabla14[[#This Row],[Valor Embarque Pesona3]]</f>
        <v>1500</v>
      </c>
      <c r="BC410" s="541"/>
      <c r="BD410" s="540">
        <f>Tabla14[[#This Row],[VALOR GANADO]]-Tabla14[[#This Row],[REAJUSTADO]]</f>
        <v>1500</v>
      </c>
      <c r="BE410" s="250">
        <f>Tabla14[[#This Row],[CUANTO SE REAJUSTA]]*Tabla14[[#This Row],[Personas Rechazo]]</f>
        <v>0</v>
      </c>
      <c r="BF410" s="250">
        <f>Tabla14[[#This Row],[REAJUSTADO]]/25000</f>
        <v>0</v>
      </c>
      <c r="BG410" s="302">
        <f>Tabla14[[#This Row],[REAJUSTADO]]*Tabla14[[#This Row],[Personas Rechazo]]</f>
        <v>0</v>
      </c>
      <c r="BH410" s="292" t="str">
        <f>Tabla14[[#This Row],[Finca]]</f>
        <v>San Pedro</v>
      </c>
      <c r="BJ410" s="332">
        <f>Tabla14[[#This Row],[Numero de Ocacionales]]*Tabla14[[#This Row],[REAJUSTADO]]</f>
        <v>0</v>
      </c>
      <c r="BK410" s="332"/>
      <c r="BL410" s="332"/>
      <c r="BM410" s="332">
        <f>+Tabla14[[#This Row],[CUANTO SE REAJUSTA]]*3</f>
        <v>4500</v>
      </c>
    </row>
    <row r="411" spans="3:65" x14ac:dyDescent="0.25">
      <c r="C411" s="515">
        <v>45133</v>
      </c>
      <c r="D411" s="507">
        <f>YEAR(Tabla14[[#This Row],[Fecha]])</f>
        <v>2023</v>
      </c>
      <c r="E411" s="516">
        <f>IF(Tabla14[[#This Row],[Fecha]]&gt;0,_xlfn.ISOWEEKNUM(Tabla14[[#This Row],[Fecha]]),0)</f>
        <v>30</v>
      </c>
      <c r="F411" s="283">
        <v>94</v>
      </c>
      <c r="G411" s="275" t="s">
        <v>251</v>
      </c>
      <c r="H411" s="325" t="str">
        <f>_xlfn.XLOOKUP(Tabla14[[#This Row],[Codigo Finca]],Tabla4[Codigo Finca],Tabla4[Nombre Finca],"")</f>
        <v>Pedrito</v>
      </c>
      <c r="I411" s="277">
        <f>_xlfn.XLOOKUP(Tabla14[[#This Row],[Codigo Finca]],Tabla4[Codigo Finca],Tabla4[Precio Caja],0)</f>
        <v>1800</v>
      </c>
      <c r="J411" s="277">
        <f>_xlfn.XLOOKUP(Tabla14[[#This Row],[Codigo Finca]],Tabla4[Codigo Finca],Tabla4[Precio Caja Segunda],0)</f>
        <v>1150</v>
      </c>
      <c r="K411" s="277">
        <f>_xlfn.XLOOKUP(Tabla14[[#This Row],[Codigo Finca]],Tabla4[Codigo Finca],Tabla4[Precio Rechazo],0)</f>
        <v>575</v>
      </c>
      <c r="L411" s="277">
        <f t="shared" si="426"/>
        <v>641</v>
      </c>
      <c r="M411" s="278">
        <f t="shared" si="427"/>
        <v>6.8191489361702127</v>
      </c>
      <c r="N411" s="283"/>
      <c r="O411" s="279"/>
      <c r="P411" s="280">
        <f t="shared" si="428"/>
        <v>0</v>
      </c>
      <c r="Q411" s="281">
        <f t="shared" si="429"/>
        <v>0</v>
      </c>
      <c r="R411" s="282">
        <f t="shared" si="430"/>
        <v>0</v>
      </c>
      <c r="S411" s="283">
        <v>641</v>
      </c>
      <c r="T411" s="275">
        <v>11</v>
      </c>
      <c r="U411" s="280">
        <f t="shared" si="431"/>
        <v>94</v>
      </c>
      <c r="V411" s="281">
        <f t="shared" si="432"/>
        <v>8.545454545454545</v>
      </c>
      <c r="W411" s="282">
        <f t="shared" si="433"/>
        <v>15381.818181818182</v>
      </c>
      <c r="X411" s="283"/>
      <c r="Y411" s="275"/>
      <c r="Z411" s="280">
        <f>Tabla14[[#This Row],[Cajas Segunda]]</f>
        <v>0</v>
      </c>
      <c r="AA411" s="281">
        <f t="shared" si="434"/>
        <v>0</v>
      </c>
      <c r="AB411" s="284">
        <f t="shared" si="435"/>
        <v>0</v>
      </c>
      <c r="AC411" s="285"/>
      <c r="AD411" s="286">
        <v>2285</v>
      </c>
      <c r="AE411" s="286"/>
      <c r="AF411" s="286"/>
      <c r="AG411" s="286">
        <v>11</v>
      </c>
      <c r="AH411" s="280">
        <f t="shared" si="436"/>
        <v>91.4</v>
      </c>
      <c r="AI411" s="281">
        <f t="shared" si="437"/>
        <v>8.3090909090909104</v>
      </c>
      <c r="AJ411" s="282">
        <f t="shared" si="438"/>
        <v>4777.7272727272739</v>
      </c>
      <c r="AK411" s="287">
        <f>Tabla14[[#This Row],[Cajas por Personas]]</f>
        <v>0</v>
      </c>
      <c r="AL411" s="288">
        <f>Tabla14[[#This Row],[Valor Precorte Pesona]]</f>
        <v>0</v>
      </c>
      <c r="AM411" s="294">
        <f>Tabla14[[#This Row],[Personas Precorte]]</f>
        <v>0</v>
      </c>
      <c r="AN411" s="308">
        <f>Tabla14[[#This Row],[Valor Precorte Pesona Precorte]]*Tabla14[[#This Row],[Perzonas Precorte]]</f>
        <v>0</v>
      </c>
      <c r="AO411" s="287">
        <f>Tabla14[[#This Row],[Cajas por Personas2]]</f>
        <v>8.545454545454545</v>
      </c>
      <c r="AP411" s="288">
        <f>Tabla14[[#This Row],[Valor Embarque Pesona]]</f>
        <v>15381.818181818182</v>
      </c>
      <c r="AQ411" s="295">
        <f>Tabla14[[#This Row],[Personas Precorte2]]</f>
        <v>11</v>
      </c>
      <c r="AR411" s="296">
        <f>Tabla14[[#This Row],[Valor Embarque Pesona3]]*Tabla14[[#This Row],[Perzona Primera]]</f>
        <v>169200</v>
      </c>
      <c r="AS411" s="287">
        <f>Tabla14[[#This Row],[Columna2]]</f>
        <v>0</v>
      </c>
      <c r="AT411" s="288">
        <f>Tabla14[[#This Row],[Columna1]]</f>
        <v>0</v>
      </c>
      <c r="AU411" s="302">
        <f>Tabla14[[#This Row],[Personas Intervienen]]</f>
        <v>0</v>
      </c>
      <c r="AV411" s="297">
        <f>Tabla14[[#This Row],[Valor Embarque Pesona5]]*Tabla14[[#This Row],[Presonas Segunda]]</f>
        <v>0</v>
      </c>
      <c r="AW411" s="287">
        <f>Tabla14[[#This Row],[Bolsas Por Personas]]</f>
        <v>8.3090909090909104</v>
      </c>
      <c r="AX411" s="288">
        <f>Tabla14[[#This Row],[Valor bolsas Pesona]]</f>
        <v>4777.7272727272739</v>
      </c>
      <c r="AY411" s="309">
        <f>Tabla14[[#This Row],[Personas13]]</f>
        <v>11</v>
      </c>
      <c r="AZ411" s="310">
        <f>Tabla14[[#This Row],[Valor bolsas Pesona2]]*Tabla14[[#This Row],[Personas Rechazo]]</f>
        <v>52555.000000000015</v>
      </c>
      <c r="BA411" s="311">
        <f>+Tabla14[[#This Row],[Total Valor Segunda]]+Tabla14[[#This Row],[Total Valor Primera]]+Tabla14[[#This Row],[Total Valor Precorte]]</f>
        <v>169200</v>
      </c>
      <c r="BB411" s="292">
        <f>Tabla14[[#This Row],[Valor bolsas Pesona2]]+Tabla14[[#This Row],[Valor Embarque Pesona3]]</f>
        <v>20159.545454545456</v>
      </c>
      <c r="BC411" s="332">
        <v>30000</v>
      </c>
      <c r="BD411" s="292">
        <f>Tabla14[[#This Row],[VALOR GANADO]]-Tabla14[[#This Row],[REAJUSTADO]]</f>
        <v>-9840.4545454545441</v>
      </c>
      <c r="BE411" s="250">
        <f>Tabla14[[#This Row],[CUANTO SE REAJUSTA]]*Tabla14[[#This Row],[Personas Rechazo]]</f>
        <v>-108244.99999999999</v>
      </c>
      <c r="BF411" s="250">
        <f>Tabla14[[#This Row],[REAJUSTADO]]/25000</f>
        <v>1.2</v>
      </c>
      <c r="BG411" s="302">
        <f>Tabla14[[#This Row],[REAJUSTADO]]*Tabla14[[#This Row],[Personas Rechazo]]</f>
        <v>330000</v>
      </c>
      <c r="BH411" s="292" t="str">
        <f>Tabla14[[#This Row],[Finca]]</f>
        <v>Pedrito</v>
      </c>
      <c r="BJ411" s="332">
        <f>Tabla14[[#This Row],[Numero de Ocacionales]]*Tabla14[[#This Row],[REAJUSTADO]]</f>
        <v>0</v>
      </c>
      <c r="BK411" s="332"/>
      <c r="BL411" s="332"/>
      <c r="BM411" s="332">
        <f>+Tabla14[[#This Row],[CUANTO SE REAJUSTA]]*3</f>
        <v>-29521.363636363632</v>
      </c>
    </row>
    <row r="412" spans="3:65" x14ac:dyDescent="0.25">
      <c r="C412" s="515">
        <v>45133</v>
      </c>
      <c r="D412" s="507">
        <f>YEAR(Tabla14[[#This Row],[Fecha]])</f>
        <v>2023</v>
      </c>
      <c r="E412" s="516">
        <f>IF(Tabla14[[#This Row],[Fecha]]&gt;0,_xlfn.ISOWEEKNUM(Tabla14[[#This Row],[Fecha]]),0)</f>
        <v>30</v>
      </c>
      <c r="F412" s="283">
        <v>39</v>
      </c>
      <c r="G412" s="275" t="s">
        <v>248</v>
      </c>
      <c r="H412" s="325" t="str">
        <f>_xlfn.XLOOKUP(Tabla14[[#This Row],[Codigo Finca]],Tabla4[Codigo Finca],Tabla4[Nombre Finca],"")</f>
        <v>Damaquiel</v>
      </c>
      <c r="I412" s="277">
        <f>_xlfn.XLOOKUP(Tabla14[[#This Row],[Codigo Finca]],Tabla4[Codigo Finca],Tabla4[Precio Caja],0)</f>
        <v>1800</v>
      </c>
      <c r="J412" s="277">
        <f>_xlfn.XLOOKUP(Tabla14[[#This Row],[Codigo Finca]],Tabla4[Codigo Finca],Tabla4[Precio Caja Segunda],0)</f>
        <v>1150</v>
      </c>
      <c r="K412" s="277">
        <f>_xlfn.XLOOKUP(Tabla14[[#This Row],[Codigo Finca]],Tabla4[Codigo Finca],Tabla4[Precio Rechazo],0)</f>
        <v>575</v>
      </c>
      <c r="L412" s="277">
        <f t="shared" si="426"/>
        <v>0</v>
      </c>
      <c r="M412" s="278">
        <f t="shared" si="427"/>
        <v>0</v>
      </c>
      <c r="N412" s="283"/>
      <c r="O412" s="279"/>
      <c r="P412" s="280">
        <f t="shared" si="428"/>
        <v>0</v>
      </c>
      <c r="Q412" s="281">
        <f t="shared" si="429"/>
        <v>0</v>
      </c>
      <c r="R412" s="282">
        <f t="shared" si="430"/>
        <v>0</v>
      </c>
      <c r="S412" s="283"/>
      <c r="T412" s="545"/>
      <c r="U412" s="280">
        <f t="shared" si="431"/>
        <v>39</v>
      </c>
      <c r="V412" s="281">
        <f t="shared" si="432"/>
        <v>0</v>
      </c>
      <c r="W412" s="282">
        <f t="shared" si="433"/>
        <v>0</v>
      </c>
      <c r="X412" s="283"/>
      <c r="Y412" s="275"/>
      <c r="Z412" s="280">
        <f>Tabla14[[#This Row],[Cajas Segunda]]</f>
        <v>0</v>
      </c>
      <c r="AA412" s="281">
        <f t="shared" si="434"/>
        <v>0</v>
      </c>
      <c r="AB412" s="284">
        <f t="shared" si="435"/>
        <v>0</v>
      </c>
      <c r="AC412" s="285"/>
      <c r="AD412" s="286">
        <v>622</v>
      </c>
      <c r="AE412" s="286"/>
      <c r="AF412" s="286"/>
      <c r="AG412" s="544"/>
      <c r="AH412" s="280">
        <f t="shared" si="436"/>
        <v>24.88</v>
      </c>
      <c r="AI412" s="281">
        <f t="shared" si="437"/>
        <v>0</v>
      </c>
      <c r="AJ412" s="282">
        <f t="shared" si="438"/>
        <v>0</v>
      </c>
      <c r="AK412" s="287">
        <f>Tabla14[[#This Row],[Cajas por Personas]]</f>
        <v>0</v>
      </c>
      <c r="AL412" s="288">
        <f>Tabla14[[#This Row],[Valor Precorte Pesona]]</f>
        <v>0</v>
      </c>
      <c r="AM412" s="294">
        <f>Tabla14[[#This Row],[Personas Precorte]]</f>
        <v>0</v>
      </c>
      <c r="AN412" s="308">
        <f>Tabla14[[#This Row],[Valor Precorte Pesona Precorte]]*Tabla14[[#This Row],[Perzonas Precorte]]</f>
        <v>0</v>
      </c>
      <c r="AO412" s="287">
        <f>Tabla14[[#This Row],[Cajas por Personas2]]</f>
        <v>0</v>
      </c>
      <c r="AP412" s="288">
        <f>Tabla14[[#This Row],[Valor Embarque Pesona]]</f>
        <v>0</v>
      </c>
      <c r="AQ412" s="295">
        <f>Tabla14[[#This Row],[Personas Precorte2]]</f>
        <v>0</v>
      </c>
      <c r="AR412" s="296">
        <f>Tabla14[[#This Row],[Valor Embarque Pesona3]]*Tabla14[[#This Row],[Perzona Primera]]</f>
        <v>0</v>
      </c>
      <c r="AS412" s="287">
        <f>Tabla14[[#This Row],[Columna2]]</f>
        <v>0</v>
      </c>
      <c r="AT412" s="288">
        <f>Tabla14[[#This Row],[Columna1]]</f>
        <v>0</v>
      </c>
      <c r="AU412" s="302">
        <f>Tabla14[[#This Row],[Personas Intervienen]]</f>
        <v>0</v>
      </c>
      <c r="AV412" s="297">
        <f>Tabla14[[#This Row],[Valor Embarque Pesona5]]*Tabla14[[#This Row],[Presonas Segunda]]</f>
        <v>0</v>
      </c>
      <c r="AW412" s="287">
        <f>Tabla14[[#This Row],[Bolsas Por Personas]]</f>
        <v>0</v>
      </c>
      <c r="AX412" s="288">
        <f>Tabla14[[#This Row],[Valor bolsas Pesona]]</f>
        <v>0</v>
      </c>
      <c r="AY412" s="309">
        <f>Tabla14[[#This Row],[Personas13]]</f>
        <v>0</v>
      </c>
      <c r="AZ412" s="310">
        <f>Tabla14[[#This Row],[Valor bolsas Pesona2]]*Tabla14[[#This Row],[Personas Rechazo]]</f>
        <v>0</v>
      </c>
      <c r="BA412" s="311">
        <f>+Tabla14[[#This Row],[Total Valor Segunda]]+Tabla14[[#This Row],[Total Valor Primera]]+Tabla14[[#This Row],[Total Valor Precorte]]</f>
        <v>0</v>
      </c>
      <c r="BB412" s="292">
        <f>Tabla14[[#This Row],[Valor bolsas Pesona2]]+Tabla14[[#This Row],[Valor Embarque Pesona3]]</f>
        <v>0</v>
      </c>
      <c r="BC412" s="332">
        <v>30000</v>
      </c>
      <c r="BD412" s="292">
        <f>Tabla14[[#This Row],[VALOR GANADO]]-Tabla14[[#This Row],[REAJUSTADO]]</f>
        <v>-30000</v>
      </c>
      <c r="BE412" s="250">
        <f>Tabla14[[#This Row],[CUANTO SE REAJUSTA]]*Tabla14[[#This Row],[Personas Rechazo]]</f>
        <v>0</v>
      </c>
      <c r="BF412" s="250">
        <f>Tabla14[[#This Row],[REAJUSTADO]]/25000</f>
        <v>1.2</v>
      </c>
      <c r="BG412" s="302">
        <f>Tabla14[[#This Row],[REAJUSTADO]]*Tabla14[[#This Row],[Personas Rechazo]]</f>
        <v>0</v>
      </c>
      <c r="BH412" s="292" t="str">
        <f>Tabla14[[#This Row],[Finca]]</f>
        <v>Damaquiel</v>
      </c>
      <c r="BJ412" s="332">
        <f>Tabla14[[#This Row],[Numero de Ocacionales]]*Tabla14[[#This Row],[REAJUSTADO]]</f>
        <v>0</v>
      </c>
      <c r="BK412" s="332"/>
      <c r="BL412" s="332"/>
      <c r="BM412" s="332">
        <f>+Tabla14[[#This Row],[CUANTO SE REAJUSTA]]*3</f>
        <v>-90000</v>
      </c>
    </row>
    <row r="413" spans="3:65" x14ac:dyDescent="0.25">
      <c r="C413" s="515">
        <v>45139</v>
      </c>
      <c r="D413" s="507">
        <f>YEAR(Tabla14[[#This Row],[Fecha]])</f>
        <v>2023</v>
      </c>
      <c r="E413" s="516">
        <f>IF(Tabla14[[#This Row],[Fecha]]&gt;0,_xlfn.ISOWEEKNUM(Tabla14[[#This Row],[Fecha]]),0)</f>
        <v>31</v>
      </c>
      <c r="F413" s="283">
        <v>17</v>
      </c>
      <c r="G413" s="275" t="s">
        <v>249</v>
      </c>
      <c r="H413" s="325" t="str">
        <f>_xlfn.XLOOKUP(Tabla14[[#This Row],[Codigo Finca]],Tabla4[Codigo Finca],Tabla4[Nombre Finca],"")</f>
        <v>San Pedro</v>
      </c>
      <c r="I413" s="277">
        <f>_xlfn.XLOOKUP(Tabla14[[#This Row],[Codigo Finca]],Tabla4[Codigo Finca],Tabla4[Precio Caja],0)</f>
        <v>2000</v>
      </c>
      <c r="J413" s="277">
        <f>_xlfn.XLOOKUP(Tabla14[[#This Row],[Codigo Finca]],Tabla4[Codigo Finca],Tabla4[Precio Caja Segunda],0)</f>
        <v>1150</v>
      </c>
      <c r="K413" s="277">
        <f>_xlfn.XLOOKUP(Tabla14[[#This Row],[Codigo Finca]],Tabla4[Codigo Finca],Tabla4[Precio Rechazo],0)</f>
        <v>675</v>
      </c>
      <c r="L413" s="277">
        <f t="shared" si="426"/>
        <v>0</v>
      </c>
      <c r="M413" s="278">
        <f t="shared" si="427"/>
        <v>0</v>
      </c>
      <c r="N413" s="283"/>
      <c r="O413" s="279"/>
      <c r="P413" s="280">
        <f t="shared" si="428"/>
        <v>0</v>
      </c>
      <c r="Q413" s="281">
        <f t="shared" si="429"/>
        <v>0</v>
      </c>
      <c r="R413" s="282">
        <f t="shared" si="430"/>
        <v>0</v>
      </c>
      <c r="S413" s="283"/>
      <c r="T413" s="275">
        <v>11</v>
      </c>
      <c r="U413" s="280">
        <f t="shared" si="431"/>
        <v>17</v>
      </c>
      <c r="V413" s="281">
        <f t="shared" si="432"/>
        <v>1.5454545454545454</v>
      </c>
      <c r="W413" s="282">
        <f t="shared" si="433"/>
        <v>3090.909090909091</v>
      </c>
      <c r="X413" s="283"/>
      <c r="Y413" s="275"/>
      <c r="Z413" s="280">
        <f>Tabla14[[#This Row],[Cajas Segunda]]</f>
        <v>0</v>
      </c>
      <c r="AA413" s="281">
        <f t="shared" si="434"/>
        <v>0</v>
      </c>
      <c r="AB413" s="284">
        <f t="shared" si="435"/>
        <v>0</v>
      </c>
      <c r="AC413" s="285"/>
      <c r="AD413" s="286"/>
      <c r="AE413" s="286"/>
      <c r="AF413" s="286"/>
      <c r="AG413" s="286">
        <v>11</v>
      </c>
      <c r="AH413" s="280">
        <f t="shared" si="436"/>
        <v>0</v>
      </c>
      <c r="AI413" s="281">
        <f t="shared" si="437"/>
        <v>0</v>
      </c>
      <c r="AJ413" s="282">
        <f t="shared" si="438"/>
        <v>0</v>
      </c>
      <c r="AK413" s="287">
        <f>Tabla14[[#This Row],[Cajas por Personas]]</f>
        <v>0</v>
      </c>
      <c r="AL413" s="288">
        <f>Tabla14[[#This Row],[Valor Precorte Pesona]]</f>
        <v>0</v>
      </c>
      <c r="AM413" s="294">
        <f>Tabla14[[#This Row],[Personas Precorte]]</f>
        <v>0</v>
      </c>
      <c r="AN413" s="308">
        <f>Tabla14[[#This Row],[Valor Precorte Pesona Precorte]]*Tabla14[[#This Row],[Perzonas Precorte]]</f>
        <v>0</v>
      </c>
      <c r="AO413" s="287">
        <f>Tabla14[[#This Row],[Cajas por Personas2]]</f>
        <v>1.5454545454545454</v>
      </c>
      <c r="AP413" s="288">
        <f>Tabla14[[#This Row],[Valor Embarque Pesona]]</f>
        <v>3090.909090909091</v>
      </c>
      <c r="AQ413" s="295">
        <f>Tabla14[[#This Row],[Personas Precorte2]]</f>
        <v>11</v>
      </c>
      <c r="AR413" s="296">
        <f>Tabla14[[#This Row],[Valor Embarque Pesona3]]*Tabla14[[#This Row],[Perzona Primera]]</f>
        <v>34000</v>
      </c>
      <c r="AS413" s="287">
        <f>Tabla14[[#This Row],[Columna2]]</f>
        <v>0</v>
      </c>
      <c r="AT413" s="288">
        <f>Tabla14[[#This Row],[Columna1]]</f>
        <v>0</v>
      </c>
      <c r="AU413" s="302">
        <f>Tabla14[[#This Row],[Personas Intervienen]]</f>
        <v>0</v>
      </c>
      <c r="AV413" s="297">
        <f>Tabla14[[#This Row],[Valor Embarque Pesona5]]*Tabla14[[#This Row],[Presonas Segunda]]</f>
        <v>0</v>
      </c>
      <c r="AW413" s="287">
        <f>Tabla14[[#This Row],[Bolsas Por Personas]]</f>
        <v>0</v>
      </c>
      <c r="AX413" s="288">
        <f>Tabla14[[#This Row],[Valor bolsas Pesona]]</f>
        <v>0</v>
      </c>
      <c r="AY413" s="309">
        <f>Tabla14[[#This Row],[Personas13]]</f>
        <v>11</v>
      </c>
      <c r="AZ413" s="310">
        <f>Tabla14[[#This Row],[Valor bolsas Pesona2]]*Tabla14[[#This Row],[Personas Rechazo]]</f>
        <v>0</v>
      </c>
      <c r="BA413" s="311">
        <f>+Tabla14[[#This Row],[Total Valor Segunda]]+Tabla14[[#This Row],[Total Valor Primera]]+Tabla14[[#This Row],[Total Valor Precorte]]</f>
        <v>34000</v>
      </c>
      <c r="BB413" s="540">
        <f>Tabla14[[#This Row],[Valor bolsas Pesona2]]+Tabla14[[#This Row],[Valor Embarque Pesona3]]</f>
        <v>3090.909090909091</v>
      </c>
      <c r="BC413" s="541">
        <v>35000</v>
      </c>
      <c r="BD413" s="540">
        <f>Tabla14[[#This Row],[VALOR GANADO]]-Tabla14[[#This Row],[REAJUSTADO]]</f>
        <v>-31909.090909090908</v>
      </c>
      <c r="BE413" s="250">
        <f>Tabla14[[#This Row],[CUANTO SE REAJUSTA]]*Tabla14[[#This Row],[Personas Rechazo]]</f>
        <v>-351000</v>
      </c>
      <c r="BF413" s="250">
        <f>Tabla14[[#This Row],[REAJUSTADO]]/25000</f>
        <v>1.4</v>
      </c>
      <c r="BG413" s="302">
        <f>Tabla14[[#This Row],[REAJUSTADO]]*Tabla14[[#This Row],[Personas Rechazo]]</f>
        <v>385000</v>
      </c>
      <c r="BH413" s="292" t="str">
        <f>Tabla14[[#This Row],[Finca]]</f>
        <v>San Pedro</v>
      </c>
      <c r="BJ413" s="332">
        <f>Tabla14[[#This Row],[Numero de Ocacionales]]*Tabla14[[#This Row],[REAJUSTADO]]</f>
        <v>0</v>
      </c>
      <c r="BK413" s="332"/>
      <c r="BL413" s="332"/>
      <c r="BM413" s="332">
        <f>+Tabla14[[#This Row],[CUANTO SE REAJUSTA]]*3</f>
        <v>-95727.272727272721</v>
      </c>
    </row>
    <row r="414" spans="3:65" x14ac:dyDescent="0.25">
      <c r="C414" s="515">
        <v>45139</v>
      </c>
      <c r="D414" s="507">
        <f>YEAR(Tabla14[[#This Row],[Fecha]])</f>
        <v>2023</v>
      </c>
      <c r="E414" s="516">
        <f>IF(Tabla14[[#This Row],[Fecha]]&gt;0,_xlfn.ISOWEEKNUM(Tabla14[[#This Row],[Fecha]]),0)</f>
        <v>31</v>
      </c>
      <c r="F414" s="283">
        <f>201-17</f>
        <v>184</v>
      </c>
      <c r="G414" s="275" t="s">
        <v>250</v>
      </c>
      <c r="H414" s="325" t="str">
        <f>_xlfn.XLOOKUP(Tabla14[[#This Row],[Codigo Finca]],Tabla4[Codigo Finca],Tabla4[Nombre Finca],"")</f>
        <v>San Pedro</v>
      </c>
      <c r="I414" s="277">
        <f>_xlfn.XLOOKUP(Tabla14[[#This Row],[Codigo Finca]],Tabla4[Codigo Finca],Tabla4[Precio Caja],0)</f>
        <v>1800</v>
      </c>
      <c r="J414" s="277">
        <f>_xlfn.XLOOKUP(Tabla14[[#This Row],[Codigo Finca]],Tabla4[Codigo Finca],Tabla4[Precio Caja Segunda],0)</f>
        <v>1150</v>
      </c>
      <c r="K414" s="277">
        <f>_xlfn.XLOOKUP(Tabla14[[#This Row],[Codigo Finca]],Tabla4[Codigo Finca],Tabla4[Precio Rechazo],0)</f>
        <v>575</v>
      </c>
      <c r="L414" s="277">
        <f t="shared" si="426"/>
        <v>771</v>
      </c>
      <c r="M414" s="278">
        <f t="shared" si="427"/>
        <v>4.1902173913043477</v>
      </c>
      <c r="N414" s="283"/>
      <c r="O414" s="279"/>
      <c r="P414" s="280">
        <f t="shared" si="428"/>
        <v>0</v>
      </c>
      <c r="Q414" s="281">
        <f t="shared" si="429"/>
        <v>0</v>
      </c>
      <c r="R414" s="282">
        <f t="shared" si="430"/>
        <v>0</v>
      </c>
      <c r="S414" s="283">
        <v>771</v>
      </c>
      <c r="T414" s="275">
        <v>11</v>
      </c>
      <c r="U414" s="280">
        <f t="shared" si="431"/>
        <v>184</v>
      </c>
      <c r="V414" s="281">
        <f t="shared" si="432"/>
        <v>16.727272727272727</v>
      </c>
      <c r="W414" s="282">
        <f t="shared" si="433"/>
        <v>30109.090909090908</v>
      </c>
      <c r="X414" s="283"/>
      <c r="Y414" s="275"/>
      <c r="Z414" s="280">
        <f>Tabla14[[#This Row],[Cajas Segunda]]</f>
        <v>0</v>
      </c>
      <c r="AA414" s="281">
        <f t="shared" si="434"/>
        <v>0</v>
      </c>
      <c r="AB414" s="284">
        <f t="shared" si="435"/>
        <v>0</v>
      </c>
      <c r="AC414" s="285"/>
      <c r="AD414" s="286">
        <v>915.86</v>
      </c>
      <c r="AE414" s="286"/>
      <c r="AF414" s="286"/>
      <c r="AG414" s="286">
        <v>11</v>
      </c>
      <c r="AH414" s="280">
        <f t="shared" si="436"/>
        <v>36.634399999999999</v>
      </c>
      <c r="AI414" s="281">
        <f t="shared" si="437"/>
        <v>3.3304</v>
      </c>
      <c r="AJ414" s="282">
        <f t="shared" si="438"/>
        <v>1914.98</v>
      </c>
      <c r="AK414" s="287">
        <f>Tabla14[[#This Row],[Cajas por Personas]]</f>
        <v>0</v>
      </c>
      <c r="AL414" s="288">
        <f>Tabla14[[#This Row],[Valor Precorte Pesona]]</f>
        <v>0</v>
      </c>
      <c r="AM414" s="294">
        <f>Tabla14[[#This Row],[Personas Precorte]]</f>
        <v>0</v>
      </c>
      <c r="AN414" s="308">
        <f>Tabla14[[#This Row],[Valor Precorte Pesona Precorte]]*Tabla14[[#This Row],[Perzonas Precorte]]</f>
        <v>0</v>
      </c>
      <c r="AO414" s="287">
        <f>Tabla14[[#This Row],[Cajas por Personas2]]</f>
        <v>16.727272727272727</v>
      </c>
      <c r="AP414" s="288">
        <f>Tabla14[[#This Row],[Valor Embarque Pesona]]</f>
        <v>30109.090909090908</v>
      </c>
      <c r="AQ414" s="295">
        <f>Tabla14[[#This Row],[Personas Precorte2]]</f>
        <v>11</v>
      </c>
      <c r="AR414" s="296">
        <f>Tabla14[[#This Row],[Valor Embarque Pesona3]]*Tabla14[[#This Row],[Perzona Primera]]</f>
        <v>331200</v>
      </c>
      <c r="AS414" s="287">
        <f>Tabla14[[#This Row],[Columna2]]</f>
        <v>0</v>
      </c>
      <c r="AT414" s="288">
        <f>Tabla14[[#This Row],[Columna1]]</f>
        <v>0</v>
      </c>
      <c r="AU414" s="302">
        <f>Tabla14[[#This Row],[Personas Intervienen]]</f>
        <v>0</v>
      </c>
      <c r="AV414" s="297">
        <f>Tabla14[[#This Row],[Valor Embarque Pesona5]]*Tabla14[[#This Row],[Presonas Segunda]]</f>
        <v>0</v>
      </c>
      <c r="AW414" s="287">
        <f>Tabla14[[#This Row],[Bolsas Por Personas]]</f>
        <v>3.3304</v>
      </c>
      <c r="AX414" s="288">
        <f>Tabla14[[#This Row],[Valor bolsas Pesona]]</f>
        <v>1914.98</v>
      </c>
      <c r="AY414" s="309">
        <f>Tabla14[[#This Row],[Personas13]]</f>
        <v>11</v>
      </c>
      <c r="AZ414" s="310">
        <f>Tabla14[[#This Row],[Valor bolsas Pesona2]]*Tabla14[[#This Row],[Personas Rechazo]]</f>
        <v>21064.78</v>
      </c>
      <c r="BA414" s="311">
        <f>+Tabla14[[#This Row],[Total Valor Segunda]]+Tabla14[[#This Row],[Total Valor Primera]]+Tabla14[[#This Row],[Total Valor Precorte]]</f>
        <v>331200</v>
      </c>
      <c r="BB414" s="540">
        <f>Tabla14[[#This Row],[Valor bolsas Pesona2]]+Tabla14[[#This Row],[Valor Embarque Pesona3]]</f>
        <v>32024.070909090908</v>
      </c>
      <c r="BC414" s="541"/>
      <c r="BD414" s="540">
        <f>Tabla14[[#This Row],[VALOR GANADO]]-Tabla14[[#This Row],[REAJUSTADO]]</f>
        <v>32024.070909090908</v>
      </c>
      <c r="BE414" s="250">
        <f>Tabla14[[#This Row],[CUANTO SE REAJUSTA]]*Tabla14[[#This Row],[Personas Rechazo]]</f>
        <v>352264.77999999997</v>
      </c>
      <c r="BF414" s="250">
        <f>Tabla14[[#This Row],[REAJUSTADO]]/25000</f>
        <v>0</v>
      </c>
      <c r="BG414" s="302">
        <f>Tabla14[[#This Row],[REAJUSTADO]]*Tabla14[[#This Row],[Personas Rechazo]]</f>
        <v>0</v>
      </c>
      <c r="BH414" s="292" t="str">
        <f>Tabla14[[#This Row],[Finca]]</f>
        <v>San Pedro</v>
      </c>
      <c r="BJ414" s="332">
        <f>Tabla14[[#This Row],[Numero de Ocacionales]]*Tabla14[[#This Row],[REAJUSTADO]]</f>
        <v>0</v>
      </c>
      <c r="BK414" s="332"/>
      <c r="BL414" s="332"/>
      <c r="BM414" s="332">
        <f>+Tabla14[[#This Row],[CUANTO SE REAJUSTA]]*3</f>
        <v>96072.212727272723</v>
      </c>
    </row>
    <row r="415" spans="3:65" x14ac:dyDescent="0.25">
      <c r="C415" s="515">
        <v>45139</v>
      </c>
      <c r="D415" s="507">
        <f>YEAR(Tabla14[[#This Row],[Fecha]])</f>
        <v>2023</v>
      </c>
      <c r="E415" s="516">
        <f>IF(Tabla14[[#This Row],[Fecha]]&gt;0,_xlfn.ISOWEEKNUM(Tabla14[[#This Row],[Fecha]]),0)</f>
        <v>31</v>
      </c>
      <c r="F415" s="283">
        <v>55</v>
      </c>
      <c r="G415" s="275" t="s">
        <v>247</v>
      </c>
      <c r="H415" s="325" t="str">
        <f>_xlfn.XLOOKUP(Tabla14[[#This Row],[Codigo Finca]],Tabla4[Codigo Finca],Tabla4[Nombre Finca],"")</f>
        <v>Uveros</v>
      </c>
      <c r="I415" s="277">
        <f>_xlfn.XLOOKUP(Tabla14[[#This Row],[Codigo Finca]],Tabla4[Codigo Finca],Tabla4[Precio Caja],0)</f>
        <v>1800</v>
      </c>
      <c r="J415" s="277">
        <f>_xlfn.XLOOKUP(Tabla14[[#This Row],[Codigo Finca]],Tabla4[Codigo Finca],Tabla4[Precio Caja Segunda],0)</f>
        <v>1150</v>
      </c>
      <c r="K415" s="277">
        <f>_xlfn.XLOOKUP(Tabla14[[#This Row],[Codigo Finca]],Tabla4[Codigo Finca],Tabla4[Precio Rechazo],0)</f>
        <v>575</v>
      </c>
      <c r="L415" s="277">
        <f t="shared" si="426"/>
        <v>469</v>
      </c>
      <c r="M415" s="278">
        <f t="shared" si="427"/>
        <v>8.5272727272727273</v>
      </c>
      <c r="N415" s="283"/>
      <c r="O415" s="279"/>
      <c r="P415" s="280">
        <f t="shared" si="428"/>
        <v>0</v>
      </c>
      <c r="Q415" s="281">
        <f t="shared" si="429"/>
        <v>0</v>
      </c>
      <c r="R415" s="282">
        <f t="shared" si="430"/>
        <v>0</v>
      </c>
      <c r="S415" s="283">
        <v>469</v>
      </c>
      <c r="T415" s="275">
        <v>5</v>
      </c>
      <c r="U415" s="280">
        <f t="shared" si="431"/>
        <v>55</v>
      </c>
      <c r="V415" s="281">
        <f t="shared" si="432"/>
        <v>11</v>
      </c>
      <c r="W415" s="282">
        <f t="shared" si="433"/>
        <v>19800</v>
      </c>
      <c r="X415" s="283"/>
      <c r="Y415" s="275"/>
      <c r="Z415" s="280">
        <f>Tabla14[[#This Row],[Cajas Segunda]]</f>
        <v>0</v>
      </c>
      <c r="AA415" s="281">
        <f t="shared" si="434"/>
        <v>0</v>
      </c>
      <c r="AB415" s="284">
        <f t="shared" si="435"/>
        <v>0</v>
      </c>
      <c r="AC415" s="285"/>
      <c r="AD415" s="286">
        <v>1281.3499999999999</v>
      </c>
      <c r="AE415" s="286"/>
      <c r="AF415" s="286"/>
      <c r="AG415" s="286">
        <v>5</v>
      </c>
      <c r="AH415" s="280">
        <f t="shared" si="436"/>
        <v>51.253999999999998</v>
      </c>
      <c r="AI415" s="281">
        <f t="shared" si="437"/>
        <v>10.2508</v>
      </c>
      <c r="AJ415" s="282">
        <f t="shared" si="438"/>
        <v>5894.21</v>
      </c>
      <c r="AK415" s="287">
        <f>Tabla14[[#This Row],[Cajas por Personas]]</f>
        <v>0</v>
      </c>
      <c r="AL415" s="288">
        <f>Tabla14[[#This Row],[Valor Precorte Pesona]]</f>
        <v>0</v>
      </c>
      <c r="AM415" s="294">
        <f>Tabla14[[#This Row],[Personas Precorte]]</f>
        <v>0</v>
      </c>
      <c r="AN415" s="308">
        <f>Tabla14[[#This Row],[Valor Precorte Pesona Precorte]]*Tabla14[[#This Row],[Perzonas Precorte]]</f>
        <v>0</v>
      </c>
      <c r="AO415" s="287">
        <f>Tabla14[[#This Row],[Cajas por Personas2]]</f>
        <v>11</v>
      </c>
      <c r="AP415" s="288">
        <f>Tabla14[[#This Row],[Valor Embarque Pesona]]</f>
        <v>19800</v>
      </c>
      <c r="AQ415" s="295">
        <f>Tabla14[[#This Row],[Personas Precorte2]]</f>
        <v>5</v>
      </c>
      <c r="AR415" s="296">
        <f>Tabla14[[#This Row],[Valor Embarque Pesona3]]*Tabla14[[#This Row],[Perzona Primera]]</f>
        <v>99000</v>
      </c>
      <c r="AS415" s="287">
        <f>Tabla14[[#This Row],[Columna2]]</f>
        <v>0</v>
      </c>
      <c r="AT415" s="288">
        <f>Tabla14[[#This Row],[Columna1]]</f>
        <v>0</v>
      </c>
      <c r="AU415" s="302">
        <f>Tabla14[[#This Row],[Personas Intervienen]]</f>
        <v>0</v>
      </c>
      <c r="AV415" s="297">
        <f>Tabla14[[#This Row],[Valor Embarque Pesona5]]*Tabla14[[#This Row],[Presonas Segunda]]</f>
        <v>0</v>
      </c>
      <c r="AW415" s="287">
        <f>Tabla14[[#This Row],[Bolsas Por Personas]]</f>
        <v>10.2508</v>
      </c>
      <c r="AX415" s="288">
        <f>Tabla14[[#This Row],[Valor bolsas Pesona]]</f>
        <v>5894.21</v>
      </c>
      <c r="AY415" s="309">
        <f>Tabla14[[#This Row],[Personas13]]</f>
        <v>5</v>
      </c>
      <c r="AZ415" s="310">
        <f>Tabla14[[#This Row],[Valor bolsas Pesona2]]*Tabla14[[#This Row],[Personas Rechazo]]</f>
        <v>29471.05</v>
      </c>
      <c r="BA415" s="311">
        <f>+Tabla14[[#This Row],[Total Valor Segunda]]+Tabla14[[#This Row],[Total Valor Primera]]+Tabla14[[#This Row],[Total Valor Precorte]]</f>
        <v>99000</v>
      </c>
      <c r="BB415" s="292">
        <f>Tabla14[[#This Row],[Valor bolsas Pesona2]]+Tabla14[[#This Row],[Valor Embarque Pesona3]]</f>
        <v>25694.21</v>
      </c>
      <c r="BC415" s="332">
        <v>30000</v>
      </c>
      <c r="BD415" s="292">
        <f>Tabla14[[#This Row],[VALOR GANADO]]-Tabla14[[#This Row],[REAJUSTADO]]</f>
        <v>-4305.7900000000009</v>
      </c>
      <c r="BE415" s="250">
        <f>Tabla14[[#This Row],[CUANTO SE REAJUSTA]]*Tabla14[[#This Row],[Personas Rechazo]]</f>
        <v>-21528.950000000004</v>
      </c>
      <c r="BF415" s="250">
        <f>Tabla14[[#This Row],[REAJUSTADO]]/25000</f>
        <v>1.2</v>
      </c>
      <c r="BG415" s="302">
        <f>Tabla14[[#This Row],[REAJUSTADO]]*Tabla14[[#This Row],[Personas Rechazo]]</f>
        <v>150000</v>
      </c>
      <c r="BH415" s="292" t="str">
        <f>Tabla14[[#This Row],[Finca]]</f>
        <v>Uveros</v>
      </c>
      <c r="BJ415" s="332">
        <f>Tabla14[[#This Row],[Numero de Ocacionales]]*Tabla14[[#This Row],[REAJUSTADO]]</f>
        <v>0</v>
      </c>
      <c r="BK415" s="332"/>
      <c r="BL415" s="332"/>
      <c r="BM415" s="332">
        <f>+Tabla14[[#This Row],[CUANTO SE REAJUSTA]]*3</f>
        <v>-12917.370000000003</v>
      </c>
    </row>
    <row r="416" spans="3:65" x14ac:dyDescent="0.25">
      <c r="C416" s="515">
        <v>45140</v>
      </c>
      <c r="D416" s="549">
        <f>YEAR(Tabla14[[#This Row],[Fecha]])</f>
        <v>2023</v>
      </c>
      <c r="E416" s="516">
        <f>IF(Tabla14[[#This Row],[Fecha]]&gt;0,_xlfn.ISOWEEKNUM(Tabla14[[#This Row],[Fecha]]),0)</f>
        <v>31</v>
      </c>
      <c r="F416" s="283">
        <v>104</v>
      </c>
      <c r="G416" s="275" t="s">
        <v>251</v>
      </c>
      <c r="H416" s="325" t="str">
        <f>_xlfn.XLOOKUP(Tabla14[[#This Row],[Codigo Finca]],Tabla4[Codigo Finca],Tabla4[Nombre Finca],"")</f>
        <v>Pedrito</v>
      </c>
      <c r="I416" s="277">
        <f>_xlfn.XLOOKUP(Tabla14[[#This Row],[Codigo Finca]],Tabla4[Codigo Finca],Tabla4[Precio Caja],0)</f>
        <v>1800</v>
      </c>
      <c r="J416" s="277">
        <f>_xlfn.XLOOKUP(Tabla14[[#This Row],[Codigo Finca]],Tabla4[Codigo Finca],Tabla4[Precio Caja Segunda],0)</f>
        <v>1150</v>
      </c>
      <c r="K416" s="277">
        <f>_xlfn.XLOOKUP(Tabla14[[#This Row],[Codigo Finca]],Tabla4[Codigo Finca],Tabla4[Precio Rechazo],0)</f>
        <v>575</v>
      </c>
      <c r="L416" s="277">
        <f t="shared" si="426"/>
        <v>502</v>
      </c>
      <c r="M416" s="278">
        <f t="shared" si="427"/>
        <v>4.8269230769230766</v>
      </c>
      <c r="N416" s="283"/>
      <c r="O416" s="279"/>
      <c r="P416" s="280">
        <f t="shared" si="428"/>
        <v>0</v>
      </c>
      <c r="Q416" s="281">
        <f t="shared" si="429"/>
        <v>0</v>
      </c>
      <c r="R416" s="282">
        <f t="shared" si="430"/>
        <v>0</v>
      </c>
      <c r="S416" s="283">
        <v>502</v>
      </c>
      <c r="T416" s="275">
        <v>11</v>
      </c>
      <c r="U416" s="280">
        <f t="shared" si="431"/>
        <v>104</v>
      </c>
      <c r="V416" s="281">
        <f t="shared" si="432"/>
        <v>9.454545454545455</v>
      </c>
      <c r="W416" s="282">
        <f t="shared" si="433"/>
        <v>17018.18181818182</v>
      </c>
      <c r="X416" s="283"/>
      <c r="Y416" s="275"/>
      <c r="Z416" s="280">
        <f>Tabla14[[#This Row],[Cajas Segunda]]</f>
        <v>0</v>
      </c>
      <c r="AA416" s="281">
        <f t="shared" si="434"/>
        <v>0</v>
      </c>
      <c r="AB416" s="284">
        <f t="shared" si="435"/>
        <v>0</v>
      </c>
      <c r="AC416" s="285"/>
      <c r="AD416" s="286">
        <v>1376.65</v>
      </c>
      <c r="AE416" s="286"/>
      <c r="AF416" s="286"/>
      <c r="AG416" s="286">
        <v>11</v>
      </c>
      <c r="AH416" s="280">
        <f t="shared" si="436"/>
        <v>55.066000000000003</v>
      </c>
      <c r="AI416" s="281">
        <f t="shared" si="437"/>
        <v>5.0060000000000002</v>
      </c>
      <c r="AJ416" s="282">
        <f t="shared" si="438"/>
        <v>2878.4500000000003</v>
      </c>
      <c r="AK416" s="287">
        <f>Tabla14[[#This Row],[Cajas por Personas]]</f>
        <v>0</v>
      </c>
      <c r="AL416" s="288">
        <f>Tabla14[[#This Row],[Valor Precorte Pesona]]</f>
        <v>0</v>
      </c>
      <c r="AM416" s="294">
        <f>Tabla14[[#This Row],[Personas Precorte]]</f>
        <v>0</v>
      </c>
      <c r="AN416" s="308">
        <f>Tabla14[[#This Row],[Valor Precorte Pesona Precorte]]*Tabla14[[#This Row],[Perzonas Precorte]]</f>
        <v>0</v>
      </c>
      <c r="AO416" s="287">
        <f>Tabla14[[#This Row],[Cajas por Personas2]]</f>
        <v>9.454545454545455</v>
      </c>
      <c r="AP416" s="288">
        <f>Tabla14[[#This Row],[Valor Embarque Pesona]]</f>
        <v>17018.18181818182</v>
      </c>
      <c r="AQ416" s="295">
        <f>Tabla14[[#This Row],[Personas Precorte2]]</f>
        <v>11</v>
      </c>
      <c r="AR416" s="296">
        <f>Tabla14[[#This Row],[Valor Embarque Pesona3]]*Tabla14[[#This Row],[Perzona Primera]]</f>
        <v>187200.00000000003</v>
      </c>
      <c r="AS416" s="287">
        <f>Tabla14[[#This Row],[Columna2]]</f>
        <v>0</v>
      </c>
      <c r="AT416" s="288">
        <f>Tabla14[[#This Row],[Columna1]]</f>
        <v>0</v>
      </c>
      <c r="AU416" s="302">
        <f>Tabla14[[#This Row],[Personas Intervienen]]</f>
        <v>0</v>
      </c>
      <c r="AV416" s="297">
        <f>Tabla14[[#This Row],[Valor Embarque Pesona5]]*Tabla14[[#This Row],[Presonas Segunda]]</f>
        <v>0</v>
      </c>
      <c r="AW416" s="287">
        <f>Tabla14[[#This Row],[Bolsas Por Personas]]</f>
        <v>5.0060000000000002</v>
      </c>
      <c r="AX416" s="288">
        <f>Tabla14[[#This Row],[Valor bolsas Pesona]]</f>
        <v>2878.4500000000003</v>
      </c>
      <c r="AY416" s="309">
        <f>Tabla14[[#This Row],[Personas13]]</f>
        <v>11</v>
      </c>
      <c r="AZ416" s="310">
        <f>Tabla14[[#This Row],[Valor bolsas Pesona2]]*Tabla14[[#This Row],[Personas Rechazo]]</f>
        <v>31662.950000000004</v>
      </c>
      <c r="BA416" s="311">
        <f>+Tabla14[[#This Row],[Total Valor Segunda]]+Tabla14[[#This Row],[Total Valor Primera]]+Tabla14[[#This Row],[Total Valor Precorte]]</f>
        <v>187200.00000000003</v>
      </c>
      <c r="BB416" s="292">
        <f>Tabla14[[#This Row],[Valor bolsas Pesona2]]+Tabla14[[#This Row],[Valor Embarque Pesona3]]</f>
        <v>19896.631818181821</v>
      </c>
      <c r="BC416" s="332">
        <v>30000</v>
      </c>
      <c r="BD416" s="292">
        <f>Tabla14[[#This Row],[VALOR GANADO]]-Tabla14[[#This Row],[REAJUSTADO]]</f>
        <v>-10103.368181818179</v>
      </c>
      <c r="BE416" s="250">
        <f>Tabla14[[#This Row],[CUANTO SE REAJUSTA]]*Tabla14[[#This Row],[Personas Rechazo]]</f>
        <v>-111137.04999999997</v>
      </c>
      <c r="BF416" s="250">
        <f>Tabla14[[#This Row],[REAJUSTADO]]/25000</f>
        <v>1.2</v>
      </c>
      <c r="BG416" s="302">
        <f>Tabla14[[#This Row],[REAJUSTADO]]*Tabla14[[#This Row],[Personas Rechazo]]</f>
        <v>330000</v>
      </c>
      <c r="BH416" s="292" t="str">
        <f>Tabla14[[#This Row],[Finca]]</f>
        <v>Pedrito</v>
      </c>
      <c r="BJ416" s="332">
        <f>Tabla14[[#This Row],[Numero de Ocacionales]]*Tabla14[[#This Row],[REAJUSTADO]]</f>
        <v>0</v>
      </c>
      <c r="BK416" s="332"/>
      <c r="BL416" s="332"/>
      <c r="BM416" s="332">
        <f>+Tabla14[[#This Row],[CUANTO SE REAJUSTA]]*3</f>
        <v>-30310.104545454538</v>
      </c>
    </row>
    <row r="417" spans="3:65" x14ac:dyDescent="0.25">
      <c r="C417" s="515">
        <v>45146</v>
      </c>
      <c r="D417" s="549">
        <f>YEAR(Tabla14[[#This Row],[Fecha]])</f>
        <v>2023</v>
      </c>
      <c r="E417" s="516">
        <f>IF(Tabla14[[#This Row],[Fecha]]&gt;0,_xlfn.ISOWEEKNUM(Tabla14[[#This Row],[Fecha]]),0)</f>
        <v>32</v>
      </c>
      <c r="F417" s="283">
        <v>216</v>
      </c>
      <c r="G417" s="275" t="s">
        <v>259</v>
      </c>
      <c r="H417" s="325" t="str">
        <f>_xlfn.XLOOKUP(Tabla14[[#This Row],[Codigo Finca]],Tabla4[Codigo Finca],Tabla4[Nombre Finca],"")</f>
        <v>San Pedro</v>
      </c>
      <c r="I417" s="277">
        <f>_xlfn.XLOOKUP(Tabla14[[#This Row],[Codigo Finca]],Tabla4[Codigo Finca],Tabla4[Precio Caja],0)</f>
        <v>1800</v>
      </c>
      <c r="J417" s="277">
        <f>_xlfn.XLOOKUP(Tabla14[[#This Row],[Codigo Finca]],Tabla4[Codigo Finca],Tabla4[Precio Caja Segunda],0)</f>
        <v>1150</v>
      </c>
      <c r="K417" s="277">
        <f>_xlfn.XLOOKUP(Tabla14[[#This Row],[Codigo Finca]],Tabla4[Codigo Finca],Tabla4[Precio Rechazo],0)</f>
        <v>575</v>
      </c>
      <c r="L417" s="277">
        <f t="shared" si="426"/>
        <v>881</v>
      </c>
      <c r="M417" s="278">
        <f t="shared" si="427"/>
        <v>4.0787037037037033</v>
      </c>
      <c r="N417" s="283"/>
      <c r="O417" s="279"/>
      <c r="P417" s="280">
        <f t="shared" si="428"/>
        <v>0</v>
      </c>
      <c r="Q417" s="281">
        <f t="shared" si="429"/>
        <v>0</v>
      </c>
      <c r="R417" s="282">
        <f t="shared" si="430"/>
        <v>0</v>
      </c>
      <c r="S417" s="283">
        <v>881</v>
      </c>
      <c r="T417" s="275">
        <v>12</v>
      </c>
      <c r="U417" s="280">
        <f t="shared" si="431"/>
        <v>216</v>
      </c>
      <c r="V417" s="281">
        <f t="shared" si="432"/>
        <v>18</v>
      </c>
      <c r="W417" s="282">
        <f t="shared" si="433"/>
        <v>32400</v>
      </c>
      <c r="X417" s="283"/>
      <c r="Y417" s="275"/>
      <c r="Z417" s="280">
        <f>Tabla14[[#This Row],[Cajas Segunda]]</f>
        <v>0</v>
      </c>
      <c r="AA417" s="281">
        <f t="shared" si="434"/>
        <v>0</v>
      </c>
      <c r="AB417" s="284">
        <f t="shared" si="435"/>
        <v>0</v>
      </c>
      <c r="AC417" s="285"/>
      <c r="AD417" s="286">
        <v>1102</v>
      </c>
      <c r="AE417" s="286"/>
      <c r="AF417" s="286"/>
      <c r="AG417" s="286">
        <v>12</v>
      </c>
      <c r="AH417" s="280">
        <f t="shared" si="436"/>
        <v>44.08</v>
      </c>
      <c r="AI417" s="281">
        <f t="shared" si="437"/>
        <v>3.6733333333333333</v>
      </c>
      <c r="AJ417" s="282">
        <f t="shared" si="438"/>
        <v>2112.1666666666665</v>
      </c>
      <c r="AK417" s="287">
        <f>Tabla14[[#This Row],[Cajas por Personas]]</f>
        <v>0</v>
      </c>
      <c r="AL417" s="288">
        <f>Tabla14[[#This Row],[Valor Precorte Pesona]]</f>
        <v>0</v>
      </c>
      <c r="AM417" s="294">
        <f>Tabla14[[#This Row],[Personas Precorte]]</f>
        <v>0</v>
      </c>
      <c r="AN417" s="308">
        <f>Tabla14[[#This Row],[Valor Precorte Pesona Precorte]]*Tabla14[[#This Row],[Perzonas Precorte]]</f>
        <v>0</v>
      </c>
      <c r="AO417" s="287">
        <f>Tabla14[[#This Row],[Cajas por Personas2]]</f>
        <v>18</v>
      </c>
      <c r="AP417" s="288">
        <f>Tabla14[[#This Row],[Valor Embarque Pesona]]</f>
        <v>32400</v>
      </c>
      <c r="AQ417" s="295">
        <f>Tabla14[[#This Row],[Personas Precorte2]]</f>
        <v>12</v>
      </c>
      <c r="AR417" s="296">
        <f>Tabla14[[#This Row],[Valor Embarque Pesona3]]*Tabla14[[#This Row],[Perzona Primera]]</f>
        <v>388800</v>
      </c>
      <c r="AS417" s="287">
        <f>Tabla14[[#This Row],[Columna2]]</f>
        <v>0</v>
      </c>
      <c r="AT417" s="288">
        <f>Tabla14[[#This Row],[Columna1]]</f>
        <v>0</v>
      </c>
      <c r="AU417" s="302">
        <f>Tabla14[[#This Row],[Personas Intervienen]]</f>
        <v>0</v>
      </c>
      <c r="AV417" s="297">
        <f>Tabla14[[#This Row],[Valor Embarque Pesona5]]*Tabla14[[#This Row],[Presonas Segunda]]</f>
        <v>0</v>
      </c>
      <c r="AW417" s="287">
        <f>Tabla14[[#This Row],[Bolsas Por Personas]]</f>
        <v>3.6733333333333333</v>
      </c>
      <c r="AX417" s="288">
        <f>Tabla14[[#This Row],[Valor bolsas Pesona]]</f>
        <v>2112.1666666666665</v>
      </c>
      <c r="AY417" s="309">
        <f>Tabla14[[#This Row],[Personas13]]</f>
        <v>12</v>
      </c>
      <c r="AZ417" s="310">
        <f>Tabla14[[#This Row],[Valor bolsas Pesona2]]*Tabla14[[#This Row],[Personas Rechazo]]</f>
        <v>25346</v>
      </c>
      <c r="BA417" s="311">
        <f>+Tabla14[[#This Row],[Total Valor Segunda]]+Tabla14[[#This Row],[Total Valor Primera]]+Tabla14[[#This Row],[Total Valor Precorte]]</f>
        <v>388800</v>
      </c>
      <c r="BB417" s="540">
        <f>Tabla14[[#This Row],[Valor bolsas Pesona2]]+Tabla14[[#This Row],[Valor Embarque Pesona3]]</f>
        <v>34512.166666666664</v>
      </c>
      <c r="BC417" s="541">
        <v>36850</v>
      </c>
      <c r="BD417" s="540">
        <f>Tabla14[[#This Row],[VALOR GANADO]]-Tabla14[[#This Row],[REAJUSTADO]]</f>
        <v>-2337.8333333333358</v>
      </c>
      <c r="BE417" s="250">
        <f>Tabla14[[#This Row],[CUANTO SE REAJUSTA]]*Tabla14[[#This Row],[Personas Rechazo]]</f>
        <v>-28054.000000000029</v>
      </c>
      <c r="BF417" s="250">
        <f>Tabla14[[#This Row],[REAJUSTADO]]/25000</f>
        <v>1.474</v>
      </c>
      <c r="BG417" s="302">
        <f>Tabla14[[#This Row],[REAJUSTADO]]*Tabla14[[#This Row],[Personas Rechazo]]</f>
        <v>442200</v>
      </c>
      <c r="BH417" s="292" t="str">
        <f>Tabla14[[#This Row],[Finca]]</f>
        <v>San Pedro</v>
      </c>
      <c r="BJ417" s="332">
        <f>Tabla14[[#This Row],[Numero de Ocacionales]]*Tabla14[[#This Row],[REAJUSTADO]]</f>
        <v>0</v>
      </c>
      <c r="BK417" s="332"/>
      <c r="BL417" s="332"/>
      <c r="BM417" s="332">
        <f>+Tabla14[[#This Row],[CUANTO SE REAJUSTA]]*3</f>
        <v>-7013.5000000000073</v>
      </c>
    </row>
    <row r="418" spans="3:65" x14ac:dyDescent="0.25">
      <c r="C418" s="515">
        <v>45146</v>
      </c>
      <c r="D418" s="549">
        <f>YEAR(Tabla14[[#This Row],[Fecha]])</f>
        <v>2023</v>
      </c>
      <c r="E418" s="516">
        <f>IF(Tabla14[[#This Row],[Fecha]]&gt;0,_xlfn.ISOWEEKNUM(Tabla14[[#This Row],[Fecha]]),0)</f>
        <v>32</v>
      </c>
      <c r="F418" s="283">
        <v>18</v>
      </c>
      <c r="G418" s="275" t="s">
        <v>248</v>
      </c>
      <c r="H418" s="325" t="str">
        <f>_xlfn.XLOOKUP(Tabla14[[#This Row],[Codigo Finca]],Tabla4[Codigo Finca],Tabla4[Nombre Finca],"")</f>
        <v>Damaquiel</v>
      </c>
      <c r="I418" s="277">
        <f>_xlfn.XLOOKUP(Tabla14[[#This Row],[Codigo Finca]],Tabla4[Codigo Finca],Tabla4[Precio Caja],0)</f>
        <v>1800</v>
      </c>
      <c r="J418" s="277">
        <f>_xlfn.XLOOKUP(Tabla14[[#This Row],[Codigo Finca]],Tabla4[Codigo Finca],Tabla4[Precio Caja Segunda],0)</f>
        <v>1150</v>
      </c>
      <c r="K418" s="277">
        <f>_xlfn.XLOOKUP(Tabla14[[#This Row],[Codigo Finca]],Tabla4[Codigo Finca],Tabla4[Precio Rechazo],0)</f>
        <v>575</v>
      </c>
      <c r="L418" s="277">
        <f t="shared" si="426"/>
        <v>194</v>
      </c>
      <c r="M418" s="278">
        <f t="shared" si="427"/>
        <v>10.777777777777779</v>
      </c>
      <c r="N418" s="283"/>
      <c r="O418" s="279"/>
      <c r="P418" s="280">
        <f t="shared" si="428"/>
        <v>0</v>
      </c>
      <c r="Q418" s="281">
        <f t="shared" si="429"/>
        <v>0</v>
      </c>
      <c r="R418" s="282">
        <f t="shared" si="430"/>
        <v>0</v>
      </c>
      <c r="S418" s="283">
        <v>194</v>
      </c>
      <c r="T418" s="275">
        <v>3</v>
      </c>
      <c r="U418" s="280">
        <f t="shared" si="431"/>
        <v>18</v>
      </c>
      <c r="V418" s="281">
        <f t="shared" si="432"/>
        <v>6</v>
      </c>
      <c r="W418" s="282">
        <f t="shared" si="433"/>
        <v>10800</v>
      </c>
      <c r="X418" s="283"/>
      <c r="Y418" s="275"/>
      <c r="Z418" s="280">
        <f>Tabla14[[#This Row],[Cajas Segunda]]</f>
        <v>0</v>
      </c>
      <c r="AA418" s="281">
        <f t="shared" si="434"/>
        <v>0</v>
      </c>
      <c r="AB418" s="284">
        <f t="shared" si="435"/>
        <v>0</v>
      </c>
      <c r="AC418" s="285"/>
      <c r="AD418" s="286">
        <v>906</v>
      </c>
      <c r="AE418" s="286"/>
      <c r="AF418" s="286"/>
      <c r="AG418" s="286">
        <v>3</v>
      </c>
      <c r="AH418" s="280">
        <f t="shared" si="436"/>
        <v>36.24</v>
      </c>
      <c r="AI418" s="281">
        <f t="shared" si="437"/>
        <v>12.08</v>
      </c>
      <c r="AJ418" s="282">
        <f t="shared" si="438"/>
        <v>6946</v>
      </c>
      <c r="AK418" s="287">
        <f>Tabla14[[#This Row],[Cajas por Personas]]</f>
        <v>0</v>
      </c>
      <c r="AL418" s="288">
        <f>Tabla14[[#This Row],[Valor Precorte Pesona]]</f>
        <v>0</v>
      </c>
      <c r="AM418" s="294">
        <f>Tabla14[[#This Row],[Personas Precorte]]</f>
        <v>0</v>
      </c>
      <c r="AN418" s="308">
        <f>Tabla14[[#This Row],[Valor Precorte Pesona Precorte]]*Tabla14[[#This Row],[Perzonas Precorte]]</f>
        <v>0</v>
      </c>
      <c r="AO418" s="287">
        <f>Tabla14[[#This Row],[Cajas por Personas2]]</f>
        <v>6</v>
      </c>
      <c r="AP418" s="288">
        <f>Tabla14[[#This Row],[Valor Embarque Pesona]]</f>
        <v>10800</v>
      </c>
      <c r="AQ418" s="295">
        <f>Tabla14[[#This Row],[Personas Precorte2]]</f>
        <v>3</v>
      </c>
      <c r="AR418" s="296">
        <f>Tabla14[[#This Row],[Valor Embarque Pesona3]]*Tabla14[[#This Row],[Perzona Primera]]</f>
        <v>32400</v>
      </c>
      <c r="AS418" s="287">
        <f>Tabla14[[#This Row],[Columna2]]</f>
        <v>0</v>
      </c>
      <c r="AT418" s="288">
        <f>Tabla14[[#This Row],[Columna1]]</f>
        <v>0</v>
      </c>
      <c r="AU418" s="302">
        <f>Tabla14[[#This Row],[Personas Intervienen]]</f>
        <v>0</v>
      </c>
      <c r="AV418" s="297">
        <f>Tabla14[[#This Row],[Valor Embarque Pesona5]]*Tabla14[[#This Row],[Presonas Segunda]]</f>
        <v>0</v>
      </c>
      <c r="AW418" s="287">
        <f>Tabla14[[#This Row],[Bolsas Por Personas]]</f>
        <v>12.08</v>
      </c>
      <c r="AX418" s="288">
        <f>Tabla14[[#This Row],[Valor bolsas Pesona]]</f>
        <v>6946</v>
      </c>
      <c r="AY418" s="309">
        <f>Tabla14[[#This Row],[Personas13]]</f>
        <v>3</v>
      </c>
      <c r="AZ418" s="310">
        <f>Tabla14[[#This Row],[Valor bolsas Pesona2]]*Tabla14[[#This Row],[Personas Rechazo]]</f>
        <v>20838</v>
      </c>
      <c r="BA418" s="311">
        <f>+Tabla14[[#This Row],[Total Valor Segunda]]+Tabla14[[#This Row],[Total Valor Primera]]+Tabla14[[#This Row],[Total Valor Precorte]]</f>
        <v>32400</v>
      </c>
      <c r="BB418" s="292">
        <f>Tabla14[[#This Row],[Valor bolsas Pesona2]]+Tabla14[[#This Row],[Valor Embarque Pesona3]]</f>
        <v>17746</v>
      </c>
      <c r="BC418" s="332">
        <v>30000</v>
      </c>
      <c r="BD418" s="292">
        <f>Tabla14[[#This Row],[VALOR GANADO]]-Tabla14[[#This Row],[REAJUSTADO]]</f>
        <v>-12254</v>
      </c>
      <c r="BE418" s="250">
        <f>Tabla14[[#This Row],[CUANTO SE REAJUSTA]]*Tabla14[[#This Row],[Personas Rechazo]]</f>
        <v>-36762</v>
      </c>
      <c r="BF418" s="250">
        <f>Tabla14[[#This Row],[REAJUSTADO]]/25000</f>
        <v>1.2</v>
      </c>
      <c r="BG418" s="302">
        <f>Tabla14[[#This Row],[REAJUSTADO]]*Tabla14[[#This Row],[Personas Rechazo]]</f>
        <v>90000</v>
      </c>
      <c r="BH418" s="292" t="str">
        <f>Tabla14[[#This Row],[Finca]]</f>
        <v>Damaquiel</v>
      </c>
      <c r="BJ418" s="332">
        <f>Tabla14[[#This Row],[Numero de Ocacionales]]*Tabla14[[#This Row],[REAJUSTADO]]</f>
        <v>0</v>
      </c>
      <c r="BK418" s="332"/>
      <c r="BL418" s="332"/>
      <c r="BM418" s="332">
        <f>+Tabla14[[#This Row],[CUANTO SE REAJUSTA]]*3</f>
        <v>-36762</v>
      </c>
    </row>
    <row r="419" spans="3:65" x14ac:dyDescent="0.25">
      <c r="C419" s="515">
        <v>45146</v>
      </c>
      <c r="D419" s="549">
        <f>YEAR(Tabla14[[#This Row],[Fecha]])</f>
        <v>2023</v>
      </c>
      <c r="E419" s="516">
        <f>IF(Tabla14[[#This Row],[Fecha]]&gt;0,_xlfn.ISOWEEKNUM(Tabla14[[#This Row],[Fecha]]),0)</f>
        <v>32</v>
      </c>
      <c r="F419" s="283">
        <v>14</v>
      </c>
      <c r="G419" s="275" t="s">
        <v>249</v>
      </c>
      <c r="H419" s="325" t="str">
        <f>_xlfn.XLOOKUP(Tabla14[[#This Row],[Codigo Finca]],Tabla4[Codigo Finca],Tabla4[Nombre Finca],"")</f>
        <v>San Pedro</v>
      </c>
      <c r="I419" s="277">
        <f>_xlfn.XLOOKUP(Tabla14[[#This Row],[Codigo Finca]],Tabla4[Codigo Finca],Tabla4[Precio Caja],0)</f>
        <v>2000</v>
      </c>
      <c r="J419" s="277">
        <f>_xlfn.XLOOKUP(Tabla14[[#This Row],[Codigo Finca]],Tabla4[Codigo Finca],Tabla4[Precio Caja Segunda],0)</f>
        <v>1150</v>
      </c>
      <c r="K419" s="277">
        <f>_xlfn.XLOOKUP(Tabla14[[#This Row],[Codigo Finca]],Tabla4[Codigo Finca],Tabla4[Precio Rechazo],0)</f>
        <v>675</v>
      </c>
      <c r="L419" s="277">
        <f t="shared" si="426"/>
        <v>0</v>
      </c>
      <c r="M419" s="278">
        <f t="shared" si="427"/>
        <v>0</v>
      </c>
      <c r="N419" s="283"/>
      <c r="O419" s="279"/>
      <c r="P419" s="280">
        <f t="shared" si="428"/>
        <v>0</v>
      </c>
      <c r="Q419" s="281">
        <f t="shared" si="429"/>
        <v>0</v>
      </c>
      <c r="R419" s="282">
        <f t="shared" si="430"/>
        <v>0</v>
      </c>
      <c r="S419" s="283"/>
      <c r="T419" s="275">
        <v>12</v>
      </c>
      <c r="U419" s="280">
        <f t="shared" si="431"/>
        <v>14</v>
      </c>
      <c r="V419" s="281">
        <f t="shared" si="432"/>
        <v>1.1666666666666667</v>
      </c>
      <c r="W419" s="282">
        <f t="shared" si="433"/>
        <v>2333.3333333333335</v>
      </c>
      <c r="X419" s="283"/>
      <c r="Y419" s="275"/>
      <c r="Z419" s="280">
        <f>Tabla14[[#This Row],[Cajas Segunda]]</f>
        <v>0</v>
      </c>
      <c r="AA419" s="281">
        <f t="shared" si="434"/>
        <v>0</v>
      </c>
      <c r="AB419" s="284">
        <f t="shared" si="435"/>
        <v>0</v>
      </c>
      <c r="AC419" s="285"/>
      <c r="AD419" s="286"/>
      <c r="AE419" s="286"/>
      <c r="AF419" s="286"/>
      <c r="AG419" s="286"/>
      <c r="AH419" s="280">
        <f t="shared" si="436"/>
        <v>0</v>
      </c>
      <c r="AI419" s="281">
        <f t="shared" si="437"/>
        <v>0</v>
      </c>
      <c r="AJ419" s="282">
        <f t="shared" si="438"/>
        <v>0</v>
      </c>
      <c r="AK419" s="287">
        <f>Tabla14[[#This Row],[Cajas por Personas]]</f>
        <v>0</v>
      </c>
      <c r="AL419" s="288">
        <f>Tabla14[[#This Row],[Valor Precorte Pesona]]</f>
        <v>0</v>
      </c>
      <c r="AM419" s="294">
        <f>Tabla14[[#This Row],[Personas Precorte]]</f>
        <v>0</v>
      </c>
      <c r="AN419" s="308">
        <f>Tabla14[[#This Row],[Valor Precorte Pesona Precorte]]*Tabla14[[#This Row],[Perzonas Precorte]]</f>
        <v>0</v>
      </c>
      <c r="AO419" s="287">
        <f>Tabla14[[#This Row],[Cajas por Personas2]]</f>
        <v>1.1666666666666667</v>
      </c>
      <c r="AP419" s="288">
        <f>Tabla14[[#This Row],[Valor Embarque Pesona]]</f>
        <v>2333.3333333333335</v>
      </c>
      <c r="AQ419" s="295">
        <f>Tabla14[[#This Row],[Personas Precorte2]]</f>
        <v>12</v>
      </c>
      <c r="AR419" s="296">
        <f>Tabla14[[#This Row],[Valor Embarque Pesona3]]*Tabla14[[#This Row],[Perzona Primera]]</f>
        <v>28000</v>
      </c>
      <c r="AS419" s="287">
        <f>Tabla14[[#This Row],[Columna2]]</f>
        <v>0</v>
      </c>
      <c r="AT419" s="288">
        <f>Tabla14[[#This Row],[Columna1]]</f>
        <v>0</v>
      </c>
      <c r="AU419" s="302">
        <f>Tabla14[[#This Row],[Personas Intervienen]]</f>
        <v>0</v>
      </c>
      <c r="AV419" s="297">
        <f>Tabla14[[#This Row],[Valor Embarque Pesona5]]*Tabla14[[#This Row],[Presonas Segunda]]</f>
        <v>0</v>
      </c>
      <c r="AW419" s="287">
        <f>Tabla14[[#This Row],[Bolsas Por Personas]]</f>
        <v>0</v>
      </c>
      <c r="AX419" s="288">
        <f>Tabla14[[#This Row],[Valor bolsas Pesona]]</f>
        <v>0</v>
      </c>
      <c r="AY419" s="309">
        <f>Tabla14[[#This Row],[Personas13]]</f>
        <v>0</v>
      </c>
      <c r="AZ419" s="310">
        <f>Tabla14[[#This Row],[Valor bolsas Pesona2]]*Tabla14[[#This Row],[Personas Rechazo]]</f>
        <v>0</v>
      </c>
      <c r="BA419" s="311">
        <f>+Tabla14[[#This Row],[Total Valor Segunda]]+Tabla14[[#This Row],[Total Valor Primera]]+Tabla14[[#This Row],[Total Valor Precorte]]</f>
        <v>28000</v>
      </c>
      <c r="BB419" s="540">
        <f>Tabla14[[#This Row],[Valor bolsas Pesona2]]+Tabla14[[#This Row],[Valor Embarque Pesona3]]</f>
        <v>2333.3333333333335</v>
      </c>
      <c r="BC419" s="540"/>
      <c r="BD419" s="540">
        <f>Tabla14[[#This Row],[VALOR GANADO]]-Tabla14[[#This Row],[REAJUSTADO]]</f>
        <v>2333.3333333333335</v>
      </c>
      <c r="BE419" s="250">
        <f>Tabla14[[#This Row],[CUANTO SE REAJUSTA]]*Tabla14[[#This Row],[Personas Rechazo]]</f>
        <v>0</v>
      </c>
      <c r="BF419" s="250">
        <f>Tabla14[[#This Row],[REAJUSTADO]]/25000</f>
        <v>0</v>
      </c>
      <c r="BG419" s="302">
        <f>Tabla14[[#This Row],[REAJUSTADO]]*Tabla14[[#This Row],[Personas Rechazo]]</f>
        <v>0</v>
      </c>
      <c r="BH419" s="292" t="str">
        <f>Tabla14[[#This Row],[Finca]]</f>
        <v>San Pedro</v>
      </c>
      <c r="BJ419" s="332">
        <f>Tabla14[[#This Row],[Numero de Ocacionales]]*Tabla14[[#This Row],[REAJUSTADO]]</f>
        <v>0</v>
      </c>
      <c r="BK419" s="332"/>
      <c r="BL419" s="332"/>
      <c r="BM419" s="332">
        <f>+Tabla14[[#This Row],[CUANTO SE REAJUSTA]]*3</f>
        <v>7000</v>
      </c>
    </row>
    <row r="420" spans="3:65" x14ac:dyDescent="0.25">
      <c r="C420" s="515">
        <v>45147</v>
      </c>
      <c r="D420" s="549">
        <f>YEAR(Tabla14[[#This Row],[Fecha]])</f>
        <v>2023</v>
      </c>
      <c r="E420" s="516">
        <f>IF(Tabla14[[#This Row],[Fecha]]&gt;0,_xlfn.ISOWEEKNUM(Tabla14[[#This Row],[Fecha]]),0)</f>
        <v>32</v>
      </c>
      <c r="F420" s="283">
        <v>4</v>
      </c>
      <c r="G420" s="275" t="s">
        <v>266</v>
      </c>
      <c r="H420" s="325" t="str">
        <f>_xlfn.XLOOKUP(Tabla14[[#This Row],[Codigo Finca]],Tabla4[Codigo Finca],Tabla4[Nombre Finca],"")</f>
        <v>Uveros</v>
      </c>
      <c r="I420" s="277">
        <f>_xlfn.XLOOKUP(Tabla14[[#This Row],[Codigo Finca]],Tabla4[Codigo Finca],Tabla4[Precio Caja],0)</f>
        <v>1800</v>
      </c>
      <c r="J420" s="277">
        <f>_xlfn.XLOOKUP(Tabla14[[#This Row],[Codigo Finca]],Tabla4[Codigo Finca],Tabla4[Precio Caja Segunda],0)</f>
        <v>1150</v>
      </c>
      <c r="K420" s="277">
        <f>_xlfn.XLOOKUP(Tabla14[[#This Row],[Codigo Finca]],Tabla4[Codigo Finca],Tabla4[Precio Rechazo],0)</f>
        <v>575</v>
      </c>
      <c r="L420" s="277">
        <f t="shared" si="426"/>
        <v>0</v>
      </c>
      <c r="M420" s="278">
        <f t="shared" si="427"/>
        <v>0</v>
      </c>
      <c r="N420" s="283"/>
      <c r="O420" s="279"/>
      <c r="P420" s="280">
        <f t="shared" si="428"/>
        <v>0</v>
      </c>
      <c r="Q420" s="281">
        <f t="shared" si="429"/>
        <v>0</v>
      </c>
      <c r="R420" s="282">
        <f t="shared" si="430"/>
        <v>0</v>
      </c>
      <c r="S420" s="283"/>
      <c r="T420" s="275"/>
      <c r="U420" s="280">
        <f t="shared" si="431"/>
        <v>4</v>
      </c>
      <c r="V420" s="281">
        <f t="shared" si="432"/>
        <v>0</v>
      </c>
      <c r="W420" s="282">
        <f t="shared" si="433"/>
        <v>0</v>
      </c>
      <c r="X420" s="283"/>
      <c r="Y420" s="275"/>
      <c r="Z420" s="280">
        <f>Tabla14[[#This Row],[Cajas Segunda]]</f>
        <v>0</v>
      </c>
      <c r="AA420" s="281">
        <f t="shared" si="434"/>
        <v>0</v>
      </c>
      <c r="AB420" s="284">
        <f t="shared" si="435"/>
        <v>0</v>
      </c>
      <c r="AC420" s="285"/>
      <c r="AD420" s="286">
        <v>238</v>
      </c>
      <c r="AE420" s="286"/>
      <c r="AF420" s="286"/>
      <c r="AG420" s="286"/>
      <c r="AH420" s="280">
        <f t="shared" si="436"/>
        <v>9.52</v>
      </c>
      <c r="AI420" s="281">
        <f t="shared" si="437"/>
        <v>0</v>
      </c>
      <c r="AJ420" s="282">
        <f t="shared" si="438"/>
        <v>0</v>
      </c>
      <c r="AK420" s="287">
        <f>Tabla14[[#This Row],[Cajas por Personas]]</f>
        <v>0</v>
      </c>
      <c r="AL420" s="288">
        <f>Tabla14[[#This Row],[Valor Precorte Pesona]]</f>
        <v>0</v>
      </c>
      <c r="AM420" s="294">
        <f>Tabla14[[#This Row],[Personas Precorte]]</f>
        <v>0</v>
      </c>
      <c r="AN420" s="308">
        <f>Tabla14[[#This Row],[Valor Precorte Pesona Precorte]]*Tabla14[[#This Row],[Perzonas Precorte]]</f>
        <v>0</v>
      </c>
      <c r="AO420" s="287">
        <f>Tabla14[[#This Row],[Cajas por Personas2]]</f>
        <v>0</v>
      </c>
      <c r="AP420" s="288">
        <f>Tabla14[[#This Row],[Valor Embarque Pesona]]</f>
        <v>0</v>
      </c>
      <c r="AQ420" s="295">
        <f>Tabla14[[#This Row],[Personas Precorte2]]</f>
        <v>0</v>
      </c>
      <c r="AR420" s="296">
        <f>Tabla14[[#This Row],[Valor Embarque Pesona3]]*Tabla14[[#This Row],[Perzona Primera]]</f>
        <v>0</v>
      </c>
      <c r="AS420" s="287">
        <f>Tabla14[[#This Row],[Columna2]]</f>
        <v>0</v>
      </c>
      <c r="AT420" s="288">
        <f>Tabla14[[#This Row],[Columna1]]</f>
        <v>0</v>
      </c>
      <c r="AU420" s="302">
        <f>Tabla14[[#This Row],[Personas Intervienen]]</f>
        <v>0</v>
      </c>
      <c r="AV420" s="297">
        <f>Tabla14[[#This Row],[Valor Embarque Pesona5]]*Tabla14[[#This Row],[Presonas Segunda]]</f>
        <v>0</v>
      </c>
      <c r="AW420" s="287">
        <f>Tabla14[[#This Row],[Bolsas Por Personas]]</f>
        <v>0</v>
      </c>
      <c r="AX420" s="288">
        <f>Tabla14[[#This Row],[Valor bolsas Pesona]]</f>
        <v>0</v>
      </c>
      <c r="AY420" s="309">
        <f>Tabla14[[#This Row],[Personas13]]</f>
        <v>0</v>
      </c>
      <c r="AZ420" s="310">
        <f>Tabla14[[#This Row],[Valor bolsas Pesona2]]*Tabla14[[#This Row],[Personas Rechazo]]</f>
        <v>0</v>
      </c>
      <c r="BA420" s="311">
        <f>+Tabla14[[#This Row],[Total Valor Segunda]]+Tabla14[[#This Row],[Total Valor Primera]]+Tabla14[[#This Row],[Total Valor Precorte]]</f>
        <v>0</v>
      </c>
      <c r="BB420" s="292">
        <f>Tabla14[[#This Row],[Valor bolsas Pesona2]]+Tabla14[[#This Row],[Valor Embarque Pesona3]]</f>
        <v>0</v>
      </c>
      <c r="BC420" s="332">
        <v>30000</v>
      </c>
      <c r="BD420" s="292">
        <f>Tabla14[[#This Row],[VALOR GANADO]]-Tabla14[[#This Row],[REAJUSTADO]]</f>
        <v>-30000</v>
      </c>
      <c r="BE420" s="250">
        <f>Tabla14[[#This Row],[CUANTO SE REAJUSTA]]*Tabla14[[#This Row],[Personas Rechazo]]</f>
        <v>0</v>
      </c>
      <c r="BF420" s="250">
        <f>Tabla14[[#This Row],[REAJUSTADO]]/25000</f>
        <v>1.2</v>
      </c>
      <c r="BG420" s="302">
        <f>Tabla14[[#This Row],[REAJUSTADO]]*Tabla14[[#This Row],[Personas Rechazo]]</f>
        <v>0</v>
      </c>
      <c r="BH420" s="292" t="str">
        <f>Tabla14[[#This Row],[Finca]]</f>
        <v>Uveros</v>
      </c>
      <c r="BJ420" s="332">
        <f>Tabla14[[#This Row],[Numero de Ocacionales]]*Tabla14[[#This Row],[REAJUSTADO]]</f>
        <v>0</v>
      </c>
      <c r="BK420" s="332"/>
      <c r="BL420" s="332"/>
      <c r="BM420" s="332">
        <f>+Tabla14[[#This Row],[CUANTO SE REAJUSTA]]*3</f>
        <v>-90000</v>
      </c>
    </row>
    <row r="421" spans="3:65" x14ac:dyDescent="0.25">
      <c r="C421" s="515">
        <v>45147</v>
      </c>
      <c r="D421" s="549">
        <f>YEAR(Tabla14[[#This Row],[Fecha]])</f>
        <v>2023</v>
      </c>
      <c r="E421" s="516">
        <f>IF(Tabla14[[#This Row],[Fecha]]&gt;0,_xlfn.ISOWEEKNUM(Tabla14[[#This Row],[Fecha]]),0)</f>
        <v>32</v>
      </c>
      <c r="F421" s="283">
        <v>201</v>
      </c>
      <c r="G421" s="275" t="s">
        <v>251</v>
      </c>
      <c r="H421" s="325" t="str">
        <f>_xlfn.XLOOKUP(Tabla14[[#This Row],[Codigo Finca]],Tabla4[Codigo Finca],Tabla4[Nombre Finca],"")</f>
        <v>Pedrito</v>
      </c>
      <c r="I421" s="277">
        <f>_xlfn.XLOOKUP(Tabla14[[#This Row],[Codigo Finca]],Tabla4[Codigo Finca],Tabla4[Precio Caja],0)</f>
        <v>1800</v>
      </c>
      <c r="J421" s="277">
        <f>_xlfn.XLOOKUP(Tabla14[[#This Row],[Codigo Finca]],Tabla4[Codigo Finca],Tabla4[Precio Caja Segunda],0)</f>
        <v>1150</v>
      </c>
      <c r="K421" s="277">
        <f>_xlfn.XLOOKUP(Tabla14[[#This Row],[Codigo Finca]],Tabla4[Codigo Finca],Tabla4[Precio Rechazo],0)</f>
        <v>575</v>
      </c>
      <c r="L421" s="277">
        <f t="shared" si="426"/>
        <v>0</v>
      </c>
      <c r="M421" s="278">
        <f t="shared" si="427"/>
        <v>0</v>
      </c>
      <c r="N421" s="283"/>
      <c r="O421" s="279"/>
      <c r="P421" s="280">
        <f t="shared" si="428"/>
        <v>0</v>
      </c>
      <c r="Q421" s="281">
        <f t="shared" si="429"/>
        <v>0</v>
      </c>
      <c r="R421" s="282">
        <f t="shared" si="430"/>
        <v>0</v>
      </c>
      <c r="S421" s="283"/>
      <c r="T421" s="275">
        <v>17</v>
      </c>
      <c r="U421" s="280">
        <f t="shared" si="431"/>
        <v>201</v>
      </c>
      <c r="V421" s="281">
        <f t="shared" si="432"/>
        <v>11.823529411764707</v>
      </c>
      <c r="W421" s="282">
        <f t="shared" si="433"/>
        <v>21282.352941176472</v>
      </c>
      <c r="X421" s="283"/>
      <c r="Y421" s="275"/>
      <c r="Z421" s="280">
        <f>Tabla14[[#This Row],[Cajas Segunda]]</f>
        <v>0</v>
      </c>
      <c r="AA421" s="281">
        <f t="shared" si="434"/>
        <v>0</v>
      </c>
      <c r="AB421" s="284">
        <f t="shared" si="435"/>
        <v>0</v>
      </c>
      <c r="AC421" s="285"/>
      <c r="AD421" s="286">
        <v>1520</v>
      </c>
      <c r="AE421" s="286"/>
      <c r="AF421" s="286"/>
      <c r="AG421" s="286">
        <v>17</v>
      </c>
      <c r="AH421" s="280">
        <f t="shared" si="436"/>
        <v>60.8</v>
      </c>
      <c r="AI421" s="281">
        <f t="shared" si="437"/>
        <v>3.5764705882352938</v>
      </c>
      <c r="AJ421" s="282">
        <f t="shared" si="438"/>
        <v>2056.4705882352941</v>
      </c>
      <c r="AK421" s="287">
        <f>Tabla14[[#This Row],[Cajas por Personas]]</f>
        <v>0</v>
      </c>
      <c r="AL421" s="288">
        <f>Tabla14[[#This Row],[Valor Precorte Pesona]]</f>
        <v>0</v>
      </c>
      <c r="AM421" s="294">
        <f>Tabla14[[#This Row],[Personas Precorte]]</f>
        <v>0</v>
      </c>
      <c r="AN421" s="308">
        <f>Tabla14[[#This Row],[Valor Precorte Pesona Precorte]]*Tabla14[[#This Row],[Perzonas Precorte]]</f>
        <v>0</v>
      </c>
      <c r="AO421" s="287">
        <f>Tabla14[[#This Row],[Cajas por Personas2]]</f>
        <v>11.823529411764707</v>
      </c>
      <c r="AP421" s="288">
        <f>Tabla14[[#This Row],[Valor Embarque Pesona]]</f>
        <v>21282.352941176472</v>
      </c>
      <c r="AQ421" s="295">
        <f>Tabla14[[#This Row],[Personas Precorte2]]</f>
        <v>17</v>
      </c>
      <c r="AR421" s="296">
        <f>Tabla14[[#This Row],[Valor Embarque Pesona3]]*Tabla14[[#This Row],[Perzona Primera]]</f>
        <v>361800</v>
      </c>
      <c r="AS421" s="287">
        <f>Tabla14[[#This Row],[Columna2]]</f>
        <v>0</v>
      </c>
      <c r="AT421" s="288">
        <f>Tabla14[[#This Row],[Columna1]]</f>
        <v>0</v>
      </c>
      <c r="AU421" s="302">
        <f>Tabla14[[#This Row],[Personas Intervienen]]</f>
        <v>0</v>
      </c>
      <c r="AV421" s="297">
        <f>Tabla14[[#This Row],[Valor Embarque Pesona5]]*Tabla14[[#This Row],[Presonas Segunda]]</f>
        <v>0</v>
      </c>
      <c r="AW421" s="287">
        <f>Tabla14[[#This Row],[Bolsas Por Personas]]</f>
        <v>3.5764705882352938</v>
      </c>
      <c r="AX421" s="288">
        <f>Tabla14[[#This Row],[Valor bolsas Pesona]]</f>
        <v>2056.4705882352941</v>
      </c>
      <c r="AY421" s="309">
        <f>Tabla14[[#This Row],[Personas13]]</f>
        <v>17</v>
      </c>
      <c r="AZ421" s="310">
        <f>Tabla14[[#This Row],[Valor bolsas Pesona2]]*Tabla14[[#This Row],[Personas Rechazo]]</f>
        <v>34960</v>
      </c>
      <c r="BA421" s="311">
        <f>+Tabla14[[#This Row],[Total Valor Segunda]]+Tabla14[[#This Row],[Total Valor Primera]]+Tabla14[[#This Row],[Total Valor Precorte]]</f>
        <v>361800</v>
      </c>
      <c r="BB421" s="292">
        <f>Tabla14[[#This Row],[Valor bolsas Pesona2]]+Tabla14[[#This Row],[Valor Embarque Pesona3]]</f>
        <v>23338.823529411766</v>
      </c>
      <c r="BC421" s="332">
        <v>30000</v>
      </c>
      <c r="BD421" s="292">
        <f>Tabla14[[#This Row],[VALOR GANADO]]-Tabla14[[#This Row],[REAJUSTADO]]</f>
        <v>-6661.1764705882342</v>
      </c>
      <c r="BE421" s="250">
        <f>Tabla14[[#This Row],[CUANTO SE REAJUSTA]]*Tabla14[[#This Row],[Personas Rechazo]]</f>
        <v>-113239.99999999999</v>
      </c>
      <c r="BF421" s="250">
        <f>Tabla14[[#This Row],[REAJUSTADO]]/25000</f>
        <v>1.2</v>
      </c>
      <c r="BG421" s="302">
        <f>Tabla14[[#This Row],[REAJUSTADO]]*Tabla14[[#This Row],[Personas Rechazo]]</f>
        <v>510000</v>
      </c>
      <c r="BH421" s="292" t="str">
        <f>Tabla14[[#This Row],[Finca]]</f>
        <v>Pedrito</v>
      </c>
      <c r="BJ421" s="332">
        <f>Tabla14[[#This Row],[Numero de Ocacionales]]*Tabla14[[#This Row],[REAJUSTADO]]</f>
        <v>0</v>
      </c>
      <c r="BK421" s="332"/>
      <c r="BL421" s="332"/>
      <c r="BM421" s="332">
        <f>+Tabla14[[#This Row],[CUANTO SE REAJUSTA]]*3</f>
        <v>-19983.529411764703</v>
      </c>
    </row>
    <row r="422" spans="3:65" x14ac:dyDescent="0.25">
      <c r="C422" s="515">
        <v>45152</v>
      </c>
      <c r="D422" s="549">
        <f>YEAR(Tabla14[[#This Row],[Fecha]])</f>
        <v>2023</v>
      </c>
      <c r="E422" s="516">
        <f>IF(Tabla14[[#This Row],[Fecha]]&gt;0,_xlfn.ISOWEEKNUM(Tabla14[[#This Row],[Fecha]]),0)</f>
        <v>33</v>
      </c>
      <c r="F422" s="283">
        <v>176</v>
      </c>
      <c r="G422" s="275" t="s">
        <v>251</v>
      </c>
      <c r="H422" s="325" t="str">
        <f>_xlfn.XLOOKUP(Tabla14[[#This Row],[Codigo Finca]],Tabla4[Codigo Finca],Tabla4[Nombre Finca],"")</f>
        <v>Pedrito</v>
      </c>
      <c r="I422" s="277">
        <f>_xlfn.XLOOKUP(Tabla14[[#This Row],[Codigo Finca]],Tabla4[Codigo Finca],Tabla4[Precio Caja],0)</f>
        <v>1800</v>
      </c>
      <c r="J422" s="277">
        <f>_xlfn.XLOOKUP(Tabla14[[#This Row],[Codigo Finca]],Tabla4[Codigo Finca],Tabla4[Precio Caja Segunda],0)</f>
        <v>1150</v>
      </c>
      <c r="K422" s="277">
        <f>_xlfn.XLOOKUP(Tabla14[[#This Row],[Codigo Finca]],Tabla4[Codigo Finca],Tabla4[Precio Rechazo],0)</f>
        <v>575</v>
      </c>
      <c r="L422" s="277">
        <f t="shared" si="426"/>
        <v>754</v>
      </c>
      <c r="M422" s="278">
        <f t="shared" si="427"/>
        <v>4.2840909090909092</v>
      </c>
      <c r="N422" s="283"/>
      <c r="O422" s="279"/>
      <c r="P422" s="280">
        <f t="shared" si="428"/>
        <v>0</v>
      </c>
      <c r="Q422" s="281">
        <f t="shared" si="429"/>
        <v>0</v>
      </c>
      <c r="R422" s="282">
        <f t="shared" si="430"/>
        <v>0</v>
      </c>
      <c r="S422" s="283">
        <v>754</v>
      </c>
      <c r="T422" s="275">
        <v>11</v>
      </c>
      <c r="U422" s="280">
        <f t="shared" si="431"/>
        <v>176</v>
      </c>
      <c r="V422" s="281">
        <f t="shared" si="432"/>
        <v>16</v>
      </c>
      <c r="W422" s="282">
        <f t="shared" si="433"/>
        <v>28800</v>
      </c>
      <c r="X422" s="283"/>
      <c r="Y422" s="275"/>
      <c r="Z422" s="280">
        <f>Tabla14[[#This Row],[Cajas Segunda]]</f>
        <v>0</v>
      </c>
      <c r="AA422" s="281">
        <f t="shared" si="434"/>
        <v>0</v>
      </c>
      <c r="AB422" s="284">
        <f t="shared" si="435"/>
        <v>0</v>
      </c>
      <c r="AC422" s="285"/>
      <c r="AD422" s="286">
        <v>1203</v>
      </c>
      <c r="AE422" s="286"/>
      <c r="AF422" s="286"/>
      <c r="AG422" s="286">
        <v>11</v>
      </c>
      <c r="AH422" s="280">
        <f t="shared" si="436"/>
        <v>48.12</v>
      </c>
      <c r="AI422" s="281">
        <f t="shared" si="437"/>
        <v>4.3745454545454541</v>
      </c>
      <c r="AJ422" s="282">
        <f t="shared" si="438"/>
        <v>2515.363636363636</v>
      </c>
      <c r="AK422" s="287">
        <f>Tabla14[[#This Row],[Cajas por Personas]]</f>
        <v>0</v>
      </c>
      <c r="AL422" s="288">
        <f>Tabla14[[#This Row],[Valor Precorte Pesona]]</f>
        <v>0</v>
      </c>
      <c r="AM422" s="294">
        <f>Tabla14[[#This Row],[Personas Precorte]]</f>
        <v>0</v>
      </c>
      <c r="AN422" s="308">
        <f>Tabla14[[#This Row],[Valor Precorte Pesona Precorte]]*Tabla14[[#This Row],[Perzonas Precorte]]</f>
        <v>0</v>
      </c>
      <c r="AO422" s="287">
        <f>Tabla14[[#This Row],[Cajas por Personas2]]</f>
        <v>16</v>
      </c>
      <c r="AP422" s="288">
        <f>Tabla14[[#This Row],[Valor Embarque Pesona]]</f>
        <v>28800</v>
      </c>
      <c r="AQ422" s="295">
        <f>Tabla14[[#This Row],[Personas Precorte2]]</f>
        <v>11</v>
      </c>
      <c r="AR422" s="296">
        <f>Tabla14[[#This Row],[Valor Embarque Pesona3]]*Tabla14[[#This Row],[Perzona Primera]]</f>
        <v>316800</v>
      </c>
      <c r="AS422" s="287">
        <f>Tabla14[[#This Row],[Columna2]]</f>
        <v>0</v>
      </c>
      <c r="AT422" s="288">
        <f>Tabla14[[#This Row],[Columna1]]</f>
        <v>0</v>
      </c>
      <c r="AU422" s="302">
        <f>Tabla14[[#This Row],[Personas Intervienen]]</f>
        <v>0</v>
      </c>
      <c r="AV422" s="297">
        <f>Tabla14[[#This Row],[Valor Embarque Pesona5]]*Tabla14[[#This Row],[Presonas Segunda]]</f>
        <v>0</v>
      </c>
      <c r="AW422" s="287">
        <f>Tabla14[[#This Row],[Bolsas Por Personas]]</f>
        <v>4.3745454545454541</v>
      </c>
      <c r="AX422" s="288">
        <f>Tabla14[[#This Row],[Valor bolsas Pesona]]</f>
        <v>2515.363636363636</v>
      </c>
      <c r="AY422" s="309">
        <f>Tabla14[[#This Row],[Personas13]]</f>
        <v>11</v>
      </c>
      <c r="AZ422" s="310">
        <f>Tabla14[[#This Row],[Valor bolsas Pesona2]]*Tabla14[[#This Row],[Personas Rechazo]]</f>
        <v>27668.999999999996</v>
      </c>
      <c r="BA422" s="311">
        <f>+Tabla14[[#This Row],[Total Valor Segunda]]+Tabla14[[#This Row],[Total Valor Primera]]+Tabla14[[#This Row],[Total Valor Precorte]]</f>
        <v>316800</v>
      </c>
      <c r="BB422" s="292">
        <f>Tabla14[[#This Row],[Valor bolsas Pesona2]]+Tabla14[[#This Row],[Valor Embarque Pesona3]]</f>
        <v>31315.363636363636</v>
      </c>
      <c r="BC422" s="332">
        <v>31300</v>
      </c>
      <c r="BD422" s="292">
        <f>Tabla14[[#This Row],[VALOR GANADO]]-Tabla14[[#This Row],[REAJUSTADO]]</f>
        <v>15.363636363636033</v>
      </c>
      <c r="BE422" s="250">
        <f>Tabla14[[#This Row],[CUANTO SE REAJUSTA]]*Tabla14[[#This Row],[Personas Rechazo]]</f>
        <v>168.99999999999636</v>
      </c>
      <c r="BF422" s="250">
        <f>Tabla14[[#This Row],[REAJUSTADO]]/25000</f>
        <v>1.252</v>
      </c>
      <c r="BG422" s="302">
        <f>Tabla14[[#This Row],[REAJUSTADO]]*Tabla14[[#This Row],[Personas Rechazo]]</f>
        <v>344300</v>
      </c>
      <c r="BH422" s="292" t="str">
        <f>Tabla14[[#This Row],[Finca]]</f>
        <v>Pedrito</v>
      </c>
      <c r="BJ422" s="332">
        <f>Tabla14[[#This Row],[Numero de Ocacionales]]*Tabla14[[#This Row],[REAJUSTADO]]</f>
        <v>0</v>
      </c>
      <c r="BK422" s="332"/>
      <c r="BL422" s="332"/>
      <c r="BM422" s="332">
        <f>+Tabla14[[#This Row],[CUANTO SE REAJUSTA]]*3</f>
        <v>46.090909090908099</v>
      </c>
    </row>
    <row r="423" spans="3:65" x14ac:dyDescent="0.25">
      <c r="C423" s="515">
        <v>45152</v>
      </c>
      <c r="D423" s="549">
        <f>YEAR(Tabla14[[#This Row],[Fecha]])</f>
        <v>2023</v>
      </c>
      <c r="E423" s="516">
        <f>IF(Tabla14[[#This Row],[Fecha]]&gt;0,_xlfn.ISOWEEKNUM(Tabla14[[#This Row],[Fecha]]),0)</f>
        <v>33</v>
      </c>
      <c r="F423" s="283">
        <v>8</v>
      </c>
      <c r="G423" s="275" t="s">
        <v>247</v>
      </c>
      <c r="H423" s="325" t="str">
        <f>_xlfn.XLOOKUP(Tabla14[[#This Row],[Codigo Finca]],Tabla4[Codigo Finca],Tabla4[Nombre Finca],"")</f>
        <v>Uveros</v>
      </c>
      <c r="I423" s="277">
        <f>_xlfn.XLOOKUP(Tabla14[[#This Row],[Codigo Finca]],Tabla4[Codigo Finca],Tabla4[Precio Caja],0)</f>
        <v>1800</v>
      </c>
      <c r="J423" s="277">
        <f>_xlfn.XLOOKUP(Tabla14[[#This Row],[Codigo Finca]],Tabla4[Codigo Finca],Tabla4[Precio Caja Segunda],0)</f>
        <v>1150</v>
      </c>
      <c r="K423" s="277">
        <f>_xlfn.XLOOKUP(Tabla14[[#This Row],[Codigo Finca]],Tabla4[Codigo Finca],Tabla4[Precio Rechazo],0)</f>
        <v>575</v>
      </c>
      <c r="L423" s="277">
        <f t="shared" si="426"/>
        <v>0</v>
      </c>
      <c r="M423" s="278">
        <f t="shared" si="427"/>
        <v>0</v>
      </c>
      <c r="N423" s="283"/>
      <c r="O423" s="279"/>
      <c r="P423" s="280">
        <f t="shared" si="428"/>
        <v>0</v>
      </c>
      <c r="Q423" s="281">
        <f t="shared" si="429"/>
        <v>0</v>
      </c>
      <c r="R423" s="282">
        <f t="shared" si="430"/>
        <v>0</v>
      </c>
      <c r="S423" s="338"/>
      <c r="T423" s="275">
        <v>4</v>
      </c>
      <c r="U423" s="280">
        <f t="shared" si="431"/>
        <v>8</v>
      </c>
      <c r="V423" s="281">
        <f t="shared" si="432"/>
        <v>2</v>
      </c>
      <c r="W423" s="282">
        <f t="shared" si="433"/>
        <v>3600</v>
      </c>
      <c r="X423" s="283"/>
      <c r="Y423" s="275"/>
      <c r="Z423" s="280">
        <f>Tabla14[[#This Row],[Cajas Segunda]]</f>
        <v>0</v>
      </c>
      <c r="AA423" s="281">
        <f t="shared" si="434"/>
        <v>0</v>
      </c>
      <c r="AB423" s="284">
        <f t="shared" si="435"/>
        <v>0</v>
      </c>
      <c r="AC423" s="285"/>
      <c r="AD423" s="286">
        <v>187</v>
      </c>
      <c r="AE423" s="286"/>
      <c r="AF423" s="286"/>
      <c r="AG423" s="286">
        <v>4</v>
      </c>
      <c r="AH423" s="280">
        <f t="shared" si="436"/>
        <v>7.48</v>
      </c>
      <c r="AI423" s="281">
        <f t="shared" si="437"/>
        <v>1.87</v>
      </c>
      <c r="AJ423" s="282">
        <f t="shared" si="438"/>
        <v>1075.25</v>
      </c>
      <c r="AK423" s="287">
        <f>Tabla14[[#This Row],[Cajas por Personas]]</f>
        <v>0</v>
      </c>
      <c r="AL423" s="288">
        <f>Tabla14[[#This Row],[Valor Precorte Pesona]]</f>
        <v>0</v>
      </c>
      <c r="AM423" s="294">
        <f>Tabla14[[#This Row],[Personas Precorte]]</f>
        <v>0</v>
      </c>
      <c r="AN423" s="308">
        <f>Tabla14[[#This Row],[Valor Precorte Pesona Precorte]]*Tabla14[[#This Row],[Perzonas Precorte]]</f>
        <v>0</v>
      </c>
      <c r="AO423" s="287">
        <f>Tabla14[[#This Row],[Cajas por Personas2]]</f>
        <v>2</v>
      </c>
      <c r="AP423" s="288">
        <f>Tabla14[[#This Row],[Valor Embarque Pesona]]</f>
        <v>3600</v>
      </c>
      <c r="AQ423" s="295">
        <f>Tabla14[[#This Row],[Personas Precorte2]]</f>
        <v>4</v>
      </c>
      <c r="AR423" s="296">
        <f>Tabla14[[#This Row],[Valor Embarque Pesona3]]*Tabla14[[#This Row],[Perzona Primera]]</f>
        <v>14400</v>
      </c>
      <c r="AS423" s="287">
        <f>Tabla14[[#This Row],[Columna2]]</f>
        <v>0</v>
      </c>
      <c r="AT423" s="288">
        <f>Tabla14[[#This Row],[Columna1]]</f>
        <v>0</v>
      </c>
      <c r="AU423" s="302">
        <f>Tabla14[[#This Row],[Personas Intervienen]]</f>
        <v>0</v>
      </c>
      <c r="AV423" s="297">
        <f>Tabla14[[#This Row],[Valor Embarque Pesona5]]*Tabla14[[#This Row],[Presonas Segunda]]</f>
        <v>0</v>
      </c>
      <c r="AW423" s="287">
        <f>Tabla14[[#This Row],[Bolsas Por Personas]]</f>
        <v>1.87</v>
      </c>
      <c r="AX423" s="288">
        <f>Tabla14[[#This Row],[Valor bolsas Pesona]]</f>
        <v>1075.25</v>
      </c>
      <c r="AY423" s="309">
        <f>Tabla14[[#This Row],[Personas13]]</f>
        <v>4</v>
      </c>
      <c r="AZ423" s="310">
        <f>Tabla14[[#This Row],[Valor bolsas Pesona2]]*Tabla14[[#This Row],[Personas Rechazo]]</f>
        <v>4301</v>
      </c>
      <c r="BA423" s="311">
        <f>+Tabla14[[#This Row],[Total Valor Segunda]]+Tabla14[[#This Row],[Total Valor Primera]]+Tabla14[[#This Row],[Total Valor Precorte]]</f>
        <v>14400</v>
      </c>
      <c r="BB423" s="292">
        <f>Tabla14[[#This Row],[Valor bolsas Pesona2]]+Tabla14[[#This Row],[Valor Embarque Pesona3]]</f>
        <v>4675.25</v>
      </c>
      <c r="BC423" s="332">
        <v>30000</v>
      </c>
      <c r="BD423" s="292">
        <f>Tabla14[[#This Row],[VALOR GANADO]]-Tabla14[[#This Row],[REAJUSTADO]]</f>
        <v>-25324.75</v>
      </c>
      <c r="BE423" s="250">
        <f>Tabla14[[#This Row],[CUANTO SE REAJUSTA]]*Tabla14[[#This Row],[Personas Rechazo]]</f>
        <v>-101299</v>
      </c>
      <c r="BF423" s="250">
        <f>Tabla14[[#This Row],[REAJUSTADO]]/25000</f>
        <v>1.2</v>
      </c>
      <c r="BG423" s="302">
        <f>Tabla14[[#This Row],[REAJUSTADO]]*Tabla14[[#This Row],[Personas Rechazo]]</f>
        <v>120000</v>
      </c>
      <c r="BH423" s="292" t="str">
        <f>Tabla14[[#This Row],[Finca]]</f>
        <v>Uveros</v>
      </c>
      <c r="BJ423" s="332">
        <f>Tabla14[[#This Row],[Numero de Ocacionales]]*Tabla14[[#This Row],[REAJUSTADO]]</f>
        <v>0</v>
      </c>
      <c r="BK423" s="332"/>
      <c r="BL423" s="332"/>
      <c r="BM423" s="332">
        <f>+Tabla14[[#This Row],[CUANTO SE REAJUSTA]]*3</f>
        <v>-75974.25</v>
      </c>
    </row>
    <row r="424" spans="3:65" x14ac:dyDescent="0.25">
      <c r="C424" s="515">
        <v>45153</v>
      </c>
      <c r="D424" s="549">
        <f>YEAR(Tabla14[[#This Row],[Fecha]])</f>
        <v>2023</v>
      </c>
      <c r="E424" s="516">
        <f>IF(Tabla14[[#This Row],[Fecha]]&gt;0,_xlfn.ISOWEEKNUM(Tabla14[[#This Row],[Fecha]]),0)</f>
        <v>33</v>
      </c>
      <c r="F424" s="283">
        <v>245</v>
      </c>
      <c r="G424" s="275" t="s">
        <v>259</v>
      </c>
      <c r="H424" s="325" t="str">
        <f>_xlfn.XLOOKUP(Tabla14[[#This Row],[Codigo Finca]],Tabla4[Codigo Finca],Tabla4[Nombre Finca],"")</f>
        <v>San Pedro</v>
      </c>
      <c r="I424" s="277">
        <f>_xlfn.XLOOKUP(Tabla14[[#This Row],[Codigo Finca]],Tabla4[Codigo Finca],Tabla4[Precio Caja],0)</f>
        <v>1800</v>
      </c>
      <c r="J424" s="277">
        <f>_xlfn.XLOOKUP(Tabla14[[#This Row],[Codigo Finca]],Tabla4[Codigo Finca],Tabla4[Precio Caja Segunda],0)</f>
        <v>1150</v>
      </c>
      <c r="K424" s="277">
        <f>_xlfn.XLOOKUP(Tabla14[[#This Row],[Codigo Finca]],Tabla4[Codigo Finca],Tabla4[Precio Rechazo],0)</f>
        <v>575</v>
      </c>
      <c r="L424" s="277">
        <f t="shared" si="426"/>
        <v>973</v>
      </c>
      <c r="M424" s="278">
        <f t="shared" si="427"/>
        <v>3.9714285714285715</v>
      </c>
      <c r="N424" s="283"/>
      <c r="O424" s="279"/>
      <c r="P424" s="280">
        <f t="shared" si="428"/>
        <v>0</v>
      </c>
      <c r="Q424" s="281">
        <f t="shared" si="429"/>
        <v>0</v>
      </c>
      <c r="R424" s="282">
        <f t="shared" si="430"/>
        <v>0</v>
      </c>
      <c r="S424" s="283">
        <v>973</v>
      </c>
      <c r="T424" s="275">
        <v>13</v>
      </c>
      <c r="U424" s="280">
        <f t="shared" si="431"/>
        <v>245</v>
      </c>
      <c r="V424" s="281">
        <f t="shared" si="432"/>
        <v>18.846153846153847</v>
      </c>
      <c r="W424" s="282">
        <f t="shared" si="433"/>
        <v>33923.076923076922</v>
      </c>
      <c r="X424" s="283"/>
      <c r="Y424" s="275"/>
      <c r="Z424" s="280">
        <f>Tabla14[[#This Row],[Cajas Segunda]]</f>
        <v>0</v>
      </c>
      <c r="AA424" s="281">
        <f t="shared" si="434"/>
        <v>0</v>
      </c>
      <c r="AB424" s="284">
        <f t="shared" si="435"/>
        <v>0</v>
      </c>
      <c r="AC424" s="285"/>
      <c r="AD424" s="286">
        <v>861</v>
      </c>
      <c r="AE424" s="286"/>
      <c r="AF424" s="286"/>
      <c r="AG424" s="286">
        <v>13</v>
      </c>
      <c r="AH424" s="280">
        <f t="shared" si="436"/>
        <v>34.44</v>
      </c>
      <c r="AI424" s="281">
        <f t="shared" si="437"/>
        <v>2.6492307692307691</v>
      </c>
      <c r="AJ424" s="282">
        <f t="shared" si="438"/>
        <v>1523.3076923076922</v>
      </c>
      <c r="AK424" s="287">
        <f>Tabla14[[#This Row],[Cajas por Personas]]</f>
        <v>0</v>
      </c>
      <c r="AL424" s="288">
        <f>Tabla14[[#This Row],[Valor Precorte Pesona]]</f>
        <v>0</v>
      </c>
      <c r="AM424" s="294">
        <f>Tabla14[[#This Row],[Personas Precorte]]</f>
        <v>0</v>
      </c>
      <c r="AN424" s="308">
        <f>Tabla14[[#This Row],[Valor Precorte Pesona Precorte]]*Tabla14[[#This Row],[Perzonas Precorte]]</f>
        <v>0</v>
      </c>
      <c r="AO424" s="287">
        <f>Tabla14[[#This Row],[Cajas por Personas2]]</f>
        <v>18.846153846153847</v>
      </c>
      <c r="AP424" s="288">
        <f>Tabla14[[#This Row],[Valor Embarque Pesona]]</f>
        <v>33923.076923076922</v>
      </c>
      <c r="AQ424" s="295">
        <f>Tabla14[[#This Row],[Personas Precorte2]]</f>
        <v>13</v>
      </c>
      <c r="AR424" s="296">
        <f>Tabla14[[#This Row],[Valor Embarque Pesona3]]*Tabla14[[#This Row],[Perzona Primera]]</f>
        <v>441000</v>
      </c>
      <c r="AS424" s="287">
        <f>Tabla14[[#This Row],[Columna2]]</f>
        <v>0</v>
      </c>
      <c r="AT424" s="288">
        <f>Tabla14[[#This Row],[Columna1]]</f>
        <v>0</v>
      </c>
      <c r="AU424" s="302">
        <f>Tabla14[[#This Row],[Personas Intervienen]]</f>
        <v>0</v>
      </c>
      <c r="AV424" s="297">
        <f>Tabla14[[#This Row],[Valor Embarque Pesona5]]*Tabla14[[#This Row],[Presonas Segunda]]</f>
        <v>0</v>
      </c>
      <c r="AW424" s="287">
        <f>Tabla14[[#This Row],[Bolsas Por Personas]]</f>
        <v>2.6492307692307691</v>
      </c>
      <c r="AX424" s="288">
        <f>Tabla14[[#This Row],[Valor bolsas Pesona]]</f>
        <v>1523.3076923076922</v>
      </c>
      <c r="AY424" s="309">
        <f>Tabla14[[#This Row],[Personas13]]</f>
        <v>13</v>
      </c>
      <c r="AZ424" s="310">
        <f>Tabla14[[#This Row],[Valor bolsas Pesona2]]*Tabla14[[#This Row],[Personas Rechazo]]</f>
        <v>19802.999999999996</v>
      </c>
      <c r="BA424" s="311">
        <f>+Tabla14[[#This Row],[Total Valor Segunda]]+Tabla14[[#This Row],[Total Valor Primera]]+Tabla14[[#This Row],[Total Valor Precorte]]</f>
        <v>441000</v>
      </c>
      <c r="BB424" s="546">
        <f>Tabla14[[#This Row],[Valor bolsas Pesona2]]+Tabla14[[#This Row],[Valor Embarque Pesona3]]</f>
        <v>35446.384615384617</v>
      </c>
      <c r="BC424" s="547">
        <v>37100</v>
      </c>
      <c r="BD424" s="546">
        <f>Tabla14[[#This Row],[VALOR GANADO]]-Tabla14[[#This Row],[REAJUSTADO]]</f>
        <v>-1653.6153846153829</v>
      </c>
      <c r="BE424" s="250">
        <f>Tabla14[[#This Row],[CUANTO SE REAJUSTA]]*Tabla14[[#This Row],[Personas Rechazo]]</f>
        <v>-21496.999999999978</v>
      </c>
      <c r="BF424" s="250">
        <f>Tabla14[[#This Row],[REAJUSTADO]]/25000</f>
        <v>1.484</v>
      </c>
      <c r="BG424" s="302">
        <f>Tabla14[[#This Row],[REAJUSTADO]]*Tabla14[[#This Row],[Personas Rechazo]]</f>
        <v>482300</v>
      </c>
      <c r="BH424" s="292" t="str">
        <f>Tabla14[[#This Row],[Finca]]</f>
        <v>San Pedro</v>
      </c>
      <c r="BJ424" s="332">
        <f>Tabla14[[#This Row],[Numero de Ocacionales]]*Tabla14[[#This Row],[REAJUSTADO]]</f>
        <v>0</v>
      </c>
      <c r="BK424" s="332"/>
      <c r="BL424" s="332"/>
      <c r="BM424" s="332">
        <f>+Tabla14[[#This Row],[CUANTO SE REAJUSTA]]*3</f>
        <v>-4960.8461538461488</v>
      </c>
    </row>
    <row r="425" spans="3:65" x14ac:dyDescent="0.25">
      <c r="C425" s="515">
        <v>45153</v>
      </c>
      <c r="D425" s="549">
        <f>YEAR(Tabla14[[#This Row],[Fecha]])</f>
        <v>2023</v>
      </c>
      <c r="E425" s="516">
        <f>IF(Tabla14[[#This Row],[Fecha]]&gt;0,_xlfn.ISOWEEKNUM(Tabla14[[#This Row],[Fecha]]),0)</f>
        <v>33</v>
      </c>
      <c r="F425" s="283">
        <v>12</v>
      </c>
      <c r="G425" s="275" t="s">
        <v>259</v>
      </c>
      <c r="H425" s="325" t="str">
        <f>_xlfn.XLOOKUP(Tabla14[[#This Row],[Codigo Finca]],Tabla4[Codigo Finca],Tabla4[Nombre Finca],"")</f>
        <v>San Pedro</v>
      </c>
      <c r="I425" s="277">
        <f>_xlfn.XLOOKUP(Tabla14[[#This Row],[Codigo Finca]],Tabla4[Codigo Finca],Tabla4[Precio Caja],0)</f>
        <v>1800</v>
      </c>
      <c r="J425" s="277">
        <f>_xlfn.XLOOKUP(Tabla14[[#This Row],[Codigo Finca]],Tabla4[Codigo Finca],Tabla4[Precio Caja Segunda],0)</f>
        <v>1150</v>
      </c>
      <c r="K425" s="277">
        <f>_xlfn.XLOOKUP(Tabla14[[#This Row],[Codigo Finca]],Tabla4[Codigo Finca],Tabla4[Precio Rechazo],0)</f>
        <v>575</v>
      </c>
      <c r="L425" s="277">
        <f t="shared" si="426"/>
        <v>0</v>
      </c>
      <c r="M425" s="278">
        <f t="shared" si="427"/>
        <v>0</v>
      </c>
      <c r="N425" s="283"/>
      <c r="O425" s="279"/>
      <c r="P425" s="280">
        <f t="shared" si="428"/>
        <v>0</v>
      </c>
      <c r="Q425" s="281">
        <f t="shared" si="429"/>
        <v>0</v>
      </c>
      <c r="R425" s="282">
        <f t="shared" si="430"/>
        <v>0</v>
      </c>
      <c r="S425" s="283"/>
      <c r="T425" s="275">
        <v>13</v>
      </c>
      <c r="U425" s="280">
        <f t="shared" si="431"/>
        <v>12</v>
      </c>
      <c r="V425" s="281">
        <f t="shared" si="432"/>
        <v>0.92307692307692313</v>
      </c>
      <c r="W425" s="282">
        <f t="shared" si="433"/>
        <v>1661.5384615384614</v>
      </c>
      <c r="X425" s="283"/>
      <c r="Y425" s="275"/>
      <c r="Z425" s="280">
        <f>Tabla14[[#This Row],[Cajas Segunda]]</f>
        <v>0</v>
      </c>
      <c r="AA425" s="281">
        <f t="shared" si="434"/>
        <v>0</v>
      </c>
      <c r="AB425" s="284">
        <f t="shared" si="435"/>
        <v>0</v>
      </c>
      <c r="AC425" s="285"/>
      <c r="AD425" s="286"/>
      <c r="AE425" s="286"/>
      <c r="AF425" s="286"/>
      <c r="AG425" s="286">
        <v>13</v>
      </c>
      <c r="AH425" s="280">
        <f t="shared" si="436"/>
        <v>0</v>
      </c>
      <c r="AI425" s="281">
        <f t="shared" si="437"/>
        <v>0</v>
      </c>
      <c r="AJ425" s="282">
        <f t="shared" si="438"/>
        <v>0</v>
      </c>
      <c r="AK425" s="287">
        <f>Tabla14[[#This Row],[Cajas por Personas]]</f>
        <v>0</v>
      </c>
      <c r="AL425" s="288">
        <f>Tabla14[[#This Row],[Valor Precorte Pesona]]</f>
        <v>0</v>
      </c>
      <c r="AM425" s="294">
        <f>Tabla14[[#This Row],[Personas Precorte]]</f>
        <v>0</v>
      </c>
      <c r="AN425" s="308">
        <f>Tabla14[[#This Row],[Valor Precorte Pesona Precorte]]*Tabla14[[#This Row],[Perzonas Precorte]]</f>
        <v>0</v>
      </c>
      <c r="AO425" s="287">
        <f>Tabla14[[#This Row],[Cajas por Personas2]]</f>
        <v>0.92307692307692313</v>
      </c>
      <c r="AP425" s="288">
        <f>Tabla14[[#This Row],[Valor Embarque Pesona]]</f>
        <v>1661.5384615384614</v>
      </c>
      <c r="AQ425" s="295">
        <f>Tabla14[[#This Row],[Personas Precorte2]]</f>
        <v>13</v>
      </c>
      <c r="AR425" s="296">
        <f>Tabla14[[#This Row],[Valor Embarque Pesona3]]*Tabla14[[#This Row],[Perzona Primera]]</f>
        <v>21600</v>
      </c>
      <c r="AS425" s="287">
        <f>Tabla14[[#This Row],[Columna2]]</f>
        <v>0</v>
      </c>
      <c r="AT425" s="288">
        <f>Tabla14[[#This Row],[Columna1]]</f>
        <v>0</v>
      </c>
      <c r="AU425" s="302">
        <f>Tabla14[[#This Row],[Personas Intervienen]]</f>
        <v>0</v>
      </c>
      <c r="AV425" s="297">
        <f>Tabla14[[#This Row],[Valor Embarque Pesona5]]*Tabla14[[#This Row],[Presonas Segunda]]</f>
        <v>0</v>
      </c>
      <c r="AW425" s="287">
        <f>Tabla14[[#This Row],[Bolsas Por Personas]]</f>
        <v>0</v>
      </c>
      <c r="AX425" s="288">
        <f>Tabla14[[#This Row],[Valor bolsas Pesona]]</f>
        <v>0</v>
      </c>
      <c r="AY425" s="309">
        <f>Tabla14[[#This Row],[Personas13]]</f>
        <v>13</v>
      </c>
      <c r="AZ425" s="310">
        <f>Tabla14[[#This Row],[Valor bolsas Pesona2]]*Tabla14[[#This Row],[Personas Rechazo]]</f>
        <v>0</v>
      </c>
      <c r="BA425" s="311">
        <f>+Tabla14[[#This Row],[Total Valor Segunda]]+Tabla14[[#This Row],[Total Valor Primera]]+Tabla14[[#This Row],[Total Valor Precorte]]</f>
        <v>21600</v>
      </c>
      <c r="BB425" s="546">
        <f>Tabla14[[#This Row],[Valor bolsas Pesona2]]+Tabla14[[#This Row],[Valor Embarque Pesona3]]</f>
        <v>1661.5384615384614</v>
      </c>
      <c r="BC425" s="547"/>
      <c r="BD425" s="546">
        <f>Tabla14[[#This Row],[VALOR GANADO]]-Tabla14[[#This Row],[REAJUSTADO]]</f>
        <v>1661.5384615384614</v>
      </c>
      <c r="BE425" s="250">
        <f>Tabla14[[#This Row],[CUANTO SE REAJUSTA]]*Tabla14[[#This Row],[Personas Rechazo]]</f>
        <v>21600</v>
      </c>
      <c r="BF425" s="250">
        <f>Tabla14[[#This Row],[REAJUSTADO]]/25000</f>
        <v>0</v>
      </c>
      <c r="BG425" s="302">
        <f>Tabla14[[#This Row],[REAJUSTADO]]*Tabla14[[#This Row],[Personas Rechazo]]</f>
        <v>0</v>
      </c>
      <c r="BH425" s="292" t="str">
        <f>Tabla14[[#This Row],[Finca]]</f>
        <v>San Pedro</v>
      </c>
      <c r="BJ425" s="332">
        <f>Tabla14[[#This Row],[Numero de Ocacionales]]*Tabla14[[#This Row],[REAJUSTADO]]</f>
        <v>0</v>
      </c>
      <c r="BK425" s="332"/>
      <c r="BL425" s="332"/>
      <c r="BM425" s="332">
        <f>+Tabla14[[#This Row],[CUANTO SE REAJUSTA]]*3</f>
        <v>4984.6153846153848</v>
      </c>
    </row>
    <row r="426" spans="3:65" x14ac:dyDescent="0.25">
      <c r="C426" s="515">
        <v>45153</v>
      </c>
      <c r="D426" s="549">
        <f>YEAR(Tabla14[[#This Row],[Fecha]])</f>
        <v>2023</v>
      </c>
      <c r="E426" s="516">
        <f>IF(Tabla14[[#This Row],[Fecha]]&gt;0,_xlfn.ISOWEEKNUM(Tabla14[[#This Row],[Fecha]]),0)</f>
        <v>33</v>
      </c>
      <c r="F426" s="283">
        <v>50</v>
      </c>
      <c r="G426" s="275" t="s">
        <v>267</v>
      </c>
      <c r="H426" s="325" t="str">
        <f>_xlfn.XLOOKUP(Tabla14[[#This Row],[Codigo Finca]],Tabla4[Codigo Finca],Tabla4[Nombre Finca],"")</f>
        <v>Damaquiel</v>
      </c>
      <c r="I426" s="277">
        <f>_xlfn.XLOOKUP(Tabla14[[#This Row],[Codigo Finca]],Tabla4[Codigo Finca],Tabla4[Precio Caja],0)</f>
        <v>1800</v>
      </c>
      <c r="J426" s="277">
        <f>_xlfn.XLOOKUP(Tabla14[[#This Row],[Codigo Finca]],Tabla4[Codigo Finca],Tabla4[Precio Caja Segunda],0)</f>
        <v>1150</v>
      </c>
      <c r="K426" s="277">
        <f>_xlfn.XLOOKUP(Tabla14[[#This Row],[Codigo Finca]],Tabla4[Codigo Finca],Tabla4[Precio Rechazo],0)</f>
        <v>575</v>
      </c>
      <c r="L426" s="277">
        <f>S426+N426</f>
        <v>0</v>
      </c>
      <c r="M426" s="278">
        <f t="shared" si="427"/>
        <v>0</v>
      </c>
      <c r="N426" s="283"/>
      <c r="O426" s="279"/>
      <c r="P426" s="280">
        <f t="shared" si="428"/>
        <v>0</v>
      </c>
      <c r="Q426" s="281">
        <f t="shared" si="429"/>
        <v>0</v>
      </c>
      <c r="R426" s="282">
        <f t="shared" si="430"/>
        <v>0</v>
      </c>
      <c r="S426" s="338"/>
      <c r="T426" s="275">
        <v>5</v>
      </c>
      <c r="U426" s="280">
        <f t="shared" si="431"/>
        <v>50</v>
      </c>
      <c r="V426" s="281">
        <f t="shared" si="432"/>
        <v>10</v>
      </c>
      <c r="W426" s="282">
        <f t="shared" si="433"/>
        <v>18000</v>
      </c>
      <c r="X426" s="283"/>
      <c r="Y426" s="275"/>
      <c r="Z426" s="280">
        <f>Tabla14[[#This Row],[Cajas Segunda]]</f>
        <v>0</v>
      </c>
      <c r="AA426" s="281">
        <f t="shared" si="434"/>
        <v>0</v>
      </c>
      <c r="AB426" s="284">
        <f t="shared" si="435"/>
        <v>0</v>
      </c>
      <c r="AC426" s="285"/>
      <c r="AD426" s="286">
        <v>1884</v>
      </c>
      <c r="AE426" s="286"/>
      <c r="AF426" s="286"/>
      <c r="AG426" s="286">
        <v>5</v>
      </c>
      <c r="AH426" s="280">
        <f t="shared" si="436"/>
        <v>75.36</v>
      </c>
      <c r="AI426" s="281">
        <f t="shared" si="437"/>
        <v>15.071999999999999</v>
      </c>
      <c r="AJ426" s="282">
        <f t="shared" si="438"/>
        <v>8666.4</v>
      </c>
      <c r="AK426" s="287">
        <f>Tabla14[[#This Row],[Cajas por Personas]]</f>
        <v>0</v>
      </c>
      <c r="AL426" s="288">
        <f>Tabla14[[#This Row],[Valor Precorte Pesona]]</f>
        <v>0</v>
      </c>
      <c r="AM426" s="294">
        <f>Tabla14[[#This Row],[Personas Precorte]]</f>
        <v>0</v>
      </c>
      <c r="AN426" s="308">
        <f>Tabla14[[#This Row],[Valor Precorte Pesona Precorte]]*Tabla14[[#This Row],[Perzonas Precorte]]</f>
        <v>0</v>
      </c>
      <c r="AO426" s="287">
        <f>Tabla14[[#This Row],[Cajas por Personas2]]</f>
        <v>10</v>
      </c>
      <c r="AP426" s="288">
        <f>Tabla14[[#This Row],[Valor Embarque Pesona]]</f>
        <v>18000</v>
      </c>
      <c r="AQ426" s="295">
        <f>Tabla14[[#This Row],[Personas Precorte2]]</f>
        <v>5</v>
      </c>
      <c r="AR426" s="296">
        <f>Tabla14[[#This Row],[Valor Embarque Pesona3]]*Tabla14[[#This Row],[Perzona Primera]]</f>
        <v>90000</v>
      </c>
      <c r="AS426" s="287">
        <f>Tabla14[[#This Row],[Columna2]]</f>
        <v>0</v>
      </c>
      <c r="AT426" s="288">
        <f>Tabla14[[#This Row],[Columna1]]</f>
        <v>0</v>
      </c>
      <c r="AU426" s="302">
        <f>Tabla14[[#This Row],[Personas Intervienen]]</f>
        <v>0</v>
      </c>
      <c r="AV426" s="297">
        <f>Tabla14[[#This Row],[Valor Embarque Pesona5]]*Tabla14[[#This Row],[Presonas Segunda]]</f>
        <v>0</v>
      </c>
      <c r="AW426" s="287">
        <f>Tabla14[[#This Row],[Bolsas Por Personas]]</f>
        <v>15.071999999999999</v>
      </c>
      <c r="AX426" s="288">
        <f>Tabla14[[#This Row],[Valor bolsas Pesona]]</f>
        <v>8666.4</v>
      </c>
      <c r="AY426" s="309">
        <f>Tabla14[[#This Row],[Personas13]]</f>
        <v>5</v>
      </c>
      <c r="AZ426" s="310">
        <f>Tabla14[[#This Row],[Valor bolsas Pesona2]]*Tabla14[[#This Row],[Personas Rechazo]]</f>
        <v>43332</v>
      </c>
      <c r="BA426" s="311">
        <f>+Tabla14[[#This Row],[Total Valor Segunda]]+Tabla14[[#This Row],[Total Valor Primera]]+Tabla14[[#This Row],[Total Valor Precorte]]</f>
        <v>90000</v>
      </c>
      <c r="BB426" s="292">
        <f>Tabla14[[#This Row],[Valor bolsas Pesona2]]+Tabla14[[#This Row],[Valor Embarque Pesona3]]</f>
        <v>26666.400000000001</v>
      </c>
      <c r="BC426" s="332">
        <v>30000</v>
      </c>
      <c r="BD426" s="292">
        <f>Tabla14[[#This Row],[VALOR GANADO]]-Tabla14[[#This Row],[REAJUSTADO]]</f>
        <v>-3333.5999999999985</v>
      </c>
      <c r="BE426" s="250">
        <f>Tabla14[[#This Row],[CUANTO SE REAJUSTA]]*Tabla14[[#This Row],[Personas Rechazo]]</f>
        <v>-16667.999999999993</v>
      </c>
      <c r="BF426" s="250">
        <f>Tabla14[[#This Row],[REAJUSTADO]]/25000</f>
        <v>1.2</v>
      </c>
      <c r="BG426" s="302">
        <f>Tabla14[[#This Row],[REAJUSTADO]]*Tabla14[[#This Row],[Personas Rechazo]]</f>
        <v>150000</v>
      </c>
      <c r="BH426" s="292" t="str">
        <f>Tabla14[[#This Row],[Finca]]</f>
        <v>Damaquiel</v>
      </c>
      <c r="BJ426" s="332">
        <f>Tabla14[[#This Row],[Numero de Ocacionales]]*Tabla14[[#This Row],[REAJUSTADO]]</f>
        <v>0</v>
      </c>
      <c r="BK426" s="332"/>
      <c r="BL426" s="332"/>
      <c r="BM426" s="332">
        <f>+Tabla14[[#This Row],[CUANTO SE REAJUSTA]]*3</f>
        <v>-10000.799999999996</v>
      </c>
    </row>
    <row r="427" spans="3:65" x14ac:dyDescent="0.25">
      <c r="C427" s="515">
        <v>45154</v>
      </c>
      <c r="D427" s="549">
        <f>YEAR(Tabla14[[#This Row],[Fecha]])</f>
        <v>2023</v>
      </c>
      <c r="E427" s="516">
        <f>IF(Tabla14[[#This Row],[Fecha]]&gt;0,_xlfn.ISOWEEKNUM(Tabla14[[#This Row],[Fecha]]),0)</f>
        <v>33</v>
      </c>
      <c r="F427" s="283">
        <v>15</v>
      </c>
      <c r="G427" s="275" t="s">
        <v>250</v>
      </c>
      <c r="H427" s="325" t="str">
        <f>_xlfn.XLOOKUP(Tabla14[[#This Row],[Codigo Finca]],Tabla4[Codigo Finca],Tabla4[Nombre Finca],"")</f>
        <v>San Pedro</v>
      </c>
      <c r="I427" s="277">
        <f>_xlfn.XLOOKUP(Tabla14[[#This Row],[Codigo Finca]],Tabla4[Codigo Finca],Tabla4[Precio Caja],0)</f>
        <v>1800</v>
      </c>
      <c r="J427" s="277">
        <f>_xlfn.XLOOKUP(Tabla14[[#This Row],[Codigo Finca]],Tabla4[Codigo Finca],Tabla4[Precio Caja Segunda],0)</f>
        <v>1150</v>
      </c>
      <c r="K427" s="277">
        <f>_xlfn.XLOOKUP(Tabla14[[#This Row],[Codigo Finca]],Tabla4[Codigo Finca],Tabla4[Precio Rechazo],0)</f>
        <v>575</v>
      </c>
      <c r="L427" s="277">
        <f t="shared" si="426"/>
        <v>0</v>
      </c>
      <c r="M427" s="278">
        <f t="shared" si="427"/>
        <v>0</v>
      </c>
      <c r="N427" s="283"/>
      <c r="O427" s="279"/>
      <c r="P427" s="280">
        <f t="shared" si="428"/>
        <v>0</v>
      </c>
      <c r="Q427" s="281">
        <f t="shared" si="429"/>
        <v>0</v>
      </c>
      <c r="R427" s="282">
        <f t="shared" si="430"/>
        <v>0</v>
      </c>
      <c r="S427" s="283"/>
      <c r="T427" s="275">
        <v>1</v>
      </c>
      <c r="U427" s="280">
        <f t="shared" si="431"/>
        <v>15</v>
      </c>
      <c r="V427" s="281">
        <f t="shared" si="432"/>
        <v>15</v>
      </c>
      <c r="W427" s="282">
        <f t="shared" si="433"/>
        <v>27000</v>
      </c>
      <c r="X427" s="283"/>
      <c r="Y427" s="275"/>
      <c r="Z427" s="280">
        <f>Tabla14[[#This Row],[Cajas Segunda]]</f>
        <v>0</v>
      </c>
      <c r="AA427" s="281">
        <f t="shared" si="434"/>
        <v>0</v>
      </c>
      <c r="AB427" s="284">
        <f t="shared" si="435"/>
        <v>0</v>
      </c>
      <c r="AC427" s="285"/>
      <c r="AD427" s="286"/>
      <c r="AE427" s="286"/>
      <c r="AF427" s="286"/>
      <c r="AG427" s="286">
        <v>1</v>
      </c>
      <c r="AH427" s="280">
        <f t="shared" si="436"/>
        <v>0</v>
      </c>
      <c r="AI427" s="281">
        <f t="shared" si="437"/>
        <v>0</v>
      </c>
      <c r="AJ427" s="282">
        <f t="shared" si="438"/>
        <v>0</v>
      </c>
      <c r="AK427" s="287">
        <f>Tabla14[[#This Row],[Cajas por Personas]]</f>
        <v>0</v>
      </c>
      <c r="AL427" s="288">
        <f>Tabla14[[#This Row],[Valor Precorte Pesona]]</f>
        <v>0</v>
      </c>
      <c r="AM427" s="294">
        <f>Tabla14[[#This Row],[Personas Precorte]]</f>
        <v>0</v>
      </c>
      <c r="AN427" s="308">
        <f>Tabla14[[#This Row],[Valor Precorte Pesona Precorte]]*Tabla14[[#This Row],[Perzonas Precorte]]</f>
        <v>0</v>
      </c>
      <c r="AO427" s="287">
        <f>Tabla14[[#This Row],[Cajas por Personas2]]</f>
        <v>15</v>
      </c>
      <c r="AP427" s="288">
        <f>Tabla14[[#This Row],[Valor Embarque Pesona]]</f>
        <v>27000</v>
      </c>
      <c r="AQ427" s="295">
        <f>Tabla14[[#This Row],[Personas Precorte2]]</f>
        <v>1</v>
      </c>
      <c r="AR427" s="296">
        <f>Tabla14[[#This Row],[Valor Embarque Pesona3]]*Tabla14[[#This Row],[Perzona Primera]]</f>
        <v>27000</v>
      </c>
      <c r="AS427" s="287">
        <f>Tabla14[[#This Row],[Columna2]]</f>
        <v>0</v>
      </c>
      <c r="AT427" s="288">
        <f>Tabla14[[#This Row],[Columna1]]</f>
        <v>0</v>
      </c>
      <c r="AU427" s="302">
        <f>Tabla14[[#This Row],[Personas Intervienen]]</f>
        <v>0</v>
      </c>
      <c r="AV427" s="297">
        <f>Tabla14[[#This Row],[Valor Embarque Pesona5]]*Tabla14[[#This Row],[Presonas Segunda]]</f>
        <v>0</v>
      </c>
      <c r="AW427" s="287">
        <f>Tabla14[[#This Row],[Bolsas Por Personas]]</f>
        <v>0</v>
      </c>
      <c r="AX427" s="288">
        <f>Tabla14[[#This Row],[Valor bolsas Pesona]]</f>
        <v>0</v>
      </c>
      <c r="AY427" s="309">
        <f>Tabla14[[#This Row],[Personas13]]</f>
        <v>1</v>
      </c>
      <c r="AZ427" s="310">
        <f>Tabla14[[#This Row],[Valor bolsas Pesona2]]*Tabla14[[#This Row],[Personas Rechazo]]</f>
        <v>0</v>
      </c>
      <c r="BA427" s="311">
        <f>+Tabla14[[#This Row],[Total Valor Segunda]]+Tabla14[[#This Row],[Total Valor Primera]]+Tabla14[[#This Row],[Total Valor Precorte]]</f>
        <v>27000</v>
      </c>
      <c r="BB427" s="292">
        <f>Tabla14[[#This Row],[Valor bolsas Pesona2]]+Tabla14[[#This Row],[Valor Embarque Pesona3]]</f>
        <v>27000</v>
      </c>
      <c r="BD427" s="292">
        <f>Tabla14[[#This Row],[VALOR GANADO]]-Tabla14[[#This Row],[REAJUSTADO]]</f>
        <v>27000</v>
      </c>
      <c r="BE427" s="250">
        <f>Tabla14[[#This Row],[CUANTO SE REAJUSTA]]*Tabla14[[#This Row],[Personas Rechazo]]</f>
        <v>27000</v>
      </c>
      <c r="BF427" s="250">
        <f>Tabla14[[#This Row],[REAJUSTADO]]/25000</f>
        <v>0</v>
      </c>
      <c r="BG427" s="302">
        <f>Tabla14[[#This Row],[REAJUSTADO]]*Tabla14[[#This Row],[Personas Rechazo]]</f>
        <v>0</v>
      </c>
      <c r="BH427" s="292" t="str">
        <f>Tabla14[[#This Row],[Finca]]</f>
        <v>San Pedro</v>
      </c>
      <c r="BJ427" s="332">
        <f>Tabla14[[#This Row],[Numero de Ocacionales]]*Tabla14[[#This Row],[REAJUSTADO]]</f>
        <v>0</v>
      </c>
      <c r="BK427" s="332"/>
      <c r="BL427" s="332"/>
      <c r="BM427" s="332">
        <f>+Tabla14[[#This Row],[CUANTO SE REAJUSTA]]*3</f>
        <v>81000</v>
      </c>
    </row>
    <row r="428" spans="3:65" x14ac:dyDescent="0.25">
      <c r="C428" s="515">
        <v>45160</v>
      </c>
      <c r="D428" s="549">
        <f>YEAR(Tabla14[[#This Row],[Fecha]])</f>
        <v>2023</v>
      </c>
      <c r="E428" s="516">
        <f>IF(Tabla14[[#This Row],[Fecha]]&gt;0,_xlfn.ISOWEEKNUM(Tabla14[[#This Row],[Fecha]]),0)</f>
        <v>34</v>
      </c>
      <c r="F428" s="283">
        <f>343-51-31-15</f>
        <v>246</v>
      </c>
      <c r="G428" s="275" t="s">
        <v>250</v>
      </c>
      <c r="H428" s="325" t="str">
        <f>_xlfn.XLOOKUP(Tabla14[[#This Row],[Codigo Finca]],Tabla4[Codigo Finca],Tabla4[Nombre Finca],"")</f>
        <v>San Pedro</v>
      </c>
      <c r="I428" s="277">
        <f>_xlfn.XLOOKUP(Tabla14[[#This Row],[Codigo Finca]],Tabla4[Codigo Finca],Tabla4[Precio Caja],0)</f>
        <v>1800</v>
      </c>
      <c r="J428" s="277">
        <f>_xlfn.XLOOKUP(Tabla14[[#This Row],[Codigo Finca]],Tabla4[Codigo Finca],Tabla4[Precio Caja Segunda],0)</f>
        <v>1150</v>
      </c>
      <c r="K428" s="277">
        <f>_xlfn.XLOOKUP(Tabla14[[#This Row],[Codigo Finca]],Tabla4[Codigo Finca],Tabla4[Precio Rechazo],0)</f>
        <v>575</v>
      </c>
      <c r="L428" s="277">
        <f t="shared" si="426"/>
        <v>1068</v>
      </c>
      <c r="M428" s="278">
        <f t="shared" si="427"/>
        <v>4.3414634146341466</v>
      </c>
      <c r="N428" s="283"/>
      <c r="O428" s="279"/>
      <c r="P428" s="280">
        <f t="shared" si="428"/>
        <v>0</v>
      </c>
      <c r="Q428" s="281">
        <f t="shared" si="429"/>
        <v>0</v>
      </c>
      <c r="R428" s="282">
        <f t="shared" si="430"/>
        <v>0</v>
      </c>
      <c r="S428" s="283">
        <f>1265-197</f>
        <v>1068</v>
      </c>
      <c r="T428" s="275">
        <v>11</v>
      </c>
      <c r="U428" s="280">
        <f t="shared" si="431"/>
        <v>246</v>
      </c>
      <c r="V428" s="281">
        <f t="shared" si="432"/>
        <v>22.363636363636363</v>
      </c>
      <c r="W428" s="282">
        <f t="shared" si="433"/>
        <v>40254.545454545456</v>
      </c>
      <c r="X428" s="283"/>
      <c r="Y428" s="275"/>
      <c r="Z428" s="280">
        <f>Tabla14[[#This Row],[Cajas Segunda]]</f>
        <v>0</v>
      </c>
      <c r="AA428" s="281">
        <f t="shared" si="434"/>
        <v>0</v>
      </c>
      <c r="AB428" s="284">
        <f t="shared" si="435"/>
        <v>0</v>
      </c>
      <c r="AC428" s="285"/>
      <c r="AD428" s="286">
        <f>1426-242</f>
        <v>1184</v>
      </c>
      <c r="AE428" s="286"/>
      <c r="AF428" s="286"/>
      <c r="AG428" s="286">
        <v>11</v>
      </c>
      <c r="AH428" s="280">
        <f t="shared" si="436"/>
        <v>47.36</v>
      </c>
      <c r="AI428" s="281">
        <f t="shared" si="437"/>
        <v>4.3054545454545456</v>
      </c>
      <c r="AJ428" s="282">
        <f t="shared" si="438"/>
        <v>2475.636363636364</v>
      </c>
      <c r="AK428" s="287">
        <f>Tabla14[[#This Row],[Cajas por Personas]]</f>
        <v>0</v>
      </c>
      <c r="AL428" s="288">
        <f>Tabla14[[#This Row],[Valor Precorte Pesona]]</f>
        <v>0</v>
      </c>
      <c r="AM428" s="294">
        <f>Tabla14[[#This Row],[Personas Precorte]]</f>
        <v>0</v>
      </c>
      <c r="AN428" s="308">
        <f>Tabla14[[#This Row],[Valor Precorte Pesona Precorte]]*Tabla14[[#This Row],[Perzonas Precorte]]</f>
        <v>0</v>
      </c>
      <c r="AO428" s="287">
        <f>Tabla14[[#This Row],[Cajas por Personas2]]</f>
        <v>22.363636363636363</v>
      </c>
      <c r="AP428" s="288">
        <f>Tabla14[[#This Row],[Valor Embarque Pesona]]</f>
        <v>40254.545454545456</v>
      </c>
      <c r="AQ428" s="295">
        <f>Tabla14[[#This Row],[Personas Precorte2]]</f>
        <v>11</v>
      </c>
      <c r="AR428" s="296">
        <f>Tabla14[[#This Row],[Valor Embarque Pesona3]]*Tabla14[[#This Row],[Perzona Primera]]</f>
        <v>442800</v>
      </c>
      <c r="AS428" s="287">
        <f>Tabla14[[#This Row],[Columna2]]</f>
        <v>0</v>
      </c>
      <c r="AT428" s="288">
        <f>Tabla14[[#This Row],[Columna1]]</f>
        <v>0</v>
      </c>
      <c r="AU428" s="302">
        <f>Tabla14[[#This Row],[Personas Intervienen]]</f>
        <v>0</v>
      </c>
      <c r="AV428" s="297">
        <f>Tabla14[[#This Row],[Valor Embarque Pesona5]]*Tabla14[[#This Row],[Presonas Segunda]]</f>
        <v>0</v>
      </c>
      <c r="AW428" s="287">
        <f>Tabla14[[#This Row],[Bolsas Por Personas]]</f>
        <v>4.3054545454545456</v>
      </c>
      <c r="AX428" s="288">
        <f>Tabla14[[#This Row],[Valor bolsas Pesona]]</f>
        <v>2475.636363636364</v>
      </c>
      <c r="AY428" s="309">
        <f>Tabla14[[#This Row],[Personas13]]</f>
        <v>11</v>
      </c>
      <c r="AZ428" s="310">
        <f>Tabla14[[#This Row],[Valor bolsas Pesona2]]*Tabla14[[#This Row],[Personas Rechazo]]</f>
        <v>27232.000000000004</v>
      </c>
      <c r="BA428" s="311">
        <f>+Tabla14[[#This Row],[Total Valor Segunda]]+Tabla14[[#This Row],[Total Valor Primera]]+Tabla14[[#This Row],[Total Valor Precorte]]</f>
        <v>442800</v>
      </c>
      <c r="BB428" s="292">
        <f>Tabla14[[#This Row],[Valor bolsas Pesona2]]+Tabla14[[#This Row],[Valor Embarque Pesona3]]</f>
        <v>42730.181818181823</v>
      </c>
      <c r="BC428" s="332">
        <v>52600</v>
      </c>
      <c r="BD428" s="292">
        <f>Tabla14[[#This Row],[VALOR GANADO]]-Tabla14[[#This Row],[REAJUSTADO]]</f>
        <v>-9869.8181818181765</v>
      </c>
      <c r="BE428" s="250">
        <f>Tabla14[[#This Row],[CUANTO SE REAJUSTA]]*Tabla14[[#This Row],[Personas Rechazo]]</f>
        <v>-108567.99999999994</v>
      </c>
      <c r="BF428" s="250">
        <f>Tabla14[[#This Row],[REAJUSTADO]]/25000</f>
        <v>2.1040000000000001</v>
      </c>
      <c r="BG428" s="302">
        <f>Tabla14[[#This Row],[REAJUSTADO]]*Tabla14[[#This Row],[Personas Rechazo]]</f>
        <v>578600</v>
      </c>
      <c r="BH428" s="292" t="str">
        <f>Tabla14[[#This Row],[Finca]]</f>
        <v>San Pedro</v>
      </c>
      <c r="BJ428" s="332">
        <f>Tabla14[[#This Row],[Numero de Ocacionales]]*Tabla14[[#This Row],[REAJUSTADO]]</f>
        <v>0</v>
      </c>
      <c r="BK428" s="332"/>
      <c r="BL428" s="332"/>
      <c r="BM428" s="332">
        <f>+Tabla14[[#This Row],[CUANTO SE REAJUSTA]]*3</f>
        <v>-29609.45454545453</v>
      </c>
    </row>
    <row r="429" spans="3:65" x14ac:dyDescent="0.25">
      <c r="C429" s="515">
        <v>45160</v>
      </c>
      <c r="D429" s="549">
        <f>YEAR(Tabla14[[#This Row],[Fecha]])</f>
        <v>2023</v>
      </c>
      <c r="E429" s="516">
        <f>IF(Tabla14[[#This Row],[Fecha]]&gt;0,_xlfn.ISOWEEKNUM(Tabla14[[#This Row],[Fecha]]),0)</f>
        <v>34</v>
      </c>
      <c r="F429" s="283">
        <v>51</v>
      </c>
      <c r="G429" s="275" t="s">
        <v>268</v>
      </c>
      <c r="H429" s="325" t="str">
        <f>_xlfn.XLOOKUP(Tabla14[[#This Row],[Codigo Finca]],Tabla4[Codigo Finca],Tabla4[Nombre Finca],"")</f>
        <v>San Pedro</v>
      </c>
      <c r="I429" s="277">
        <f>_xlfn.XLOOKUP(Tabla14[[#This Row],[Codigo Finca]],Tabla4[Codigo Finca],Tabla4[Precio Caja],0)</f>
        <v>2000</v>
      </c>
      <c r="J429" s="277">
        <f>_xlfn.XLOOKUP(Tabla14[[#This Row],[Codigo Finca]],Tabla4[Codigo Finca],Tabla4[Precio Caja Segunda],0)</f>
        <v>1150</v>
      </c>
      <c r="K429" s="277">
        <f>_xlfn.XLOOKUP(Tabla14[[#This Row],[Codigo Finca]],Tabla4[Codigo Finca],Tabla4[Precio Rechazo],0)</f>
        <v>675</v>
      </c>
      <c r="L429" s="277">
        <f t="shared" si="426"/>
        <v>197</v>
      </c>
      <c r="M429" s="278">
        <f t="shared" si="427"/>
        <v>3.8627450980392157</v>
      </c>
      <c r="N429" s="283"/>
      <c r="O429" s="279"/>
      <c r="P429" s="280">
        <f t="shared" si="428"/>
        <v>0</v>
      </c>
      <c r="Q429" s="281">
        <f t="shared" si="429"/>
        <v>0</v>
      </c>
      <c r="R429" s="282">
        <f t="shared" si="430"/>
        <v>0</v>
      </c>
      <c r="S429" s="283">
        <v>197</v>
      </c>
      <c r="T429" s="275">
        <v>11</v>
      </c>
      <c r="U429" s="280">
        <f t="shared" si="431"/>
        <v>51</v>
      </c>
      <c r="V429" s="281">
        <f t="shared" si="432"/>
        <v>4.6363636363636367</v>
      </c>
      <c r="W429" s="282">
        <f t="shared" si="433"/>
        <v>9272.7272727272721</v>
      </c>
      <c r="X429" s="283"/>
      <c r="Y429" s="275"/>
      <c r="Z429" s="280">
        <f>Tabla14[[#This Row],[Cajas Segunda]]</f>
        <v>0</v>
      </c>
      <c r="AA429" s="281">
        <f t="shared" si="434"/>
        <v>0</v>
      </c>
      <c r="AB429" s="284">
        <f t="shared" si="435"/>
        <v>0</v>
      </c>
      <c r="AC429" s="285"/>
      <c r="AD429" s="286">
        <v>242</v>
      </c>
      <c r="AE429" s="286"/>
      <c r="AF429" s="286"/>
      <c r="AG429" s="286">
        <v>11</v>
      </c>
      <c r="AH429" s="280">
        <f t="shared" si="436"/>
        <v>9.68</v>
      </c>
      <c r="AI429" s="281">
        <f t="shared" si="437"/>
        <v>0.88</v>
      </c>
      <c r="AJ429" s="282">
        <f t="shared" si="438"/>
        <v>594</v>
      </c>
      <c r="AK429" s="287">
        <f>Tabla14[[#This Row],[Cajas por Personas]]</f>
        <v>0</v>
      </c>
      <c r="AL429" s="288">
        <f>Tabla14[[#This Row],[Valor Precorte Pesona]]</f>
        <v>0</v>
      </c>
      <c r="AM429" s="294">
        <f>Tabla14[[#This Row],[Personas Precorte]]</f>
        <v>0</v>
      </c>
      <c r="AN429" s="308">
        <f>Tabla14[[#This Row],[Valor Precorte Pesona Precorte]]*Tabla14[[#This Row],[Perzonas Precorte]]</f>
        <v>0</v>
      </c>
      <c r="AO429" s="287">
        <f>Tabla14[[#This Row],[Cajas por Personas2]]</f>
        <v>4.6363636363636367</v>
      </c>
      <c r="AP429" s="288">
        <f>Tabla14[[#This Row],[Valor Embarque Pesona]]</f>
        <v>9272.7272727272721</v>
      </c>
      <c r="AQ429" s="295">
        <f>Tabla14[[#This Row],[Personas Precorte2]]</f>
        <v>11</v>
      </c>
      <c r="AR429" s="296">
        <f>Tabla14[[#This Row],[Valor Embarque Pesona3]]*Tabla14[[#This Row],[Perzona Primera]]</f>
        <v>102000</v>
      </c>
      <c r="AS429" s="287">
        <f>Tabla14[[#This Row],[Columna2]]</f>
        <v>0</v>
      </c>
      <c r="AT429" s="288">
        <f>Tabla14[[#This Row],[Columna1]]</f>
        <v>0</v>
      </c>
      <c r="AU429" s="302">
        <f>Tabla14[[#This Row],[Personas Intervienen]]</f>
        <v>0</v>
      </c>
      <c r="AV429" s="297">
        <f>Tabla14[[#This Row],[Valor Embarque Pesona5]]*Tabla14[[#This Row],[Presonas Segunda]]</f>
        <v>0</v>
      </c>
      <c r="AW429" s="287">
        <f>Tabla14[[#This Row],[Bolsas Por Personas]]</f>
        <v>0.88</v>
      </c>
      <c r="AX429" s="288">
        <f>Tabla14[[#This Row],[Valor bolsas Pesona]]</f>
        <v>594</v>
      </c>
      <c r="AY429" s="309">
        <f>Tabla14[[#This Row],[Personas13]]</f>
        <v>11</v>
      </c>
      <c r="AZ429" s="310">
        <f>Tabla14[[#This Row],[Valor bolsas Pesona2]]*Tabla14[[#This Row],[Personas Rechazo]]</f>
        <v>6534</v>
      </c>
      <c r="BA429" s="311">
        <f>+Tabla14[[#This Row],[Total Valor Segunda]]+Tabla14[[#This Row],[Total Valor Primera]]+Tabla14[[#This Row],[Total Valor Precorte]]</f>
        <v>102000</v>
      </c>
      <c r="BB429" s="292">
        <f>Tabla14[[#This Row],[Valor bolsas Pesona2]]+Tabla14[[#This Row],[Valor Embarque Pesona3]]</f>
        <v>9866.7272727272721</v>
      </c>
      <c r="BD429" s="292">
        <f>Tabla14[[#This Row],[VALOR GANADO]]-Tabla14[[#This Row],[REAJUSTADO]]</f>
        <v>9866.7272727272721</v>
      </c>
      <c r="BE429" s="250">
        <f>Tabla14[[#This Row],[CUANTO SE REAJUSTA]]*Tabla14[[#This Row],[Personas Rechazo]]</f>
        <v>108534</v>
      </c>
      <c r="BF429" s="250">
        <f>Tabla14[[#This Row],[REAJUSTADO]]/25000</f>
        <v>0</v>
      </c>
      <c r="BG429" s="302">
        <f>Tabla14[[#This Row],[REAJUSTADO]]*Tabla14[[#This Row],[Personas Rechazo]]</f>
        <v>0</v>
      </c>
      <c r="BH429" s="292" t="str">
        <f>Tabla14[[#This Row],[Finca]]</f>
        <v>San Pedro</v>
      </c>
      <c r="BJ429" s="332">
        <f>Tabla14[[#This Row],[Numero de Ocacionales]]*Tabla14[[#This Row],[REAJUSTADO]]</f>
        <v>0</v>
      </c>
      <c r="BK429" s="332"/>
      <c r="BL429" s="332"/>
      <c r="BM429" s="332">
        <f>+Tabla14[[#This Row],[CUANTO SE REAJUSTA]]*3</f>
        <v>29600.181818181816</v>
      </c>
    </row>
    <row r="430" spans="3:65" x14ac:dyDescent="0.25">
      <c r="C430" s="515">
        <v>45160</v>
      </c>
      <c r="D430" s="549">
        <f>YEAR(Tabla14[[#This Row],[Fecha]])</f>
        <v>2023</v>
      </c>
      <c r="E430" s="516">
        <f>IF(Tabla14[[#This Row],[Fecha]]&gt;0,_xlfn.ISOWEEKNUM(Tabla14[[#This Row],[Fecha]]),0)</f>
        <v>34</v>
      </c>
      <c r="F430" s="283">
        <v>9</v>
      </c>
      <c r="G430" s="275" t="s">
        <v>248</v>
      </c>
      <c r="H430" s="325" t="str">
        <f>_xlfn.XLOOKUP(Tabla14[[#This Row],[Codigo Finca]],Tabla4[Codigo Finca],Tabla4[Nombre Finca],"")</f>
        <v>Damaquiel</v>
      </c>
      <c r="I430" s="277">
        <f>_xlfn.XLOOKUP(Tabla14[[#This Row],[Codigo Finca]],Tabla4[Codigo Finca],Tabla4[Precio Caja],0)</f>
        <v>1800</v>
      </c>
      <c r="J430" s="277">
        <f>_xlfn.XLOOKUP(Tabla14[[#This Row],[Codigo Finca]],Tabla4[Codigo Finca],Tabla4[Precio Caja Segunda],0)</f>
        <v>1150</v>
      </c>
      <c r="K430" s="277">
        <f>_xlfn.XLOOKUP(Tabla14[[#This Row],[Codigo Finca]],Tabla4[Codigo Finca],Tabla4[Precio Rechazo],0)</f>
        <v>575</v>
      </c>
      <c r="L430" s="277">
        <f t="shared" si="426"/>
        <v>0</v>
      </c>
      <c r="M430" s="278">
        <f t="shared" si="427"/>
        <v>0</v>
      </c>
      <c r="N430" s="283"/>
      <c r="O430" s="279"/>
      <c r="P430" s="280">
        <f t="shared" si="428"/>
        <v>0</v>
      </c>
      <c r="Q430" s="281">
        <f t="shared" si="429"/>
        <v>0</v>
      </c>
      <c r="R430" s="282">
        <f t="shared" si="430"/>
        <v>0</v>
      </c>
      <c r="S430" s="338"/>
      <c r="T430" s="275">
        <v>4</v>
      </c>
      <c r="U430" s="280">
        <f t="shared" si="431"/>
        <v>9</v>
      </c>
      <c r="V430" s="281">
        <f t="shared" si="432"/>
        <v>2.25</v>
      </c>
      <c r="W430" s="282">
        <f t="shared" si="433"/>
        <v>4050</v>
      </c>
      <c r="X430" s="283"/>
      <c r="Y430" s="275"/>
      <c r="Z430" s="280">
        <f>Tabla14[[#This Row],[Cajas Segunda]]</f>
        <v>0</v>
      </c>
      <c r="AA430" s="281">
        <f t="shared" si="434"/>
        <v>0</v>
      </c>
      <c r="AB430" s="284">
        <f t="shared" si="435"/>
        <v>0</v>
      </c>
      <c r="AC430" s="285"/>
      <c r="AD430" s="286"/>
      <c r="AE430" s="286"/>
      <c r="AF430" s="286"/>
      <c r="AG430" s="286">
        <v>4</v>
      </c>
      <c r="AH430" s="280">
        <f t="shared" si="436"/>
        <v>0</v>
      </c>
      <c r="AI430" s="281">
        <f t="shared" si="437"/>
        <v>0</v>
      </c>
      <c r="AJ430" s="282">
        <f t="shared" si="438"/>
        <v>0</v>
      </c>
      <c r="AK430" s="287">
        <f>Tabla14[[#This Row],[Cajas por Personas]]</f>
        <v>0</v>
      </c>
      <c r="AL430" s="288">
        <f>Tabla14[[#This Row],[Valor Precorte Pesona]]</f>
        <v>0</v>
      </c>
      <c r="AM430" s="294">
        <f>Tabla14[[#This Row],[Personas Precorte]]</f>
        <v>0</v>
      </c>
      <c r="AN430" s="308">
        <f>Tabla14[[#This Row],[Valor Precorte Pesona Precorte]]*Tabla14[[#This Row],[Perzonas Precorte]]</f>
        <v>0</v>
      </c>
      <c r="AO430" s="287">
        <f>Tabla14[[#This Row],[Cajas por Personas2]]</f>
        <v>2.25</v>
      </c>
      <c r="AP430" s="288">
        <f>Tabla14[[#This Row],[Valor Embarque Pesona]]</f>
        <v>4050</v>
      </c>
      <c r="AQ430" s="295">
        <f>Tabla14[[#This Row],[Personas Precorte2]]</f>
        <v>4</v>
      </c>
      <c r="AR430" s="296">
        <f>Tabla14[[#This Row],[Valor Embarque Pesona3]]*Tabla14[[#This Row],[Perzona Primera]]</f>
        <v>16200</v>
      </c>
      <c r="AS430" s="287">
        <f>Tabla14[[#This Row],[Columna2]]</f>
        <v>0</v>
      </c>
      <c r="AT430" s="288">
        <f>Tabla14[[#This Row],[Columna1]]</f>
        <v>0</v>
      </c>
      <c r="AU430" s="302">
        <f>Tabla14[[#This Row],[Personas Intervienen]]</f>
        <v>0</v>
      </c>
      <c r="AV430" s="297">
        <f>Tabla14[[#This Row],[Valor Embarque Pesona5]]*Tabla14[[#This Row],[Presonas Segunda]]</f>
        <v>0</v>
      </c>
      <c r="AW430" s="287">
        <f>Tabla14[[#This Row],[Bolsas Por Personas]]</f>
        <v>0</v>
      </c>
      <c r="AX430" s="288">
        <f>Tabla14[[#This Row],[Valor bolsas Pesona]]</f>
        <v>0</v>
      </c>
      <c r="AY430" s="309">
        <f>Tabla14[[#This Row],[Personas13]]</f>
        <v>4</v>
      </c>
      <c r="AZ430" s="310">
        <f>Tabla14[[#This Row],[Valor bolsas Pesona2]]*Tabla14[[#This Row],[Personas Rechazo]]</f>
        <v>0</v>
      </c>
      <c r="BA430" s="311">
        <f>+Tabla14[[#This Row],[Total Valor Segunda]]+Tabla14[[#This Row],[Total Valor Primera]]+Tabla14[[#This Row],[Total Valor Precorte]]</f>
        <v>16200</v>
      </c>
      <c r="BB430" s="292">
        <f>Tabla14[[#This Row],[Valor bolsas Pesona2]]+Tabla14[[#This Row],[Valor Embarque Pesona3]]</f>
        <v>4050</v>
      </c>
      <c r="BC430" s="332">
        <v>30000</v>
      </c>
      <c r="BD430" s="292">
        <f>Tabla14[[#This Row],[VALOR GANADO]]-Tabla14[[#This Row],[REAJUSTADO]]</f>
        <v>-25950</v>
      </c>
      <c r="BE430" s="250">
        <f>Tabla14[[#This Row],[CUANTO SE REAJUSTA]]*Tabla14[[#This Row],[Personas Rechazo]]</f>
        <v>-103800</v>
      </c>
      <c r="BF430" s="250">
        <f>Tabla14[[#This Row],[REAJUSTADO]]/25000</f>
        <v>1.2</v>
      </c>
      <c r="BG430" s="302">
        <f>Tabla14[[#This Row],[REAJUSTADO]]*Tabla14[[#This Row],[Personas Rechazo]]</f>
        <v>120000</v>
      </c>
      <c r="BH430" s="292" t="str">
        <f>Tabla14[[#This Row],[Finca]]</f>
        <v>Damaquiel</v>
      </c>
      <c r="BJ430" s="332">
        <f>Tabla14[[#This Row],[Numero de Ocacionales]]*Tabla14[[#This Row],[REAJUSTADO]]</f>
        <v>0</v>
      </c>
      <c r="BK430" s="332"/>
      <c r="BL430" s="332"/>
      <c r="BM430" s="332">
        <f>+Tabla14[[#This Row],[CUANTO SE REAJUSTA]]*3</f>
        <v>-77850</v>
      </c>
    </row>
    <row r="431" spans="3:65" x14ac:dyDescent="0.25">
      <c r="C431" s="515">
        <v>45160</v>
      </c>
      <c r="D431" s="549">
        <f>YEAR(Tabla14[[#This Row],[Fecha]])</f>
        <v>2023</v>
      </c>
      <c r="E431" s="516">
        <f>IF(Tabla14[[#This Row],[Fecha]]&gt;0,_xlfn.ISOWEEKNUM(Tabla14[[#This Row],[Fecha]]),0)</f>
        <v>34</v>
      </c>
      <c r="F431" s="283">
        <v>31</v>
      </c>
      <c r="G431" s="275" t="s">
        <v>250</v>
      </c>
      <c r="H431" s="325" t="str">
        <f>_xlfn.XLOOKUP(Tabla14[[#This Row],[Codigo Finca]],Tabla4[Codigo Finca],Tabla4[Nombre Finca],"")</f>
        <v>San Pedro</v>
      </c>
      <c r="I431" s="277">
        <f>_xlfn.XLOOKUP(Tabla14[[#This Row],[Codigo Finca]],Tabla4[Codigo Finca],Tabla4[Precio Caja],0)</f>
        <v>1800</v>
      </c>
      <c r="J431" s="277">
        <f>_xlfn.XLOOKUP(Tabla14[[#This Row],[Codigo Finca]],Tabla4[Codigo Finca],Tabla4[Precio Caja Segunda],0)</f>
        <v>1150</v>
      </c>
      <c r="K431" s="277">
        <f>_xlfn.XLOOKUP(Tabla14[[#This Row],[Codigo Finca]],Tabla4[Codigo Finca],Tabla4[Precio Rechazo],0)</f>
        <v>575</v>
      </c>
      <c r="L431" s="277">
        <f t="shared" si="426"/>
        <v>0</v>
      </c>
      <c r="M431" s="278">
        <f t="shared" si="427"/>
        <v>0</v>
      </c>
      <c r="N431" s="283"/>
      <c r="O431" s="279"/>
      <c r="P431" s="280">
        <f t="shared" si="428"/>
        <v>0</v>
      </c>
      <c r="Q431" s="281">
        <f t="shared" si="429"/>
        <v>0</v>
      </c>
      <c r="R431" s="282">
        <f t="shared" si="430"/>
        <v>0</v>
      </c>
      <c r="S431" s="283"/>
      <c r="T431" s="275">
        <v>3</v>
      </c>
      <c r="U431" s="280">
        <f t="shared" si="431"/>
        <v>31</v>
      </c>
      <c r="V431" s="281">
        <f t="shared" si="432"/>
        <v>10.333333333333334</v>
      </c>
      <c r="W431" s="282">
        <f t="shared" si="433"/>
        <v>18600</v>
      </c>
      <c r="X431" s="283"/>
      <c r="Y431" s="275"/>
      <c r="Z431" s="280">
        <f>Tabla14[[#This Row],[Cajas Segunda]]</f>
        <v>0</v>
      </c>
      <c r="AA431" s="281">
        <f t="shared" si="434"/>
        <v>0</v>
      </c>
      <c r="AB431" s="284">
        <f t="shared" si="435"/>
        <v>0</v>
      </c>
      <c r="AC431" s="285"/>
      <c r="AD431" s="286"/>
      <c r="AE431" s="286"/>
      <c r="AF431" s="286"/>
      <c r="AG431" s="286"/>
      <c r="AH431" s="280">
        <f t="shared" si="436"/>
        <v>0</v>
      </c>
      <c r="AI431" s="281">
        <f t="shared" si="437"/>
        <v>0</v>
      </c>
      <c r="AJ431" s="282">
        <f t="shared" si="438"/>
        <v>0</v>
      </c>
      <c r="AK431" s="287">
        <f>Tabla14[[#This Row],[Cajas por Personas]]</f>
        <v>0</v>
      </c>
      <c r="AL431" s="288">
        <f>Tabla14[[#This Row],[Valor Precorte Pesona]]</f>
        <v>0</v>
      </c>
      <c r="AM431" s="294">
        <f>Tabla14[[#This Row],[Personas Precorte]]</f>
        <v>0</v>
      </c>
      <c r="AN431" s="308">
        <f>Tabla14[[#This Row],[Valor Precorte Pesona Precorte]]*Tabla14[[#This Row],[Perzonas Precorte]]</f>
        <v>0</v>
      </c>
      <c r="AO431" s="287">
        <f>Tabla14[[#This Row],[Cajas por Personas2]]</f>
        <v>10.333333333333334</v>
      </c>
      <c r="AP431" s="288">
        <f>Tabla14[[#This Row],[Valor Embarque Pesona]]</f>
        <v>18600</v>
      </c>
      <c r="AQ431" s="295">
        <f>Tabla14[[#This Row],[Personas Precorte2]]</f>
        <v>3</v>
      </c>
      <c r="AR431" s="296">
        <f>Tabla14[[#This Row],[Valor Embarque Pesona3]]*Tabla14[[#This Row],[Perzona Primera]]</f>
        <v>55800</v>
      </c>
      <c r="AS431" s="287">
        <f>Tabla14[[#This Row],[Columna2]]</f>
        <v>0</v>
      </c>
      <c r="AT431" s="288">
        <f>Tabla14[[#This Row],[Columna1]]</f>
        <v>0</v>
      </c>
      <c r="AU431" s="302">
        <f>Tabla14[[#This Row],[Personas Intervienen]]</f>
        <v>0</v>
      </c>
      <c r="AV431" s="297">
        <f>Tabla14[[#This Row],[Valor Embarque Pesona5]]*Tabla14[[#This Row],[Presonas Segunda]]</f>
        <v>0</v>
      </c>
      <c r="AW431" s="287">
        <f>Tabla14[[#This Row],[Bolsas Por Personas]]</f>
        <v>0</v>
      </c>
      <c r="AX431" s="288">
        <f>Tabla14[[#This Row],[Valor bolsas Pesona]]</f>
        <v>0</v>
      </c>
      <c r="AY431" s="309">
        <f>Tabla14[[#This Row],[Personas13]]</f>
        <v>0</v>
      </c>
      <c r="AZ431" s="310">
        <f>Tabla14[[#This Row],[Valor bolsas Pesona2]]*Tabla14[[#This Row],[Personas Rechazo]]</f>
        <v>0</v>
      </c>
      <c r="BA431" s="311">
        <f>+Tabla14[[#This Row],[Total Valor Segunda]]+Tabla14[[#This Row],[Total Valor Primera]]+Tabla14[[#This Row],[Total Valor Precorte]]</f>
        <v>55800</v>
      </c>
      <c r="BB431" s="292">
        <f>Tabla14[[#This Row],[Valor bolsas Pesona2]]+Tabla14[[#This Row],[Valor Embarque Pesona3]]</f>
        <v>18600</v>
      </c>
      <c r="BD431" s="292">
        <f>Tabla14[[#This Row],[VALOR GANADO]]-Tabla14[[#This Row],[REAJUSTADO]]</f>
        <v>18600</v>
      </c>
      <c r="BE431" s="250">
        <f>Tabla14[[#This Row],[CUANTO SE REAJUSTA]]*Tabla14[[#This Row],[Personas Rechazo]]</f>
        <v>0</v>
      </c>
      <c r="BF431" s="250">
        <f>Tabla14[[#This Row],[REAJUSTADO]]/25000</f>
        <v>0</v>
      </c>
      <c r="BG431" s="302">
        <f>Tabla14[[#This Row],[REAJUSTADO]]*Tabla14[[#This Row],[Personas Rechazo]]</f>
        <v>0</v>
      </c>
      <c r="BH431" s="292" t="str">
        <f>Tabla14[[#This Row],[Finca]]</f>
        <v>San Pedro</v>
      </c>
      <c r="BJ431" s="332">
        <f>Tabla14[[#This Row],[Numero de Ocacionales]]*Tabla14[[#This Row],[REAJUSTADO]]</f>
        <v>0</v>
      </c>
      <c r="BK431" s="332"/>
      <c r="BL431" s="332"/>
      <c r="BM431" s="332">
        <f>+Tabla14[[#This Row],[CUANTO SE REAJUSTA]]*3</f>
        <v>55800</v>
      </c>
    </row>
    <row r="432" spans="3:65" x14ac:dyDescent="0.25">
      <c r="C432" s="515">
        <v>45160</v>
      </c>
      <c r="D432" s="549">
        <f>YEAR(Tabla14[[#This Row],[Fecha]])</f>
        <v>2023</v>
      </c>
      <c r="E432" s="516">
        <f>IF(Tabla14[[#This Row],[Fecha]]&gt;0,_xlfn.ISOWEEKNUM(Tabla14[[#This Row],[Fecha]]),0)</f>
        <v>34</v>
      </c>
      <c r="F432" s="283">
        <v>15</v>
      </c>
      <c r="G432" s="275" t="s">
        <v>250</v>
      </c>
      <c r="H432" s="325" t="str">
        <f>_xlfn.XLOOKUP(Tabla14[[#This Row],[Codigo Finca]],Tabla4[Codigo Finca],Tabla4[Nombre Finca],"")</f>
        <v>San Pedro</v>
      </c>
      <c r="I432" s="277">
        <f>_xlfn.XLOOKUP(Tabla14[[#This Row],[Codigo Finca]],Tabla4[Codigo Finca],Tabla4[Precio Caja],0)</f>
        <v>1800</v>
      </c>
      <c r="J432" s="277">
        <f>_xlfn.XLOOKUP(Tabla14[[#This Row],[Codigo Finca]],Tabla4[Codigo Finca],Tabla4[Precio Caja Segunda],0)</f>
        <v>1150</v>
      </c>
      <c r="K432" s="277">
        <f>_xlfn.XLOOKUP(Tabla14[[#This Row],[Codigo Finca]],Tabla4[Codigo Finca],Tabla4[Precio Rechazo],0)</f>
        <v>575</v>
      </c>
      <c r="L432" s="277">
        <f t="shared" si="426"/>
        <v>0</v>
      </c>
      <c r="M432" s="278">
        <f t="shared" si="427"/>
        <v>0</v>
      </c>
      <c r="N432" s="283"/>
      <c r="O432" s="279"/>
      <c r="P432" s="280">
        <f t="shared" si="428"/>
        <v>0</v>
      </c>
      <c r="Q432" s="281">
        <f t="shared" si="429"/>
        <v>0</v>
      </c>
      <c r="R432" s="282">
        <f t="shared" si="430"/>
        <v>0</v>
      </c>
      <c r="S432" s="283"/>
      <c r="T432" s="275">
        <v>1</v>
      </c>
      <c r="U432" s="280">
        <f t="shared" si="431"/>
        <v>15</v>
      </c>
      <c r="V432" s="281">
        <f t="shared" si="432"/>
        <v>15</v>
      </c>
      <c r="W432" s="282">
        <f t="shared" si="433"/>
        <v>27000</v>
      </c>
      <c r="X432" s="283"/>
      <c r="Y432" s="275"/>
      <c r="Z432" s="280">
        <f>Tabla14[[#This Row],[Cajas Segunda]]</f>
        <v>0</v>
      </c>
      <c r="AA432" s="281">
        <f t="shared" si="434"/>
        <v>0</v>
      </c>
      <c r="AB432" s="284">
        <f t="shared" si="435"/>
        <v>0</v>
      </c>
      <c r="AC432" s="285"/>
      <c r="AD432" s="286"/>
      <c r="AE432" s="286"/>
      <c r="AF432" s="286"/>
      <c r="AG432" s="286"/>
      <c r="AH432" s="280">
        <f t="shared" si="436"/>
        <v>0</v>
      </c>
      <c r="AI432" s="281">
        <f t="shared" si="437"/>
        <v>0</v>
      </c>
      <c r="AJ432" s="282">
        <f t="shared" si="438"/>
        <v>0</v>
      </c>
      <c r="AK432" s="287">
        <f>Tabla14[[#This Row],[Cajas por Personas]]</f>
        <v>0</v>
      </c>
      <c r="AL432" s="288">
        <f>Tabla14[[#This Row],[Valor Precorte Pesona]]</f>
        <v>0</v>
      </c>
      <c r="AM432" s="294">
        <f>Tabla14[[#This Row],[Personas Precorte]]</f>
        <v>0</v>
      </c>
      <c r="AN432" s="308">
        <f>Tabla14[[#This Row],[Valor Precorte Pesona Precorte]]*Tabla14[[#This Row],[Perzonas Precorte]]</f>
        <v>0</v>
      </c>
      <c r="AO432" s="287">
        <f>Tabla14[[#This Row],[Cajas por Personas2]]</f>
        <v>15</v>
      </c>
      <c r="AP432" s="288">
        <f>Tabla14[[#This Row],[Valor Embarque Pesona]]</f>
        <v>27000</v>
      </c>
      <c r="AQ432" s="295">
        <f>Tabla14[[#This Row],[Personas Precorte2]]</f>
        <v>1</v>
      </c>
      <c r="AR432" s="296">
        <f>Tabla14[[#This Row],[Valor Embarque Pesona3]]*Tabla14[[#This Row],[Perzona Primera]]</f>
        <v>27000</v>
      </c>
      <c r="AS432" s="287">
        <f>Tabla14[[#This Row],[Columna2]]</f>
        <v>0</v>
      </c>
      <c r="AT432" s="288">
        <f>Tabla14[[#This Row],[Columna1]]</f>
        <v>0</v>
      </c>
      <c r="AU432" s="302">
        <f>Tabla14[[#This Row],[Personas Intervienen]]</f>
        <v>0</v>
      </c>
      <c r="AV432" s="297">
        <f>Tabla14[[#This Row],[Valor Embarque Pesona5]]*Tabla14[[#This Row],[Presonas Segunda]]</f>
        <v>0</v>
      </c>
      <c r="AW432" s="287">
        <f>Tabla14[[#This Row],[Bolsas Por Personas]]</f>
        <v>0</v>
      </c>
      <c r="AX432" s="288">
        <f>Tabla14[[#This Row],[Valor bolsas Pesona]]</f>
        <v>0</v>
      </c>
      <c r="AY432" s="309">
        <f>Tabla14[[#This Row],[Personas13]]</f>
        <v>0</v>
      </c>
      <c r="AZ432" s="310">
        <f>Tabla14[[#This Row],[Valor bolsas Pesona2]]*Tabla14[[#This Row],[Personas Rechazo]]</f>
        <v>0</v>
      </c>
      <c r="BA432" s="311">
        <f>+Tabla14[[#This Row],[Total Valor Segunda]]+Tabla14[[#This Row],[Total Valor Primera]]+Tabla14[[#This Row],[Total Valor Precorte]]</f>
        <v>27000</v>
      </c>
      <c r="BB432" s="292">
        <f>Tabla14[[#This Row],[Valor bolsas Pesona2]]+Tabla14[[#This Row],[Valor Embarque Pesona3]]</f>
        <v>27000</v>
      </c>
      <c r="BD432" s="292">
        <f>Tabla14[[#This Row],[VALOR GANADO]]-Tabla14[[#This Row],[REAJUSTADO]]</f>
        <v>27000</v>
      </c>
      <c r="BE432" s="250">
        <f>Tabla14[[#This Row],[CUANTO SE REAJUSTA]]*Tabla14[[#This Row],[Personas Rechazo]]</f>
        <v>0</v>
      </c>
      <c r="BF432" s="250">
        <f>Tabla14[[#This Row],[REAJUSTADO]]/25000</f>
        <v>0</v>
      </c>
      <c r="BG432" s="302">
        <f>Tabla14[[#This Row],[REAJUSTADO]]*Tabla14[[#This Row],[Personas Rechazo]]</f>
        <v>0</v>
      </c>
      <c r="BH432" s="292" t="str">
        <f>Tabla14[[#This Row],[Finca]]</f>
        <v>San Pedro</v>
      </c>
      <c r="BJ432" s="332">
        <f>Tabla14[[#This Row],[Numero de Ocacionales]]*Tabla14[[#This Row],[REAJUSTADO]]</f>
        <v>0</v>
      </c>
      <c r="BK432" s="332"/>
      <c r="BL432" s="332"/>
      <c r="BM432" s="332">
        <f>+Tabla14[[#This Row],[CUANTO SE REAJUSTA]]*3</f>
        <v>81000</v>
      </c>
    </row>
    <row r="433" spans="3:65" x14ac:dyDescent="0.25">
      <c r="C433" s="515">
        <v>45161</v>
      </c>
      <c r="D433" s="549">
        <f>YEAR(Tabla14[[#This Row],[Fecha]])</f>
        <v>2023</v>
      </c>
      <c r="E433" s="516">
        <f>IF(Tabla14[[#This Row],[Fecha]]&gt;0,_xlfn.ISOWEEKNUM(Tabla14[[#This Row],[Fecha]]),0)</f>
        <v>34</v>
      </c>
      <c r="F433" s="283">
        <v>148</v>
      </c>
      <c r="G433" s="275" t="s">
        <v>251</v>
      </c>
      <c r="H433" s="325" t="str">
        <f>_xlfn.XLOOKUP(Tabla14[[#This Row],[Codigo Finca]],Tabla4[Codigo Finca],Tabla4[Nombre Finca],"")</f>
        <v>Pedrito</v>
      </c>
      <c r="I433" s="277">
        <f>_xlfn.XLOOKUP(Tabla14[[#This Row],[Codigo Finca]],Tabla4[Codigo Finca],Tabla4[Precio Caja],0)</f>
        <v>1800</v>
      </c>
      <c r="J433" s="277">
        <f>_xlfn.XLOOKUP(Tabla14[[#This Row],[Codigo Finca]],Tabla4[Codigo Finca],Tabla4[Precio Caja Segunda],0)</f>
        <v>1150</v>
      </c>
      <c r="K433" s="277">
        <f>_xlfn.XLOOKUP(Tabla14[[#This Row],[Codigo Finca]],Tabla4[Codigo Finca],Tabla4[Precio Rechazo],0)</f>
        <v>575</v>
      </c>
      <c r="L433" s="277">
        <f t="shared" si="426"/>
        <v>0</v>
      </c>
      <c r="M433" s="278">
        <f t="shared" si="427"/>
        <v>0</v>
      </c>
      <c r="N433" s="283"/>
      <c r="O433" s="279"/>
      <c r="P433" s="280">
        <f t="shared" si="428"/>
        <v>0</v>
      </c>
      <c r="Q433" s="281">
        <f t="shared" si="429"/>
        <v>0</v>
      </c>
      <c r="R433" s="282">
        <f t="shared" si="430"/>
        <v>0</v>
      </c>
      <c r="S433" s="283"/>
      <c r="T433" s="275">
        <v>10</v>
      </c>
      <c r="U433" s="280">
        <f t="shared" si="431"/>
        <v>148</v>
      </c>
      <c r="V433" s="281">
        <f t="shared" si="432"/>
        <v>14.8</v>
      </c>
      <c r="W433" s="282">
        <f t="shared" si="433"/>
        <v>26640</v>
      </c>
      <c r="X433" s="283"/>
      <c r="Y433" s="275"/>
      <c r="Z433" s="280">
        <f>Tabla14[[#This Row],[Cajas Segunda]]</f>
        <v>0</v>
      </c>
      <c r="AA433" s="281">
        <f t="shared" si="434"/>
        <v>0</v>
      </c>
      <c r="AB433" s="284">
        <f t="shared" si="435"/>
        <v>0</v>
      </c>
      <c r="AC433" s="285"/>
      <c r="AD433" s="286">
        <v>1584</v>
      </c>
      <c r="AE433" s="286"/>
      <c r="AF433" s="286"/>
      <c r="AG433" s="286">
        <v>10</v>
      </c>
      <c r="AH433" s="280">
        <f t="shared" si="436"/>
        <v>63.36</v>
      </c>
      <c r="AI433" s="281">
        <f t="shared" si="437"/>
        <v>6.3360000000000003</v>
      </c>
      <c r="AJ433" s="282">
        <f t="shared" si="438"/>
        <v>3643.2000000000003</v>
      </c>
      <c r="AK433" s="287">
        <f>Tabla14[[#This Row],[Cajas por Personas]]</f>
        <v>0</v>
      </c>
      <c r="AL433" s="288">
        <f>Tabla14[[#This Row],[Valor Precorte Pesona]]</f>
        <v>0</v>
      </c>
      <c r="AM433" s="294">
        <f>Tabla14[[#This Row],[Personas Precorte]]</f>
        <v>0</v>
      </c>
      <c r="AN433" s="308">
        <f>Tabla14[[#This Row],[Valor Precorte Pesona Precorte]]*Tabla14[[#This Row],[Perzonas Precorte]]</f>
        <v>0</v>
      </c>
      <c r="AO433" s="287">
        <f>Tabla14[[#This Row],[Cajas por Personas2]]</f>
        <v>14.8</v>
      </c>
      <c r="AP433" s="288">
        <f>Tabla14[[#This Row],[Valor Embarque Pesona]]</f>
        <v>26640</v>
      </c>
      <c r="AQ433" s="295">
        <f>Tabla14[[#This Row],[Personas Precorte2]]</f>
        <v>10</v>
      </c>
      <c r="AR433" s="296">
        <f>Tabla14[[#This Row],[Valor Embarque Pesona3]]*Tabla14[[#This Row],[Perzona Primera]]</f>
        <v>266400</v>
      </c>
      <c r="AS433" s="287">
        <f>Tabla14[[#This Row],[Columna2]]</f>
        <v>0</v>
      </c>
      <c r="AT433" s="288">
        <f>Tabla14[[#This Row],[Columna1]]</f>
        <v>0</v>
      </c>
      <c r="AU433" s="302">
        <f>Tabla14[[#This Row],[Personas Intervienen]]</f>
        <v>0</v>
      </c>
      <c r="AV433" s="297">
        <f>Tabla14[[#This Row],[Valor Embarque Pesona5]]*Tabla14[[#This Row],[Presonas Segunda]]</f>
        <v>0</v>
      </c>
      <c r="AW433" s="287">
        <f>Tabla14[[#This Row],[Bolsas Por Personas]]</f>
        <v>6.3360000000000003</v>
      </c>
      <c r="AX433" s="288">
        <f>Tabla14[[#This Row],[Valor bolsas Pesona]]</f>
        <v>3643.2000000000003</v>
      </c>
      <c r="AY433" s="309">
        <f>Tabla14[[#This Row],[Personas13]]</f>
        <v>10</v>
      </c>
      <c r="AZ433" s="310">
        <f>Tabla14[[#This Row],[Valor bolsas Pesona2]]*Tabla14[[#This Row],[Personas Rechazo]]</f>
        <v>36432</v>
      </c>
      <c r="BA433" s="311">
        <f>+Tabla14[[#This Row],[Total Valor Segunda]]+Tabla14[[#This Row],[Total Valor Primera]]+Tabla14[[#This Row],[Total Valor Precorte]]</f>
        <v>266400</v>
      </c>
      <c r="BB433" s="292">
        <f>Tabla14[[#This Row],[Valor bolsas Pesona2]]+Tabla14[[#This Row],[Valor Embarque Pesona3]]</f>
        <v>30283.200000000001</v>
      </c>
      <c r="BC433" s="332">
        <v>30000</v>
      </c>
      <c r="BD433" s="292">
        <f>Tabla14[[#This Row],[VALOR GANADO]]-Tabla14[[#This Row],[REAJUSTADO]]</f>
        <v>283.20000000000073</v>
      </c>
      <c r="BE433" s="250">
        <f>Tabla14[[#This Row],[CUANTO SE REAJUSTA]]*Tabla14[[#This Row],[Personas Rechazo]]</f>
        <v>2832.0000000000073</v>
      </c>
      <c r="BF433" s="250">
        <f>Tabla14[[#This Row],[REAJUSTADO]]/25000</f>
        <v>1.2</v>
      </c>
      <c r="BG433" s="302">
        <f>Tabla14[[#This Row],[REAJUSTADO]]*Tabla14[[#This Row],[Personas Rechazo]]</f>
        <v>300000</v>
      </c>
      <c r="BH433" s="292" t="str">
        <f>Tabla14[[#This Row],[Finca]]</f>
        <v>Pedrito</v>
      </c>
      <c r="BJ433" s="332">
        <f>Tabla14[[#This Row],[Numero de Ocacionales]]*Tabla14[[#This Row],[REAJUSTADO]]</f>
        <v>0</v>
      </c>
      <c r="BK433" s="332"/>
      <c r="BL433" s="332"/>
      <c r="BM433" s="332">
        <f>+Tabla14[[#This Row],[CUANTO SE REAJUSTA]]*3</f>
        <v>849.60000000000218</v>
      </c>
    </row>
    <row r="434" spans="3:65" x14ac:dyDescent="0.25">
      <c r="C434" s="515">
        <v>45162</v>
      </c>
      <c r="D434" s="549">
        <f>YEAR(Tabla14[[#This Row],[Fecha]])</f>
        <v>2023</v>
      </c>
      <c r="E434" s="516">
        <f>IF(Tabla14[[#This Row],[Fecha]]&gt;0,_xlfn.ISOWEEKNUM(Tabla14[[#This Row],[Fecha]]),0)</f>
        <v>34</v>
      </c>
      <c r="F434" s="283">
        <v>14</v>
      </c>
      <c r="G434" s="275" t="s">
        <v>266</v>
      </c>
      <c r="H434" s="325" t="str">
        <f>_xlfn.XLOOKUP(Tabla14[[#This Row],[Codigo Finca]],Tabla4[Codigo Finca],Tabla4[Nombre Finca],"")</f>
        <v>Uveros</v>
      </c>
      <c r="I434" s="277">
        <f>_xlfn.XLOOKUP(Tabla14[[#This Row],[Codigo Finca]],Tabla4[Codigo Finca],Tabla4[Precio Caja],0)</f>
        <v>1800</v>
      </c>
      <c r="J434" s="277">
        <f>_xlfn.XLOOKUP(Tabla14[[#This Row],[Codigo Finca]],Tabla4[Codigo Finca],Tabla4[Precio Caja Segunda],0)</f>
        <v>1150</v>
      </c>
      <c r="K434" s="277">
        <f>_xlfn.XLOOKUP(Tabla14[[#This Row],[Codigo Finca]],Tabla4[Codigo Finca],Tabla4[Precio Rechazo],0)</f>
        <v>575</v>
      </c>
      <c r="L434" s="277">
        <f t="shared" si="426"/>
        <v>0</v>
      </c>
      <c r="M434" s="278">
        <f t="shared" si="427"/>
        <v>0</v>
      </c>
      <c r="N434" s="283"/>
      <c r="O434" s="279"/>
      <c r="P434" s="280">
        <f t="shared" si="428"/>
        <v>0</v>
      </c>
      <c r="Q434" s="281">
        <f t="shared" si="429"/>
        <v>0</v>
      </c>
      <c r="R434" s="282">
        <f t="shared" si="430"/>
        <v>0</v>
      </c>
      <c r="S434" s="338"/>
      <c r="T434" s="275"/>
      <c r="U434" s="280">
        <f t="shared" si="431"/>
        <v>14</v>
      </c>
      <c r="V434" s="281">
        <f t="shared" si="432"/>
        <v>0</v>
      </c>
      <c r="W434" s="282">
        <f t="shared" si="433"/>
        <v>0</v>
      </c>
      <c r="X434" s="283"/>
      <c r="Y434" s="275"/>
      <c r="Z434" s="280">
        <f>Tabla14[[#This Row],[Cajas Segunda]]</f>
        <v>0</v>
      </c>
      <c r="AA434" s="281">
        <f t="shared" si="434"/>
        <v>0</v>
      </c>
      <c r="AB434" s="284">
        <f t="shared" si="435"/>
        <v>0</v>
      </c>
      <c r="AC434" s="285"/>
      <c r="AD434" s="286">
        <v>384</v>
      </c>
      <c r="AE434" s="286"/>
      <c r="AF434" s="286"/>
      <c r="AG434" s="286"/>
      <c r="AH434" s="280">
        <f t="shared" si="436"/>
        <v>15.36</v>
      </c>
      <c r="AI434" s="281">
        <f t="shared" si="437"/>
        <v>0</v>
      </c>
      <c r="AJ434" s="282">
        <f t="shared" si="438"/>
        <v>0</v>
      </c>
      <c r="AK434" s="287">
        <f>Tabla14[[#This Row],[Cajas por Personas]]</f>
        <v>0</v>
      </c>
      <c r="AL434" s="288">
        <f>Tabla14[[#This Row],[Valor Precorte Pesona]]</f>
        <v>0</v>
      </c>
      <c r="AM434" s="294">
        <f>Tabla14[[#This Row],[Personas Precorte]]</f>
        <v>0</v>
      </c>
      <c r="AN434" s="308">
        <f>Tabla14[[#This Row],[Valor Precorte Pesona Precorte]]*Tabla14[[#This Row],[Perzonas Precorte]]</f>
        <v>0</v>
      </c>
      <c r="AO434" s="287">
        <f>Tabla14[[#This Row],[Cajas por Personas2]]</f>
        <v>0</v>
      </c>
      <c r="AP434" s="288">
        <f>Tabla14[[#This Row],[Valor Embarque Pesona]]</f>
        <v>0</v>
      </c>
      <c r="AQ434" s="295">
        <f>Tabla14[[#This Row],[Personas Precorte2]]</f>
        <v>0</v>
      </c>
      <c r="AR434" s="296">
        <f>Tabla14[[#This Row],[Valor Embarque Pesona3]]*Tabla14[[#This Row],[Perzona Primera]]</f>
        <v>0</v>
      </c>
      <c r="AS434" s="287">
        <f>Tabla14[[#This Row],[Columna2]]</f>
        <v>0</v>
      </c>
      <c r="AT434" s="288">
        <f>Tabla14[[#This Row],[Columna1]]</f>
        <v>0</v>
      </c>
      <c r="AU434" s="302">
        <f>Tabla14[[#This Row],[Personas Intervienen]]</f>
        <v>0</v>
      </c>
      <c r="AV434" s="297">
        <f>Tabla14[[#This Row],[Valor Embarque Pesona5]]*Tabla14[[#This Row],[Presonas Segunda]]</f>
        <v>0</v>
      </c>
      <c r="AW434" s="287">
        <f>Tabla14[[#This Row],[Bolsas Por Personas]]</f>
        <v>0</v>
      </c>
      <c r="AX434" s="288">
        <f>Tabla14[[#This Row],[Valor bolsas Pesona]]</f>
        <v>0</v>
      </c>
      <c r="AY434" s="309">
        <f>Tabla14[[#This Row],[Personas13]]</f>
        <v>0</v>
      </c>
      <c r="AZ434" s="310">
        <f>Tabla14[[#This Row],[Valor bolsas Pesona2]]*Tabla14[[#This Row],[Personas Rechazo]]</f>
        <v>0</v>
      </c>
      <c r="BA434" s="311">
        <f>+Tabla14[[#This Row],[Total Valor Segunda]]+Tabla14[[#This Row],[Total Valor Primera]]+Tabla14[[#This Row],[Total Valor Precorte]]</f>
        <v>0</v>
      </c>
      <c r="BB434" s="292">
        <f>Tabla14[[#This Row],[Valor bolsas Pesona2]]+Tabla14[[#This Row],[Valor Embarque Pesona3]]</f>
        <v>0</v>
      </c>
      <c r="BC434" s="332">
        <v>30000</v>
      </c>
      <c r="BD434" s="292">
        <f>Tabla14[[#This Row],[VALOR GANADO]]-Tabla14[[#This Row],[REAJUSTADO]]</f>
        <v>-30000</v>
      </c>
      <c r="BE434" s="250">
        <f>Tabla14[[#This Row],[CUANTO SE REAJUSTA]]*Tabla14[[#This Row],[Personas Rechazo]]</f>
        <v>0</v>
      </c>
      <c r="BF434" s="250">
        <f>Tabla14[[#This Row],[REAJUSTADO]]/25000</f>
        <v>1.2</v>
      </c>
      <c r="BG434" s="302">
        <f>Tabla14[[#This Row],[REAJUSTADO]]*Tabla14[[#This Row],[Personas Rechazo]]</f>
        <v>0</v>
      </c>
      <c r="BH434" s="292" t="str">
        <f>Tabla14[[#This Row],[Finca]]</f>
        <v>Uveros</v>
      </c>
      <c r="BJ434" s="332">
        <f>Tabla14[[#This Row],[Numero de Ocacionales]]*Tabla14[[#This Row],[REAJUSTADO]]</f>
        <v>0</v>
      </c>
      <c r="BK434" s="332"/>
      <c r="BL434" s="332"/>
      <c r="BM434" s="332">
        <f>+Tabla14[[#This Row],[CUANTO SE REAJUSTA]]*3</f>
        <v>-90000</v>
      </c>
    </row>
    <row r="435" spans="3:65" x14ac:dyDescent="0.25">
      <c r="C435" s="515">
        <v>45166</v>
      </c>
      <c r="D435" s="549">
        <f>YEAR(Tabla14[[#This Row],[Fecha]])</f>
        <v>2023</v>
      </c>
      <c r="E435" s="516">
        <f>IF(Tabla14[[#This Row],[Fecha]]&gt;0,_xlfn.ISOWEEKNUM(Tabla14[[#This Row],[Fecha]]),0)</f>
        <v>35</v>
      </c>
      <c r="F435" s="283">
        <v>150</v>
      </c>
      <c r="G435" s="275" t="s">
        <v>251</v>
      </c>
      <c r="H435" s="325" t="str">
        <f>_xlfn.XLOOKUP(Tabla14[[#This Row],[Codigo Finca]],Tabla4[Codigo Finca],Tabla4[Nombre Finca],"")</f>
        <v>Pedrito</v>
      </c>
      <c r="I435" s="277">
        <f>_xlfn.XLOOKUP(Tabla14[[#This Row],[Codigo Finca]],Tabla4[Codigo Finca],Tabla4[Precio Caja],0)</f>
        <v>1800</v>
      </c>
      <c r="J435" s="277">
        <f>_xlfn.XLOOKUP(Tabla14[[#This Row],[Codigo Finca]],Tabla4[Codigo Finca],Tabla4[Precio Caja Segunda],0)</f>
        <v>1150</v>
      </c>
      <c r="K435" s="277">
        <f>_xlfn.XLOOKUP(Tabla14[[#This Row],[Codigo Finca]],Tabla4[Codigo Finca],Tabla4[Precio Rechazo],0)</f>
        <v>575</v>
      </c>
      <c r="L435" s="277">
        <f t="shared" si="426"/>
        <v>848</v>
      </c>
      <c r="M435" s="278">
        <f t="shared" si="427"/>
        <v>5.6533333333333333</v>
      </c>
      <c r="N435" s="283"/>
      <c r="O435" s="279"/>
      <c r="P435" s="280">
        <f t="shared" si="428"/>
        <v>0</v>
      </c>
      <c r="Q435" s="281">
        <f t="shared" si="429"/>
        <v>0</v>
      </c>
      <c r="R435" s="282">
        <f t="shared" si="430"/>
        <v>0</v>
      </c>
      <c r="S435" s="283">
        <f>465+353+30</f>
        <v>848</v>
      </c>
      <c r="T435" s="275">
        <v>11</v>
      </c>
      <c r="U435" s="280">
        <f t="shared" si="431"/>
        <v>150</v>
      </c>
      <c r="V435" s="281">
        <f t="shared" si="432"/>
        <v>13.636363636363637</v>
      </c>
      <c r="W435" s="282">
        <f t="shared" si="433"/>
        <v>24545.454545454544</v>
      </c>
      <c r="X435" s="283"/>
      <c r="Y435" s="275"/>
      <c r="Z435" s="280">
        <f>Tabla14[[#This Row],[Cajas Segunda]]</f>
        <v>0</v>
      </c>
      <c r="AA435" s="281">
        <f t="shared" si="434"/>
        <v>0</v>
      </c>
      <c r="AB435" s="284">
        <f t="shared" si="435"/>
        <v>0</v>
      </c>
      <c r="AC435" s="285"/>
      <c r="AD435" s="286">
        <v>2566</v>
      </c>
      <c r="AE435" s="286"/>
      <c r="AF435" s="286"/>
      <c r="AG435" s="286">
        <v>11</v>
      </c>
      <c r="AH435" s="280">
        <f t="shared" si="436"/>
        <v>102.64</v>
      </c>
      <c r="AI435" s="281">
        <f t="shared" si="437"/>
        <v>9.3309090909090902</v>
      </c>
      <c r="AJ435" s="282">
        <f t="shared" si="438"/>
        <v>5365.272727272727</v>
      </c>
      <c r="AK435" s="287">
        <f>Tabla14[[#This Row],[Cajas por Personas]]</f>
        <v>0</v>
      </c>
      <c r="AL435" s="288">
        <f>Tabla14[[#This Row],[Valor Precorte Pesona]]</f>
        <v>0</v>
      </c>
      <c r="AM435" s="294">
        <f>Tabla14[[#This Row],[Personas Precorte]]</f>
        <v>0</v>
      </c>
      <c r="AN435" s="308">
        <f>Tabla14[[#This Row],[Valor Precorte Pesona Precorte]]*Tabla14[[#This Row],[Perzonas Precorte]]</f>
        <v>0</v>
      </c>
      <c r="AO435" s="287">
        <f>Tabla14[[#This Row],[Cajas por Personas2]]</f>
        <v>13.636363636363637</v>
      </c>
      <c r="AP435" s="288">
        <f>Tabla14[[#This Row],[Valor Embarque Pesona]]</f>
        <v>24545.454545454544</v>
      </c>
      <c r="AQ435" s="295">
        <f>Tabla14[[#This Row],[Personas Precorte2]]</f>
        <v>11</v>
      </c>
      <c r="AR435" s="296">
        <f>Tabla14[[#This Row],[Valor Embarque Pesona3]]*Tabla14[[#This Row],[Perzona Primera]]</f>
        <v>270000</v>
      </c>
      <c r="AS435" s="287">
        <f>Tabla14[[#This Row],[Columna2]]</f>
        <v>0</v>
      </c>
      <c r="AT435" s="288">
        <f>Tabla14[[#This Row],[Columna1]]</f>
        <v>0</v>
      </c>
      <c r="AU435" s="302">
        <f>Tabla14[[#This Row],[Personas Intervienen]]</f>
        <v>0</v>
      </c>
      <c r="AV435" s="297">
        <f>Tabla14[[#This Row],[Valor Embarque Pesona5]]*Tabla14[[#This Row],[Presonas Segunda]]</f>
        <v>0</v>
      </c>
      <c r="AW435" s="287">
        <f>Tabla14[[#This Row],[Bolsas Por Personas]]</f>
        <v>9.3309090909090902</v>
      </c>
      <c r="AX435" s="288">
        <f>Tabla14[[#This Row],[Valor bolsas Pesona]]</f>
        <v>5365.272727272727</v>
      </c>
      <c r="AY435" s="309">
        <f>Tabla14[[#This Row],[Personas13]]</f>
        <v>11</v>
      </c>
      <c r="AZ435" s="310">
        <f>Tabla14[[#This Row],[Valor bolsas Pesona2]]*Tabla14[[#This Row],[Personas Rechazo]]</f>
        <v>59018</v>
      </c>
      <c r="BA435" s="311">
        <f>+Tabla14[[#This Row],[Total Valor Segunda]]+Tabla14[[#This Row],[Total Valor Primera]]+Tabla14[[#This Row],[Total Valor Precorte]]</f>
        <v>270000</v>
      </c>
      <c r="BB435" s="292">
        <f>Tabla14[[#This Row],[Valor bolsas Pesona2]]+Tabla14[[#This Row],[Valor Embarque Pesona3]]</f>
        <v>29910.727272727272</v>
      </c>
      <c r="BC435" s="332">
        <v>30000</v>
      </c>
      <c r="BD435" s="292">
        <f>Tabla14[[#This Row],[VALOR GANADO]]-Tabla14[[#This Row],[REAJUSTADO]]</f>
        <v>-89.272727272727934</v>
      </c>
      <c r="BE435" s="250">
        <f>Tabla14[[#This Row],[CUANTO SE REAJUSTA]]*Tabla14[[#This Row],[Personas Rechazo]]</f>
        <v>-982.00000000000728</v>
      </c>
      <c r="BF435" s="250">
        <f>Tabla14[[#This Row],[REAJUSTADO]]/25000</f>
        <v>1.2</v>
      </c>
      <c r="BG435" s="302">
        <f>Tabla14[[#This Row],[REAJUSTADO]]*Tabla14[[#This Row],[Personas Rechazo]]</f>
        <v>330000</v>
      </c>
      <c r="BH435" s="292" t="str">
        <f>Tabla14[[#This Row],[Finca]]</f>
        <v>Pedrito</v>
      </c>
      <c r="BJ435" s="332">
        <f>Tabla14[[#This Row],[Numero de Ocacionales]]*Tabla14[[#This Row],[REAJUSTADO]]</f>
        <v>0</v>
      </c>
      <c r="BK435" s="332"/>
      <c r="BL435" s="332"/>
      <c r="BM435" s="332">
        <f>+Tabla14[[#This Row],[CUANTO SE REAJUSTA]]*3</f>
        <v>-267.8181818181838</v>
      </c>
    </row>
    <row r="436" spans="3:65" x14ac:dyDescent="0.25">
      <c r="C436" s="515">
        <v>45166</v>
      </c>
      <c r="D436" s="549">
        <f>YEAR(Tabla14[[#This Row],[Fecha]])</f>
        <v>2023</v>
      </c>
      <c r="E436" s="516">
        <f>IF(Tabla14[[#This Row],[Fecha]]&gt;0,_xlfn.ISOWEEKNUM(Tabla14[[#This Row],[Fecha]]),0)</f>
        <v>35</v>
      </c>
      <c r="F436" s="283">
        <v>10</v>
      </c>
      <c r="G436" s="275" t="s">
        <v>248</v>
      </c>
      <c r="H436" s="325" t="str">
        <f>_xlfn.XLOOKUP(Tabla14[[#This Row],[Codigo Finca]],Tabla4[Codigo Finca],Tabla4[Nombre Finca],"")</f>
        <v>Damaquiel</v>
      </c>
      <c r="I436" s="277">
        <f>_xlfn.XLOOKUP(Tabla14[[#This Row],[Codigo Finca]],Tabla4[Codigo Finca],Tabla4[Precio Caja],0)</f>
        <v>1800</v>
      </c>
      <c r="J436" s="277">
        <f>_xlfn.XLOOKUP(Tabla14[[#This Row],[Codigo Finca]],Tabla4[Codigo Finca],Tabla4[Precio Caja Segunda],0)</f>
        <v>1150</v>
      </c>
      <c r="K436" s="277">
        <f>_xlfn.XLOOKUP(Tabla14[[#This Row],[Codigo Finca]],Tabla4[Codigo Finca],Tabla4[Precio Rechazo],0)</f>
        <v>575</v>
      </c>
      <c r="L436" s="277">
        <f t="shared" si="426"/>
        <v>0</v>
      </c>
      <c r="M436" s="278">
        <f t="shared" si="427"/>
        <v>0</v>
      </c>
      <c r="N436" s="283"/>
      <c r="O436" s="279"/>
      <c r="P436" s="280">
        <f t="shared" si="428"/>
        <v>0</v>
      </c>
      <c r="Q436" s="281">
        <f t="shared" si="429"/>
        <v>0</v>
      </c>
      <c r="R436" s="282">
        <f t="shared" si="430"/>
        <v>0</v>
      </c>
      <c r="S436" s="338"/>
      <c r="T436" s="275">
        <v>5</v>
      </c>
      <c r="U436" s="280">
        <f t="shared" si="431"/>
        <v>10</v>
      </c>
      <c r="V436" s="281">
        <f t="shared" si="432"/>
        <v>2</v>
      </c>
      <c r="W436" s="282">
        <f t="shared" si="433"/>
        <v>3600</v>
      </c>
      <c r="X436" s="283"/>
      <c r="Y436" s="275"/>
      <c r="Z436" s="280">
        <f>Tabla14[[#This Row],[Cajas Segunda]]</f>
        <v>0</v>
      </c>
      <c r="AA436" s="281">
        <f t="shared" si="434"/>
        <v>0</v>
      </c>
      <c r="AB436" s="284">
        <f t="shared" si="435"/>
        <v>0</v>
      </c>
      <c r="AC436" s="285"/>
      <c r="AD436" s="286">
        <v>2666</v>
      </c>
      <c r="AE436" s="286"/>
      <c r="AF436" s="286"/>
      <c r="AG436" s="286">
        <v>5</v>
      </c>
      <c r="AH436" s="280">
        <f t="shared" si="436"/>
        <v>106.64</v>
      </c>
      <c r="AI436" s="281">
        <f t="shared" si="437"/>
        <v>21.327999999999999</v>
      </c>
      <c r="AJ436" s="282">
        <f t="shared" si="438"/>
        <v>12263.6</v>
      </c>
      <c r="AK436" s="287">
        <f>Tabla14[[#This Row],[Cajas por Personas]]</f>
        <v>0</v>
      </c>
      <c r="AL436" s="288">
        <f>Tabla14[[#This Row],[Valor Precorte Pesona]]</f>
        <v>0</v>
      </c>
      <c r="AM436" s="294">
        <f>Tabla14[[#This Row],[Personas Precorte]]</f>
        <v>0</v>
      </c>
      <c r="AN436" s="308">
        <f>Tabla14[[#This Row],[Valor Precorte Pesona Precorte]]*Tabla14[[#This Row],[Perzonas Precorte]]</f>
        <v>0</v>
      </c>
      <c r="AO436" s="287">
        <f>Tabla14[[#This Row],[Cajas por Personas2]]</f>
        <v>2</v>
      </c>
      <c r="AP436" s="288">
        <f>Tabla14[[#This Row],[Valor Embarque Pesona]]</f>
        <v>3600</v>
      </c>
      <c r="AQ436" s="295">
        <f>Tabla14[[#This Row],[Personas Precorte2]]</f>
        <v>5</v>
      </c>
      <c r="AR436" s="296">
        <f>Tabla14[[#This Row],[Valor Embarque Pesona3]]*Tabla14[[#This Row],[Perzona Primera]]</f>
        <v>18000</v>
      </c>
      <c r="AS436" s="287">
        <f>Tabla14[[#This Row],[Columna2]]</f>
        <v>0</v>
      </c>
      <c r="AT436" s="288">
        <f>Tabla14[[#This Row],[Columna1]]</f>
        <v>0</v>
      </c>
      <c r="AU436" s="302">
        <f>Tabla14[[#This Row],[Personas Intervienen]]</f>
        <v>0</v>
      </c>
      <c r="AV436" s="297">
        <f>Tabla14[[#This Row],[Valor Embarque Pesona5]]*Tabla14[[#This Row],[Presonas Segunda]]</f>
        <v>0</v>
      </c>
      <c r="AW436" s="287">
        <f>Tabla14[[#This Row],[Bolsas Por Personas]]</f>
        <v>21.327999999999999</v>
      </c>
      <c r="AX436" s="288">
        <f>Tabla14[[#This Row],[Valor bolsas Pesona]]</f>
        <v>12263.6</v>
      </c>
      <c r="AY436" s="309">
        <f>Tabla14[[#This Row],[Personas13]]</f>
        <v>5</v>
      </c>
      <c r="AZ436" s="310">
        <f>Tabla14[[#This Row],[Valor bolsas Pesona2]]*Tabla14[[#This Row],[Personas Rechazo]]</f>
        <v>61318</v>
      </c>
      <c r="BA436" s="311">
        <f>+Tabla14[[#This Row],[Total Valor Segunda]]+Tabla14[[#This Row],[Total Valor Primera]]+Tabla14[[#This Row],[Total Valor Precorte]]</f>
        <v>18000</v>
      </c>
      <c r="BB436" s="292">
        <f>Tabla14[[#This Row],[Valor bolsas Pesona2]]+Tabla14[[#This Row],[Valor Embarque Pesona3]]</f>
        <v>15863.6</v>
      </c>
      <c r="BC436" s="332">
        <v>30000</v>
      </c>
      <c r="BD436" s="292">
        <f>Tabla14[[#This Row],[VALOR GANADO]]-Tabla14[[#This Row],[REAJUSTADO]]</f>
        <v>-14136.4</v>
      </c>
      <c r="BE436" s="250">
        <f>Tabla14[[#This Row],[CUANTO SE REAJUSTA]]*Tabla14[[#This Row],[Personas Rechazo]]</f>
        <v>-70682</v>
      </c>
      <c r="BF436" s="250">
        <f>Tabla14[[#This Row],[REAJUSTADO]]/25000</f>
        <v>1.2</v>
      </c>
      <c r="BG436" s="302">
        <f>Tabla14[[#This Row],[REAJUSTADO]]*Tabla14[[#This Row],[Personas Rechazo]]</f>
        <v>150000</v>
      </c>
      <c r="BH436" s="292" t="str">
        <f>Tabla14[[#This Row],[Finca]]</f>
        <v>Damaquiel</v>
      </c>
      <c r="BJ436" s="332">
        <f>Tabla14[[#This Row],[Numero de Ocacionales]]*Tabla14[[#This Row],[REAJUSTADO]]</f>
        <v>0</v>
      </c>
      <c r="BK436" s="332"/>
      <c r="BL436" s="332"/>
      <c r="BM436" s="332">
        <f>+Tabla14[[#This Row],[CUANTO SE REAJUSTA]]*3</f>
        <v>-42409.2</v>
      </c>
    </row>
    <row r="437" spans="3:65" x14ac:dyDescent="0.25">
      <c r="C437" s="515">
        <v>45168</v>
      </c>
      <c r="D437" s="549">
        <f>YEAR(Tabla14[[#This Row],[Fecha]])</f>
        <v>2023</v>
      </c>
      <c r="E437" s="516">
        <f>IF(Tabla14[[#This Row],[Fecha]]&gt;0,_xlfn.ISOWEEKNUM(Tabla14[[#This Row],[Fecha]]),0)</f>
        <v>35</v>
      </c>
      <c r="F437" s="283">
        <f>350-31</f>
        <v>319</v>
      </c>
      <c r="G437" s="275" t="s">
        <v>250</v>
      </c>
      <c r="H437" s="325" t="str">
        <f>_xlfn.XLOOKUP(Tabla14[[#This Row],[Codigo Finca]],Tabla4[Codigo Finca],Tabla4[Nombre Finca],"")</f>
        <v>San Pedro</v>
      </c>
      <c r="I437" s="277">
        <f>_xlfn.XLOOKUP(Tabla14[[#This Row],[Codigo Finca]],Tabla4[Codigo Finca],Tabla4[Precio Caja],0)</f>
        <v>1800</v>
      </c>
      <c r="J437" s="277">
        <f>_xlfn.XLOOKUP(Tabla14[[#This Row],[Codigo Finca]],Tabla4[Codigo Finca],Tabla4[Precio Caja Segunda],0)</f>
        <v>1150</v>
      </c>
      <c r="K437" s="277">
        <f>_xlfn.XLOOKUP(Tabla14[[#This Row],[Codigo Finca]],Tabla4[Codigo Finca],Tabla4[Precio Rechazo],0)</f>
        <v>575</v>
      </c>
      <c r="L437" s="277">
        <f t="shared" si="426"/>
        <v>1206</v>
      </c>
      <c r="M437" s="278">
        <f t="shared" si="427"/>
        <v>3.780564263322884</v>
      </c>
      <c r="N437" s="283"/>
      <c r="O437" s="279"/>
      <c r="P437" s="280">
        <f t="shared" si="428"/>
        <v>0</v>
      </c>
      <c r="Q437" s="281">
        <f t="shared" si="429"/>
        <v>0</v>
      </c>
      <c r="R437" s="282">
        <f t="shared" si="430"/>
        <v>0</v>
      </c>
      <c r="S437" s="283">
        <v>1206</v>
      </c>
      <c r="T437" s="275">
        <v>12</v>
      </c>
      <c r="U437" s="280">
        <f t="shared" si="431"/>
        <v>319</v>
      </c>
      <c r="V437" s="281">
        <f t="shared" si="432"/>
        <v>26.583333333333332</v>
      </c>
      <c r="W437" s="282">
        <f t="shared" si="433"/>
        <v>47850</v>
      </c>
      <c r="X437" s="283"/>
      <c r="Y437" s="275"/>
      <c r="Z437" s="280">
        <f>Tabla14[[#This Row],[Cajas Segunda]]</f>
        <v>0</v>
      </c>
      <c r="AA437" s="281">
        <f t="shared" si="434"/>
        <v>0</v>
      </c>
      <c r="AB437" s="284">
        <f t="shared" si="435"/>
        <v>0</v>
      </c>
      <c r="AC437" s="285"/>
      <c r="AD437" s="286">
        <v>1444</v>
      </c>
      <c r="AE437" s="286"/>
      <c r="AF437" s="286"/>
      <c r="AG437" s="286">
        <v>12</v>
      </c>
      <c r="AH437" s="280">
        <f t="shared" si="436"/>
        <v>57.76</v>
      </c>
      <c r="AI437" s="281">
        <f t="shared" si="437"/>
        <v>4.8133333333333335</v>
      </c>
      <c r="AJ437" s="282">
        <f t="shared" si="438"/>
        <v>2767.6666666666665</v>
      </c>
      <c r="AK437" s="287">
        <f>Tabla14[[#This Row],[Cajas por Personas]]</f>
        <v>0</v>
      </c>
      <c r="AL437" s="288">
        <f>Tabla14[[#This Row],[Valor Precorte Pesona]]</f>
        <v>0</v>
      </c>
      <c r="AM437" s="294">
        <f>Tabla14[[#This Row],[Personas Precorte]]</f>
        <v>0</v>
      </c>
      <c r="AN437" s="308">
        <f>Tabla14[[#This Row],[Valor Precorte Pesona Precorte]]*Tabla14[[#This Row],[Perzonas Precorte]]</f>
        <v>0</v>
      </c>
      <c r="AO437" s="287">
        <f>Tabla14[[#This Row],[Cajas por Personas2]]</f>
        <v>26.583333333333332</v>
      </c>
      <c r="AP437" s="288">
        <f>Tabla14[[#This Row],[Valor Embarque Pesona]]</f>
        <v>47850</v>
      </c>
      <c r="AQ437" s="295">
        <f>Tabla14[[#This Row],[Personas Precorte2]]</f>
        <v>12</v>
      </c>
      <c r="AR437" s="296">
        <f>Tabla14[[#This Row],[Valor Embarque Pesona3]]*Tabla14[[#This Row],[Perzona Primera]]</f>
        <v>574200</v>
      </c>
      <c r="AS437" s="287">
        <f>Tabla14[[#This Row],[Columna2]]</f>
        <v>0</v>
      </c>
      <c r="AT437" s="288">
        <f>Tabla14[[#This Row],[Columna1]]</f>
        <v>0</v>
      </c>
      <c r="AU437" s="302">
        <f>Tabla14[[#This Row],[Personas Intervienen]]</f>
        <v>0</v>
      </c>
      <c r="AV437" s="297">
        <f>Tabla14[[#This Row],[Valor Embarque Pesona5]]*Tabla14[[#This Row],[Presonas Segunda]]</f>
        <v>0</v>
      </c>
      <c r="AW437" s="287">
        <f>Tabla14[[#This Row],[Bolsas Por Personas]]</f>
        <v>4.8133333333333335</v>
      </c>
      <c r="AX437" s="288">
        <f>Tabla14[[#This Row],[Valor bolsas Pesona]]</f>
        <v>2767.6666666666665</v>
      </c>
      <c r="AY437" s="309">
        <f>Tabla14[[#This Row],[Personas13]]</f>
        <v>12</v>
      </c>
      <c r="AZ437" s="310">
        <f>Tabla14[[#This Row],[Valor bolsas Pesona2]]*Tabla14[[#This Row],[Personas Rechazo]]</f>
        <v>33212</v>
      </c>
      <c r="BA437" s="311">
        <f>+Tabla14[[#This Row],[Total Valor Segunda]]+Tabla14[[#This Row],[Total Valor Primera]]+Tabla14[[#This Row],[Total Valor Precorte]]</f>
        <v>574200</v>
      </c>
      <c r="BB437" s="470">
        <f>Tabla14[[#This Row],[Valor bolsas Pesona2]]+Tabla14[[#This Row],[Valor Embarque Pesona3]]</f>
        <v>50617.666666666664</v>
      </c>
      <c r="BC437" s="471">
        <v>53600</v>
      </c>
      <c r="BD437" s="470">
        <f>Tabla14[[#This Row],[VALOR GANADO]]-Tabla14[[#This Row],[REAJUSTADO]]</f>
        <v>-2982.3333333333358</v>
      </c>
      <c r="BE437" s="250">
        <f>Tabla14[[#This Row],[CUANTO SE REAJUSTA]]*Tabla14[[#This Row],[Personas Rechazo]]</f>
        <v>-35788.000000000029</v>
      </c>
      <c r="BF437" s="250">
        <f>Tabla14[[#This Row],[REAJUSTADO]]/25000</f>
        <v>2.1440000000000001</v>
      </c>
      <c r="BG437" s="302">
        <f>Tabla14[[#This Row],[REAJUSTADO]]*Tabla14[[#This Row],[Personas Rechazo]]</f>
        <v>643200</v>
      </c>
      <c r="BH437" s="292" t="str">
        <f>Tabla14[[#This Row],[Finca]]</f>
        <v>San Pedro</v>
      </c>
      <c r="BJ437" s="332">
        <f>Tabla14[[#This Row],[Numero de Ocacionales]]*Tabla14[[#This Row],[REAJUSTADO]]</f>
        <v>0</v>
      </c>
      <c r="BK437" s="332"/>
      <c r="BL437" s="332"/>
      <c r="BM437" s="332"/>
    </row>
    <row r="438" spans="3:65" x14ac:dyDescent="0.25">
      <c r="C438" s="515">
        <v>45168</v>
      </c>
      <c r="D438" s="549">
        <f>YEAR(Tabla14[[#This Row],[Fecha]])</f>
        <v>2023</v>
      </c>
      <c r="E438" s="516">
        <f>IF(Tabla14[[#This Row],[Fecha]]&gt;0,_xlfn.ISOWEEKNUM(Tabla14[[#This Row],[Fecha]]),0)</f>
        <v>35</v>
      </c>
      <c r="F438" s="283">
        <v>18</v>
      </c>
      <c r="G438" s="275" t="s">
        <v>249</v>
      </c>
      <c r="H438" s="325" t="str">
        <f>_xlfn.XLOOKUP(Tabla14[[#This Row],[Codigo Finca]],Tabla4[Codigo Finca],Tabla4[Nombre Finca],"")</f>
        <v>San Pedro</v>
      </c>
      <c r="I438" s="277">
        <f>_xlfn.XLOOKUP(Tabla14[[#This Row],[Codigo Finca]],Tabla4[Codigo Finca],Tabla4[Precio Caja],0)</f>
        <v>2000</v>
      </c>
      <c r="J438" s="277">
        <f>_xlfn.XLOOKUP(Tabla14[[#This Row],[Codigo Finca]],Tabla4[Codigo Finca],Tabla4[Precio Caja Segunda],0)</f>
        <v>1150</v>
      </c>
      <c r="K438" s="277">
        <f>_xlfn.XLOOKUP(Tabla14[[#This Row],[Codigo Finca]],Tabla4[Codigo Finca],Tabla4[Precio Rechazo],0)</f>
        <v>675</v>
      </c>
      <c r="L438" s="277">
        <f t="shared" si="426"/>
        <v>80</v>
      </c>
      <c r="M438" s="278">
        <f t="shared" si="427"/>
        <v>4.4444444444444446</v>
      </c>
      <c r="N438" s="283"/>
      <c r="O438" s="279"/>
      <c r="P438" s="280">
        <f t="shared" si="428"/>
        <v>0</v>
      </c>
      <c r="Q438" s="281">
        <f t="shared" si="429"/>
        <v>0</v>
      </c>
      <c r="R438" s="282">
        <f t="shared" si="430"/>
        <v>0</v>
      </c>
      <c r="S438" s="283">
        <v>80</v>
      </c>
      <c r="T438" s="275">
        <v>12</v>
      </c>
      <c r="U438" s="280">
        <f t="shared" si="431"/>
        <v>18</v>
      </c>
      <c r="V438" s="281">
        <f t="shared" si="432"/>
        <v>1.5</v>
      </c>
      <c r="W438" s="282">
        <f t="shared" si="433"/>
        <v>3000</v>
      </c>
      <c r="X438" s="283"/>
      <c r="Y438" s="275"/>
      <c r="Z438" s="280">
        <f>Tabla14[[#This Row],[Cajas Segunda]]</f>
        <v>0</v>
      </c>
      <c r="AA438" s="281">
        <f t="shared" si="434"/>
        <v>0</v>
      </c>
      <c r="AB438" s="284">
        <f t="shared" si="435"/>
        <v>0</v>
      </c>
      <c r="AC438" s="285"/>
      <c r="AD438" s="286">
        <v>0</v>
      </c>
      <c r="AE438" s="286"/>
      <c r="AF438" s="286"/>
      <c r="AG438" s="286">
        <v>12</v>
      </c>
      <c r="AH438" s="280">
        <f t="shared" si="436"/>
        <v>0</v>
      </c>
      <c r="AI438" s="281">
        <f t="shared" si="437"/>
        <v>0</v>
      </c>
      <c r="AJ438" s="282">
        <f t="shared" si="438"/>
        <v>0</v>
      </c>
      <c r="AK438" s="287">
        <f>Tabla14[[#This Row],[Cajas por Personas]]</f>
        <v>0</v>
      </c>
      <c r="AL438" s="288">
        <f>Tabla14[[#This Row],[Valor Precorte Pesona]]</f>
        <v>0</v>
      </c>
      <c r="AM438" s="294">
        <f>Tabla14[[#This Row],[Personas Precorte]]</f>
        <v>0</v>
      </c>
      <c r="AN438" s="308">
        <f>Tabla14[[#This Row],[Valor Precorte Pesona Precorte]]*Tabla14[[#This Row],[Perzonas Precorte]]</f>
        <v>0</v>
      </c>
      <c r="AO438" s="287">
        <f>Tabla14[[#This Row],[Cajas por Personas2]]</f>
        <v>1.5</v>
      </c>
      <c r="AP438" s="288">
        <f>Tabla14[[#This Row],[Valor Embarque Pesona]]</f>
        <v>3000</v>
      </c>
      <c r="AQ438" s="295">
        <f>Tabla14[[#This Row],[Personas Precorte2]]</f>
        <v>12</v>
      </c>
      <c r="AR438" s="296">
        <f>Tabla14[[#This Row],[Valor Embarque Pesona3]]*Tabla14[[#This Row],[Perzona Primera]]</f>
        <v>36000</v>
      </c>
      <c r="AS438" s="287">
        <f>Tabla14[[#This Row],[Columna2]]</f>
        <v>0</v>
      </c>
      <c r="AT438" s="288">
        <f>Tabla14[[#This Row],[Columna1]]</f>
        <v>0</v>
      </c>
      <c r="AU438" s="302">
        <f>Tabla14[[#This Row],[Personas Intervienen]]</f>
        <v>0</v>
      </c>
      <c r="AV438" s="297">
        <f>Tabla14[[#This Row],[Valor Embarque Pesona5]]*Tabla14[[#This Row],[Presonas Segunda]]</f>
        <v>0</v>
      </c>
      <c r="AW438" s="287">
        <f>Tabla14[[#This Row],[Bolsas Por Personas]]</f>
        <v>0</v>
      </c>
      <c r="AX438" s="288">
        <f>Tabla14[[#This Row],[Valor bolsas Pesona]]</f>
        <v>0</v>
      </c>
      <c r="AY438" s="309">
        <f>Tabla14[[#This Row],[Personas13]]</f>
        <v>12</v>
      </c>
      <c r="AZ438" s="310">
        <f>Tabla14[[#This Row],[Valor bolsas Pesona2]]*Tabla14[[#This Row],[Personas Rechazo]]</f>
        <v>0</v>
      </c>
      <c r="BA438" s="311">
        <f>+Tabla14[[#This Row],[Total Valor Segunda]]+Tabla14[[#This Row],[Total Valor Primera]]+Tabla14[[#This Row],[Total Valor Precorte]]</f>
        <v>36000</v>
      </c>
      <c r="BB438" s="470">
        <f>Tabla14[[#This Row],[Valor bolsas Pesona2]]+Tabla14[[#This Row],[Valor Embarque Pesona3]]</f>
        <v>3000</v>
      </c>
      <c r="BC438" s="471"/>
      <c r="BD438" s="470">
        <f>Tabla14[[#This Row],[VALOR GANADO]]-Tabla14[[#This Row],[REAJUSTADO]]</f>
        <v>3000</v>
      </c>
      <c r="BE438" s="250">
        <f>Tabla14[[#This Row],[CUANTO SE REAJUSTA]]*Tabla14[[#This Row],[Personas Rechazo]]</f>
        <v>36000</v>
      </c>
      <c r="BF438" s="250">
        <f>Tabla14[[#This Row],[REAJUSTADO]]/25000</f>
        <v>0</v>
      </c>
      <c r="BG438" s="302">
        <f>Tabla14[[#This Row],[REAJUSTADO]]*Tabla14[[#This Row],[Personas Rechazo]]</f>
        <v>0</v>
      </c>
      <c r="BH438" s="292" t="str">
        <f>Tabla14[[#This Row],[Finca]]</f>
        <v>San Pedro</v>
      </c>
      <c r="BJ438" s="332">
        <f>Tabla14[[#This Row],[Numero de Ocacionales]]*Tabla14[[#This Row],[REAJUSTADO]]</f>
        <v>0</v>
      </c>
      <c r="BK438" s="332"/>
      <c r="BL438" s="332"/>
      <c r="BM438" s="332"/>
    </row>
    <row r="439" spans="3:65" x14ac:dyDescent="0.25">
      <c r="C439" s="515">
        <v>45168</v>
      </c>
      <c r="D439" s="549">
        <f>YEAR(Tabla14[[#This Row],[Fecha]])</f>
        <v>2023</v>
      </c>
      <c r="E439" s="516">
        <f>IF(Tabla14[[#This Row],[Fecha]]&gt;0,_xlfn.ISOWEEKNUM(Tabla14[[#This Row],[Fecha]]),0)</f>
        <v>35</v>
      </c>
      <c r="F439" s="283">
        <v>43</v>
      </c>
      <c r="G439" s="275" t="s">
        <v>247</v>
      </c>
      <c r="H439" s="325" t="str">
        <f>_xlfn.XLOOKUP(Tabla14[[#This Row],[Codigo Finca]],Tabla4[Codigo Finca],Tabla4[Nombre Finca],"")</f>
        <v>Uveros</v>
      </c>
      <c r="I439" s="277">
        <f>_xlfn.XLOOKUP(Tabla14[[#This Row],[Codigo Finca]],Tabla4[Codigo Finca],Tabla4[Precio Caja],0)</f>
        <v>1800</v>
      </c>
      <c r="J439" s="277">
        <f>_xlfn.XLOOKUP(Tabla14[[#This Row],[Codigo Finca]],Tabla4[Codigo Finca],Tabla4[Precio Caja Segunda],0)</f>
        <v>1150</v>
      </c>
      <c r="K439" s="277">
        <f>_xlfn.XLOOKUP(Tabla14[[#This Row],[Codigo Finca]],Tabla4[Codigo Finca],Tabla4[Precio Rechazo],0)</f>
        <v>575</v>
      </c>
      <c r="L439" s="277">
        <f t="shared" si="426"/>
        <v>0</v>
      </c>
      <c r="M439" s="278">
        <f t="shared" si="427"/>
        <v>0</v>
      </c>
      <c r="N439" s="283"/>
      <c r="O439" s="279"/>
      <c r="P439" s="280">
        <f t="shared" si="428"/>
        <v>0</v>
      </c>
      <c r="Q439" s="281">
        <f t="shared" si="429"/>
        <v>0</v>
      </c>
      <c r="R439" s="282">
        <f t="shared" si="430"/>
        <v>0</v>
      </c>
      <c r="S439" s="338"/>
      <c r="T439" s="275">
        <v>3</v>
      </c>
      <c r="U439" s="280">
        <f t="shared" si="431"/>
        <v>43</v>
      </c>
      <c r="V439" s="281">
        <f t="shared" si="432"/>
        <v>14.333333333333334</v>
      </c>
      <c r="W439" s="282">
        <f t="shared" si="433"/>
        <v>25800</v>
      </c>
      <c r="X439" s="283"/>
      <c r="Y439" s="275"/>
      <c r="Z439" s="280">
        <f>Tabla14[[#This Row],[Cajas Segunda]]</f>
        <v>0</v>
      </c>
      <c r="AA439" s="281">
        <f t="shared" si="434"/>
        <v>0</v>
      </c>
      <c r="AB439" s="284">
        <f t="shared" si="435"/>
        <v>0</v>
      </c>
      <c r="AC439" s="285"/>
      <c r="AD439" s="286">
        <v>1267</v>
      </c>
      <c r="AE439" s="286"/>
      <c r="AF439" s="286"/>
      <c r="AG439" s="286">
        <v>3</v>
      </c>
      <c r="AH439" s="280">
        <f t="shared" si="436"/>
        <v>50.68</v>
      </c>
      <c r="AI439" s="281">
        <f t="shared" si="437"/>
        <v>16.893333333333334</v>
      </c>
      <c r="AJ439" s="282">
        <f t="shared" si="438"/>
        <v>9713.6666666666679</v>
      </c>
      <c r="AK439" s="287">
        <f>Tabla14[[#This Row],[Cajas por Personas]]</f>
        <v>0</v>
      </c>
      <c r="AL439" s="288">
        <f>Tabla14[[#This Row],[Valor Precorte Pesona]]</f>
        <v>0</v>
      </c>
      <c r="AM439" s="294">
        <f>Tabla14[[#This Row],[Personas Precorte]]</f>
        <v>0</v>
      </c>
      <c r="AN439" s="308">
        <f>Tabla14[[#This Row],[Valor Precorte Pesona Precorte]]*Tabla14[[#This Row],[Perzonas Precorte]]</f>
        <v>0</v>
      </c>
      <c r="AO439" s="287">
        <f>Tabla14[[#This Row],[Cajas por Personas2]]</f>
        <v>14.333333333333334</v>
      </c>
      <c r="AP439" s="288">
        <f>Tabla14[[#This Row],[Valor Embarque Pesona]]</f>
        <v>25800</v>
      </c>
      <c r="AQ439" s="295">
        <f>Tabla14[[#This Row],[Personas Precorte2]]</f>
        <v>3</v>
      </c>
      <c r="AR439" s="296">
        <f>Tabla14[[#This Row],[Valor Embarque Pesona3]]*Tabla14[[#This Row],[Perzona Primera]]</f>
        <v>77400</v>
      </c>
      <c r="AS439" s="287">
        <f>Tabla14[[#This Row],[Columna2]]</f>
        <v>0</v>
      </c>
      <c r="AT439" s="288">
        <f>Tabla14[[#This Row],[Columna1]]</f>
        <v>0</v>
      </c>
      <c r="AU439" s="302">
        <f>Tabla14[[#This Row],[Personas Intervienen]]</f>
        <v>0</v>
      </c>
      <c r="AV439" s="297">
        <f>Tabla14[[#This Row],[Valor Embarque Pesona5]]*Tabla14[[#This Row],[Presonas Segunda]]</f>
        <v>0</v>
      </c>
      <c r="AW439" s="287">
        <f>Tabla14[[#This Row],[Bolsas Por Personas]]</f>
        <v>16.893333333333334</v>
      </c>
      <c r="AX439" s="288">
        <f>Tabla14[[#This Row],[Valor bolsas Pesona]]</f>
        <v>9713.6666666666679</v>
      </c>
      <c r="AY439" s="309">
        <f>Tabla14[[#This Row],[Personas13]]</f>
        <v>3</v>
      </c>
      <c r="AZ439" s="310">
        <f>Tabla14[[#This Row],[Valor bolsas Pesona2]]*Tabla14[[#This Row],[Personas Rechazo]]</f>
        <v>29141.000000000004</v>
      </c>
      <c r="BA439" s="311">
        <f>+Tabla14[[#This Row],[Total Valor Segunda]]+Tabla14[[#This Row],[Total Valor Primera]]+Tabla14[[#This Row],[Total Valor Precorte]]</f>
        <v>77400</v>
      </c>
      <c r="BB439" s="292">
        <f>Tabla14[[#This Row],[Valor bolsas Pesona2]]+Tabla14[[#This Row],[Valor Embarque Pesona3]]</f>
        <v>35513.666666666672</v>
      </c>
      <c r="BC439" s="332">
        <v>35000</v>
      </c>
      <c r="BD439" s="292">
        <f>Tabla14[[#This Row],[VALOR GANADO]]-Tabla14[[#This Row],[REAJUSTADO]]</f>
        <v>513.66666666667152</v>
      </c>
      <c r="BE439" s="250">
        <f>Tabla14[[#This Row],[CUANTO SE REAJUSTA]]*Tabla14[[#This Row],[Personas Rechazo]]</f>
        <v>1541.0000000000146</v>
      </c>
      <c r="BF439" s="250">
        <f>Tabla14[[#This Row],[REAJUSTADO]]/25000</f>
        <v>1.4</v>
      </c>
      <c r="BG439" s="302">
        <f>Tabla14[[#This Row],[REAJUSTADO]]*Tabla14[[#This Row],[Personas Rechazo]]</f>
        <v>105000</v>
      </c>
      <c r="BH439" s="292" t="str">
        <f>Tabla14[[#This Row],[Finca]]</f>
        <v>Uveros</v>
      </c>
      <c r="BJ439" s="332">
        <f>Tabla14[[#This Row],[Numero de Ocacionales]]*Tabla14[[#This Row],[REAJUSTADO]]</f>
        <v>0</v>
      </c>
      <c r="BK439" s="332"/>
      <c r="BL439" s="332"/>
      <c r="BM439" s="332">
        <f>+Tabla14[[#This Row],[CUANTO SE REAJUSTA]]*3</f>
        <v>1541.0000000000146</v>
      </c>
    </row>
    <row r="440" spans="3:65" x14ac:dyDescent="0.25">
      <c r="C440" s="515">
        <v>45168</v>
      </c>
      <c r="D440" s="549">
        <f>YEAR(Tabla14[[#This Row],[Fecha]])</f>
        <v>2023</v>
      </c>
      <c r="E440" s="516">
        <f>IF(Tabla14[[#This Row],[Fecha]]&gt;0,_xlfn.ISOWEEKNUM(Tabla14[[#This Row],[Fecha]]),0)</f>
        <v>35</v>
      </c>
      <c r="F440" s="283">
        <v>31</v>
      </c>
      <c r="G440" s="275" t="s">
        <v>259</v>
      </c>
      <c r="H440" s="325" t="str">
        <f>_xlfn.XLOOKUP(Tabla14[[#This Row],[Codigo Finca]],Tabla4[Codigo Finca],Tabla4[Nombre Finca],"")</f>
        <v>San Pedro</v>
      </c>
      <c r="I440" s="277">
        <f>_xlfn.XLOOKUP(Tabla14[[#This Row],[Codigo Finca]],Tabla4[Codigo Finca],Tabla4[Precio Caja],0)</f>
        <v>1800</v>
      </c>
      <c r="J440" s="277">
        <f>_xlfn.XLOOKUP(Tabla14[[#This Row],[Codigo Finca]],Tabla4[Codigo Finca],Tabla4[Precio Caja Segunda],0)</f>
        <v>1150</v>
      </c>
      <c r="K440" s="277">
        <f>_xlfn.XLOOKUP(Tabla14[[#This Row],[Codigo Finca]],Tabla4[Codigo Finca],Tabla4[Precio Rechazo],0)</f>
        <v>575</v>
      </c>
      <c r="L440" s="277">
        <f t="shared" si="426"/>
        <v>0</v>
      </c>
      <c r="M440" s="278">
        <f t="shared" si="427"/>
        <v>0</v>
      </c>
      <c r="N440" s="283"/>
      <c r="O440" s="279"/>
      <c r="P440" s="280">
        <f t="shared" si="428"/>
        <v>0</v>
      </c>
      <c r="Q440" s="281">
        <f t="shared" si="429"/>
        <v>0</v>
      </c>
      <c r="R440" s="282">
        <f t="shared" si="430"/>
        <v>0</v>
      </c>
      <c r="S440" s="283"/>
      <c r="T440" s="275">
        <v>3</v>
      </c>
      <c r="U440" s="280">
        <f t="shared" si="431"/>
        <v>31</v>
      </c>
      <c r="V440" s="281">
        <f t="shared" si="432"/>
        <v>10.333333333333334</v>
      </c>
      <c r="W440" s="282">
        <f t="shared" si="433"/>
        <v>18600</v>
      </c>
      <c r="X440" s="283"/>
      <c r="Y440" s="275"/>
      <c r="Z440" s="280">
        <f>Tabla14[[#This Row],[Cajas Segunda]]</f>
        <v>0</v>
      </c>
      <c r="AA440" s="281">
        <f t="shared" si="434"/>
        <v>0</v>
      </c>
      <c r="AB440" s="284">
        <f t="shared" si="435"/>
        <v>0</v>
      </c>
      <c r="AC440" s="285"/>
      <c r="AD440" s="286">
        <v>0</v>
      </c>
      <c r="AE440" s="286"/>
      <c r="AF440" s="286"/>
      <c r="AG440" s="286"/>
      <c r="AH440" s="280">
        <f t="shared" si="436"/>
        <v>0</v>
      </c>
      <c r="AI440" s="281">
        <f t="shared" si="437"/>
        <v>0</v>
      </c>
      <c r="AJ440" s="282">
        <f t="shared" si="438"/>
        <v>0</v>
      </c>
      <c r="AK440" s="287">
        <f>Tabla14[[#This Row],[Cajas por Personas]]</f>
        <v>0</v>
      </c>
      <c r="AL440" s="288">
        <f>Tabla14[[#This Row],[Valor Precorte Pesona]]</f>
        <v>0</v>
      </c>
      <c r="AM440" s="294">
        <f>Tabla14[[#This Row],[Personas Precorte]]</f>
        <v>0</v>
      </c>
      <c r="AN440" s="308">
        <f>Tabla14[[#This Row],[Valor Precorte Pesona Precorte]]*Tabla14[[#This Row],[Perzonas Precorte]]</f>
        <v>0</v>
      </c>
      <c r="AO440" s="287">
        <f>Tabla14[[#This Row],[Cajas por Personas2]]</f>
        <v>10.333333333333334</v>
      </c>
      <c r="AP440" s="288">
        <f>Tabla14[[#This Row],[Valor Embarque Pesona]]</f>
        <v>18600</v>
      </c>
      <c r="AQ440" s="295">
        <f>Tabla14[[#This Row],[Personas Precorte2]]</f>
        <v>3</v>
      </c>
      <c r="AR440" s="296">
        <f>Tabla14[[#This Row],[Valor Embarque Pesona3]]*Tabla14[[#This Row],[Perzona Primera]]</f>
        <v>55800</v>
      </c>
      <c r="AS440" s="287">
        <f>Tabla14[[#This Row],[Columna2]]</f>
        <v>0</v>
      </c>
      <c r="AT440" s="288">
        <f>Tabla14[[#This Row],[Columna1]]</f>
        <v>0</v>
      </c>
      <c r="AU440" s="302">
        <f>Tabla14[[#This Row],[Personas Intervienen]]</f>
        <v>0</v>
      </c>
      <c r="AV440" s="297">
        <f>Tabla14[[#This Row],[Valor Embarque Pesona5]]*Tabla14[[#This Row],[Presonas Segunda]]</f>
        <v>0</v>
      </c>
      <c r="AW440" s="287">
        <f>Tabla14[[#This Row],[Bolsas Por Personas]]</f>
        <v>0</v>
      </c>
      <c r="AX440" s="288">
        <f>Tabla14[[#This Row],[Valor bolsas Pesona]]</f>
        <v>0</v>
      </c>
      <c r="AY440" s="309">
        <f>Tabla14[[#This Row],[Personas13]]</f>
        <v>0</v>
      </c>
      <c r="AZ440" s="310">
        <f>Tabla14[[#This Row],[Valor bolsas Pesona2]]*Tabla14[[#This Row],[Personas Rechazo]]</f>
        <v>0</v>
      </c>
      <c r="BA440" s="311">
        <f>+Tabla14[[#This Row],[Total Valor Segunda]]+Tabla14[[#This Row],[Total Valor Primera]]+Tabla14[[#This Row],[Total Valor Precorte]]</f>
        <v>55800</v>
      </c>
      <c r="BB440" s="292">
        <f>Tabla14[[#This Row],[Valor bolsas Pesona2]]+Tabla14[[#This Row],[Valor Embarque Pesona3]]</f>
        <v>18600</v>
      </c>
      <c r="BC440" s="332">
        <v>18600</v>
      </c>
      <c r="BD440" s="292">
        <f>Tabla14[[#This Row],[VALOR GANADO]]-Tabla14[[#This Row],[REAJUSTADO]]</f>
        <v>0</v>
      </c>
      <c r="BE440" s="250">
        <f>Tabla14[[#This Row],[CUANTO SE REAJUSTA]]*Tabla14[[#This Row],[Personas Rechazo]]</f>
        <v>0</v>
      </c>
      <c r="BF440" s="250">
        <f>Tabla14[[#This Row],[REAJUSTADO]]/25000</f>
        <v>0.74399999999999999</v>
      </c>
      <c r="BG440" s="302">
        <f>Tabla14[[#This Row],[REAJUSTADO]]*Tabla14[[#This Row],[Personas Rechazo]]</f>
        <v>0</v>
      </c>
      <c r="BH440" s="292" t="str">
        <f>Tabla14[[#This Row],[Finca]]</f>
        <v>San Pedro</v>
      </c>
      <c r="BJ440" s="332">
        <f>Tabla14[[#This Row],[Numero de Ocacionales]]*Tabla14[[#This Row],[REAJUSTADO]]</f>
        <v>0</v>
      </c>
      <c r="BK440" s="332"/>
      <c r="BL440" s="332"/>
      <c r="BM440" s="332">
        <f>+Tabla14[[#This Row],[CUANTO SE REAJUSTA]]*3</f>
        <v>0</v>
      </c>
    </row>
    <row r="441" spans="3:65" x14ac:dyDescent="0.25">
      <c r="C441" s="517">
        <v>45174</v>
      </c>
      <c r="D441" s="549">
        <f>YEAR(Tabla14[[#This Row],[Fecha]])</f>
        <v>2023</v>
      </c>
      <c r="E441" s="553">
        <f>IF(Tabla14[[#This Row],[Fecha]]&gt;0,_xlfn.ISOWEEKNUM(Tabla14[[#This Row],[Fecha]]),0)</f>
        <v>36</v>
      </c>
      <c r="F441" s="551">
        <v>288</v>
      </c>
      <c r="G441" s="268" t="s">
        <v>250</v>
      </c>
      <c r="H441" s="266" t="str">
        <f>_xlfn.XLOOKUP(Tabla14[[#This Row],[Codigo Finca]],Tabla4[Codigo Finca],Tabla4[Nombre Finca],"")</f>
        <v>San Pedro</v>
      </c>
      <c r="I441" s="262">
        <f>_xlfn.XLOOKUP(Tabla14[[#This Row],[Codigo Finca]],Tabla4[Codigo Finca],Tabla4[Precio Caja],0)</f>
        <v>1800</v>
      </c>
      <c r="J441" s="262">
        <f>_xlfn.XLOOKUP(Tabla14[[#This Row],[Codigo Finca]],Tabla4[Codigo Finca],Tabla4[Precio Caja Segunda],0)</f>
        <v>1150</v>
      </c>
      <c r="K441" s="262">
        <f>_xlfn.XLOOKUP(Tabla14[[#This Row],[Codigo Finca]],Tabla4[Codigo Finca],Tabla4[Precio Rechazo],0)</f>
        <v>575</v>
      </c>
      <c r="L441" s="262">
        <f t="shared" si="426"/>
        <v>1017</v>
      </c>
      <c r="M441" s="272">
        <f t="shared" si="427"/>
        <v>3.53125</v>
      </c>
      <c r="N441" s="269"/>
      <c r="O441" s="270"/>
      <c r="P441" s="280">
        <f t="shared" si="428"/>
        <v>0</v>
      </c>
      <c r="Q441" s="263">
        <f t="shared" si="429"/>
        <v>0</v>
      </c>
      <c r="R441" s="322">
        <f t="shared" si="430"/>
        <v>0</v>
      </c>
      <c r="S441" s="269">
        <v>1017</v>
      </c>
      <c r="T441" s="268">
        <v>13</v>
      </c>
      <c r="U441" s="251">
        <f t="shared" si="431"/>
        <v>288</v>
      </c>
      <c r="V441" s="263">
        <f t="shared" si="432"/>
        <v>22.153846153846153</v>
      </c>
      <c r="W441" s="322">
        <f t="shared" si="433"/>
        <v>39876.923076923078</v>
      </c>
      <c r="X441" s="269"/>
      <c r="Y441" s="268"/>
      <c r="Z441" s="251">
        <f>Tabla14[[#This Row],[Cajas Segunda]]</f>
        <v>0</v>
      </c>
      <c r="AA441" s="263">
        <f t="shared" si="434"/>
        <v>0</v>
      </c>
      <c r="AB441" s="265">
        <f t="shared" si="435"/>
        <v>0</v>
      </c>
      <c r="AC441" s="273"/>
      <c r="AD441" s="271">
        <f>1447+88</f>
        <v>1535</v>
      </c>
      <c r="AE441" s="271"/>
      <c r="AF441" s="271"/>
      <c r="AG441" s="271">
        <v>13</v>
      </c>
      <c r="AH441" s="251">
        <f t="shared" si="436"/>
        <v>61.4</v>
      </c>
      <c r="AI441" s="263">
        <f t="shared" si="437"/>
        <v>4.7230769230769232</v>
      </c>
      <c r="AJ441" s="322">
        <f t="shared" si="438"/>
        <v>2715.7692307692309</v>
      </c>
      <c r="AK441" s="264">
        <f>Tabla14[[#This Row],[Cajas por Personas]]</f>
        <v>0</v>
      </c>
      <c r="AL441" s="267">
        <f>Tabla14[[#This Row],[Valor Precorte Pesona]]</f>
        <v>0</v>
      </c>
      <c r="AM441" s="294">
        <f>Tabla14[[#This Row],[Personas Precorte]]</f>
        <v>0</v>
      </c>
      <c r="AN441" s="308">
        <f>Tabla14[[#This Row],[Valor Precorte Pesona Precorte]]*Tabla14[[#This Row],[Perzonas Precorte]]</f>
        <v>0</v>
      </c>
      <c r="AO441" s="264">
        <f>Tabla14[[#This Row],[Cajas por Personas2]]</f>
        <v>22.153846153846153</v>
      </c>
      <c r="AP441" s="267">
        <f>Tabla14[[#This Row],[Valor Embarque Pesona]]</f>
        <v>39876.923076923078</v>
      </c>
      <c r="AQ441" s="295">
        <f>Tabla14[[#This Row],[Personas Precorte2]]</f>
        <v>13</v>
      </c>
      <c r="AR441" s="296">
        <f>Tabla14[[#This Row],[Valor Embarque Pesona3]]*Tabla14[[#This Row],[Perzona Primera]]</f>
        <v>518400</v>
      </c>
      <c r="AS441" s="264">
        <f>Tabla14[[#This Row],[Columna2]]</f>
        <v>0</v>
      </c>
      <c r="AT441" s="267">
        <f>Tabla14[[#This Row],[Columna1]]</f>
        <v>0</v>
      </c>
      <c r="AU441" s="302">
        <f>Tabla14[[#This Row],[Personas Intervienen]]</f>
        <v>0</v>
      </c>
      <c r="AV441" s="297">
        <f>Tabla14[[#This Row],[Valor Embarque Pesona5]]*Tabla14[[#This Row],[Presonas Segunda]]</f>
        <v>0</v>
      </c>
      <c r="AW441" s="264">
        <f>Tabla14[[#This Row],[Bolsas Por Personas]]</f>
        <v>4.7230769230769232</v>
      </c>
      <c r="AX441" s="267">
        <f>Tabla14[[#This Row],[Valor bolsas Pesona]]</f>
        <v>2715.7692307692309</v>
      </c>
      <c r="AY441" s="290">
        <f>Tabla14[[#This Row],[Personas13]]</f>
        <v>13</v>
      </c>
      <c r="AZ441" s="323">
        <f>Tabla14[[#This Row],[Valor bolsas Pesona2]]*Tabla14[[#This Row],[Personas Rechazo]]</f>
        <v>35305</v>
      </c>
      <c r="BA441" s="324">
        <f>+Tabla14[[#This Row],[Total Valor Segunda]]+Tabla14[[#This Row],[Total Valor Primera]]+Tabla14[[#This Row],[Total Valor Precorte]]</f>
        <v>518400</v>
      </c>
      <c r="BB441" s="538">
        <f>Tabla14[[#This Row],[Valor bolsas Pesona2]]+Tabla14[[#This Row],[Valor Embarque Pesona3]]</f>
        <v>42592.692307692312</v>
      </c>
      <c r="BC441" s="539">
        <v>45650</v>
      </c>
      <c r="BD441" s="538">
        <f>Tabla14[[#This Row],[VALOR GANADO]]-Tabla14[[#This Row],[REAJUSTADO]]</f>
        <v>-3057.3076923076878</v>
      </c>
      <c r="BE441" s="250">
        <f>Tabla14[[#This Row],[CUANTO SE REAJUSTA]]*Tabla14[[#This Row],[Personas Rechazo]]</f>
        <v>-39744.999999999942</v>
      </c>
      <c r="BF441" s="250">
        <f>Tabla14[[#This Row],[REAJUSTADO]]/25000</f>
        <v>1.8260000000000001</v>
      </c>
      <c r="BG441" s="302">
        <f>Tabla14[[#This Row],[REAJUSTADO]]*Tabla14[[#This Row],[Personas Rechazo]]</f>
        <v>593450</v>
      </c>
      <c r="BH441" s="292" t="str">
        <f>Tabla14[[#This Row],[Finca]]</f>
        <v>San Pedro</v>
      </c>
      <c r="BJ441" s="332">
        <f>Tabla14[[#This Row],[Numero de Ocacionales]]*Tabla14[[#This Row],[REAJUSTADO]]</f>
        <v>0</v>
      </c>
      <c r="BK441" s="332"/>
      <c r="BL441" s="332"/>
      <c r="BM441" s="332">
        <f>+Tabla14[[#This Row],[CUANTO SE REAJUSTA]]*3</f>
        <v>-9171.9230769230635</v>
      </c>
    </row>
    <row r="442" spans="3:65" x14ac:dyDescent="0.25">
      <c r="C442" s="517">
        <v>45174</v>
      </c>
      <c r="D442" s="549">
        <f>YEAR(Tabla14[[#This Row],[Fecha]])</f>
        <v>2023</v>
      </c>
      <c r="E442" s="553">
        <f>IF(Tabla14[[#This Row],[Fecha]]&gt;0,_xlfn.ISOWEEKNUM(Tabla14[[#This Row],[Fecha]]),0)</f>
        <v>36</v>
      </c>
      <c r="F442" s="551">
        <v>20</v>
      </c>
      <c r="G442" s="268" t="s">
        <v>249</v>
      </c>
      <c r="H442" s="266" t="str">
        <f>_xlfn.XLOOKUP(Tabla14[[#This Row],[Codigo Finca]],Tabla4[Codigo Finca],Tabla4[Nombre Finca],"")</f>
        <v>San Pedro</v>
      </c>
      <c r="I442" s="262">
        <f>_xlfn.XLOOKUP(Tabla14[[#This Row],[Codigo Finca]],Tabla4[Codigo Finca],Tabla4[Precio Caja],0)</f>
        <v>2000</v>
      </c>
      <c r="J442" s="262">
        <f>_xlfn.XLOOKUP(Tabla14[[#This Row],[Codigo Finca]],Tabla4[Codigo Finca],Tabla4[Precio Caja Segunda],0)</f>
        <v>1150</v>
      </c>
      <c r="K442" s="262">
        <f>_xlfn.XLOOKUP(Tabla14[[#This Row],[Codigo Finca]],Tabla4[Codigo Finca],Tabla4[Precio Rechazo],0)</f>
        <v>675</v>
      </c>
      <c r="L442" s="262">
        <f t="shared" si="426"/>
        <v>90</v>
      </c>
      <c r="M442" s="272">
        <f t="shared" si="427"/>
        <v>4.5</v>
      </c>
      <c r="N442" s="269"/>
      <c r="O442" s="270"/>
      <c r="P442" s="548">
        <f t="shared" si="428"/>
        <v>0</v>
      </c>
      <c r="Q442" s="263">
        <f t="shared" si="429"/>
        <v>0</v>
      </c>
      <c r="R442" s="322">
        <f t="shared" si="430"/>
        <v>0</v>
      </c>
      <c r="S442" s="269">
        <v>90</v>
      </c>
      <c r="T442" s="268">
        <v>13</v>
      </c>
      <c r="U442" s="251">
        <f t="shared" si="431"/>
        <v>20</v>
      </c>
      <c r="V442" s="263">
        <f t="shared" si="432"/>
        <v>1.5384615384615385</v>
      </c>
      <c r="W442" s="322">
        <f t="shared" si="433"/>
        <v>3076.9230769230771</v>
      </c>
      <c r="X442" s="269"/>
      <c r="Y442" s="268"/>
      <c r="Z442" s="251">
        <f>Tabla14[[#This Row],[Cajas Segunda]]</f>
        <v>0</v>
      </c>
      <c r="AA442" s="263">
        <f t="shared" si="434"/>
        <v>0</v>
      </c>
      <c r="AB442" s="265">
        <f t="shared" si="435"/>
        <v>0</v>
      </c>
      <c r="AC442" s="273"/>
      <c r="AD442" s="271"/>
      <c r="AE442" s="271"/>
      <c r="AF442" s="271"/>
      <c r="AG442" s="271">
        <v>13</v>
      </c>
      <c r="AH442" s="251">
        <f t="shared" si="436"/>
        <v>0</v>
      </c>
      <c r="AI442" s="263">
        <f t="shared" si="437"/>
        <v>0</v>
      </c>
      <c r="AJ442" s="322">
        <f t="shared" si="438"/>
        <v>0</v>
      </c>
      <c r="AK442" s="264">
        <f>Tabla14[[#This Row],[Cajas por Personas]]</f>
        <v>0</v>
      </c>
      <c r="AL442" s="267">
        <f>Tabla14[[#This Row],[Valor Precorte Pesona]]</f>
        <v>0</v>
      </c>
      <c r="AM442" s="294">
        <f>Tabla14[[#This Row],[Personas Precorte]]</f>
        <v>0</v>
      </c>
      <c r="AN442" s="308">
        <f>Tabla14[[#This Row],[Valor Precorte Pesona Precorte]]*Tabla14[[#This Row],[Perzonas Precorte]]</f>
        <v>0</v>
      </c>
      <c r="AO442" s="264">
        <f>Tabla14[[#This Row],[Cajas por Personas2]]</f>
        <v>1.5384615384615385</v>
      </c>
      <c r="AP442" s="267">
        <f>Tabla14[[#This Row],[Valor Embarque Pesona]]</f>
        <v>3076.9230769230771</v>
      </c>
      <c r="AQ442" s="295">
        <f>Tabla14[[#This Row],[Personas Precorte2]]</f>
        <v>13</v>
      </c>
      <c r="AR442" s="296">
        <f>Tabla14[[#This Row],[Valor Embarque Pesona3]]*Tabla14[[#This Row],[Perzona Primera]]</f>
        <v>40000</v>
      </c>
      <c r="AS442" s="264">
        <f>Tabla14[[#This Row],[Columna2]]</f>
        <v>0</v>
      </c>
      <c r="AT442" s="267">
        <f>Tabla14[[#This Row],[Columna1]]</f>
        <v>0</v>
      </c>
      <c r="AU442" s="302">
        <f>Tabla14[[#This Row],[Personas Intervienen]]</f>
        <v>0</v>
      </c>
      <c r="AV442" s="297">
        <f>Tabla14[[#This Row],[Valor Embarque Pesona5]]*Tabla14[[#This Row],[Presonas Segunda]]</f>
        <v>0</v>
      </c>
      <c r="AW442" s="264">
        <f>Tabla14[[#This Row],[Bolsas Por Personas]]</f>
        <v>0</v>
      </c>
      <c r="AX442" s="267">
        <f>Tabla14[[#This Row],[Valor bolsas Pesona]]</f>
        <v>0</v>
      </c>
      <c r="AY442" s="290">
        <f>Tabla14[[#This Row],[Personas13]]</f>
        <v>13</v>
      </c>
      <c r="AZ442" s="323">
        <f>Tabla14[[#This Row],[Valor bolsas Pesona2]]*Tabla14[[#This Row],[Personas Rechazo]]</f>
        <v>0</v>
      </c>
      <c r="BA442" s="324">
        <f>+Tabla14[[#This Row],[Total Valor Segunda]]+Tabla14[[#This Row],[Total Valor Primera]]+Tabla14[[#This Row],[Total Valor Precorte]]</f>
        <v>40000</v>
      </c>
      <c r="BB442" s="538">
        <f>Tabla14[[#This Row],[Valor bolsas Pesona2]]+Tabla14[[#This Row],[Valor Embarque Pesona3]]</f>
        <v>3076.9230769230771</v>
      </c>
      <c r="BC442" s="539"/>
      <c r="BD442" s="538">
        <f>Tabla14[[#This Row],[VALOR GANADO]]-Tabla14[[#This Row],[REAJUSTADO]]</f>
        <v>3076.9230769230771</v>
      </c>
      <c r="BE442" s="250">
        <f>Tabla14[[#This Row],[CUANTO SE REAJUSTA]]*Tabla14[[#This Row],[Personas Rechazo]]</f>
        <v>40000</v>
      </c>
      <c r="BF442" s="250">
        <f>Tabla14[[#This Row],[REAJUSTADO]]/25000</f>
        <v>0</v>
      </c>
      <c r="BG442" s="302">
        <f>Tabla14[[#This Row],[REAJUSTADO]]*Tabla14[[#This Row],[Personas Rechazo]]</f>
        <v>0</v>
      </c>
      <c r="BH442" s="292" t="str">
        <f>Tabla14[[#This Row],[Finca]]</f>
        <v>San Pedro</v>
      </c>
      <c r="BJ442" s="332">
        <f>Tabla14[[#This Row],[Numero de Ocacionales]]*Tabla14[[#This Row],[REAJUSTADO]]</f>
        <v>0</v>
      </c>
      <c r="BK442" s="332"/>
      <c r="BL442" s="332"/>
      <c r="BM442" s="332">
        <f>+Tabla14[[#This Row],[CUANTO SE REAJUSTA]]*3</f>
        <v>9230.7692307692305</v>
      </c>
    </row>
    <row r="443" spans="3:65" x14ac:dyDescent="0.25">
      <c r="C443" s="517">
        <v>45174</v>
      </c>
      <c r="D443" s="549">
        <f>YEAR(Tabla14[[#This Row],[Fecha]])</f>
        <v>2023</v>
      </c>
      <c r="E443" s="553">
        <f>IF(Tabla14[[#This Row],[Fecha]]&gt;0,_xlfn.ISOWEEKNUM(Tabla14[[#This Row],[Fecha]]),0)</f>
        <v>36</v>
      </c>
      <c r="F443" s="551">
        <v>20</v>
      </c>
      <c r="G443" s="268" t="s">
        <v>247</v>
      </c>
      <c r="H443" s="266" t="str">
        <f>_xlfn.XLOOKUP(Tabla14[[#This Row],[Codigo Finca]],Tabla4[Codigo Finca],Tabla4[Nombre Finca],"")</f>
        <v>Uveros</v>
      </c>
      <c r="I443" s="262">
        <f>_xlfn.XLOOKUP(Tabla14[[#This Row],[Codigo Finca]],Tabla4[Codigo Finca],Tabla4[Precio Caja],0)</f>
        <v>1800</v>
      </c>
      <c r="J443" s="262">
        <f>_xlfn.XLOOKUP(Tabla14[[#This Row],[Codigo Finca]],Tabla4[Codigo Finca],Tabla4[Precio Caja Segunda],0)</f>
        <v>1150</v>
      </c>
      <c r="K443" s="262">
        <f>_xlfn.XLOOKUP(Tabla14[[#This Row],[Codigo Finca]],Tabla4[Codigo Finca],Tabla4[Precio Rechazo],0)</f>
        <v>575</v>
      </c>
      <c r="L443" s="262">
        <f t="shared" si="426"/>
        <v>0</v>
      </c>
      <c r="M443" s="272">
        <f t="shared" si="427"/>
        <v>0</v>
      </c>
      <c r="N443" s="269"/>
      <c r="O443" s="270"/>
      <c r="P443" s="548">
        <f t="shared" si="428"/>
        <v>0</v>
      </c>
      <c r="Q443" s="263">
        <f t="shared" si="429"/>
        <v>0</v>
      </c>
      <c r="R443" s="322">
        <f t="shared" si="430"/>
        <v>0</v>
      </c>
      <c r="S443" s="554"/>
      <c r="T443" s="268"/>
      <c r="U443" s="251">
        <f t="shared" si="431"/>
        <v>20</v>
      </c>
      <c r="V443" s="263">
        <f t="shared" si="432"/>
        <v>0</v>
      </c>
      <c r="W443" s="322">
        <f t="shared" si="433"/>
        <v>0</v>
      </c>
      <c r="X443" s="269"/>
      <c r="Y443" s="268"/>
      <c r="Z443" s="251">
        <f>Tabla14[[#This Row],[Cajas Segunda]]</f>
        <v>0</v>
      </c>
      <c r="AA443" s="263">
        <f t="shared" si="434"/>
        <v>0</v>
      </c>
      <c r="AB443" s="265">
        <f t="shared" si="435"/>
        <v>0</v>
      </c>
      <c r="AC443" s="273"/>
      <c r="AD443" s="271"/>
      <c r="AE443" s="271"/>
      <c r="AF443" s="271"/>
      <c r="AG443" s="271"/>
      <c r="AH443" s="251">
        <f t="shared" si="436"/>
        <v>0</v>
      </c>
      <c r="AI443" s="263">
        <f t="shared" si="437"/>
        <v>0</v>
      </c>
      <c r="AJ443" s="322">
        <f t="shared" si="438"/>
        <v>0</v>
      </c>
      <c r="AK443" s="264">
        <f>Tabla14[[#This Row],[Cajas por Personas]]</f>
        <v>0</v>
      </c>
      <c r="AL443" s="267">
        <f>Tabla14[[#This Row],[Valor Precorte Pesona]]</f>
        <v>0</v>
      </c>
      <c r="AM443" s="294">
        <f>Tabla14[[#This Row],[Personas Precorte]]</f>
        <v>0</v>
      </c>
      <c r="AN443" s="308">
        <f>Tabla14[[#This Row],[Valor Precorte Pesona Precorte]]*Tabla14[[#This Row],[Perzonas Precorte]]</f>
        <v>0</v>
      </c>
      <c r="AO443" s="264">
        <f>Tabla14[[#This Row],[Cajas por Personas2]]</f>
        <v>0</v>
      </c>
      <c r="AP443" s="267">
        <f>Tabla14[[#This Row],[Valor Embarque Pesona]]</f>
        <v>0</v>
      </c>
      <c r="AQ443" s="295">
        <f>Tabla14[[#This Row],[Personas Precorte2]]</f>
        <v>0</v>
      </c>
      <c r="AR443" s="296">
        <f>Tabla14[[#This Row],[Valor Embarque Pesona3]]*Tabla14[[#This Row],[Perzona Primera]]</f>
        <v>0</v>
      </c>
      <c r="AS443" s="264">
        <f>Tabla14[[#This Row],[Columna2]]</f>
        <v>0</v>
      </c>
      <c r="AT443" s="267">
        <f>Tabla14[[#This Row],[Columna1]]</f>
        <v>0</v>
      </c>
      <c r="AU443" s="302">
        <f>Tabla14[[#This Row],[Personas Intervienen]]</f>
        <v>0</v>
      </c>
      <c r="AV443" s="297">
        <f>Tabla14[[#This Row],[Valor Embarque Pesona5]]*Tabla14[[#This Row],[Presonas Segunda]]</f>
        <v>0</v>
      </c>
      <c r="AW443" s="264">
        <f>Tabla14[[#This Row],[Bolsas Por Personas]]</f>
        <v>0</v>
      </c>
      <c r="AX443" s="267">
        <f>Tabla14[[#This Row],[Valor bolsas Pesona]]</f>
        <v>0</v>
      </c>
      <c r="AY443" s="290">
        <f>Tabla14[[#This Row],[Personas13]]</f>
        <v>0</v>
      </c>
      <c r="AZ443" s="323">
        <f>Tabla14[[#This Row],[Valor bolsas Pesona2]]*Tabla14[[#This Row],[Personas Rechazo]]</f>
        <v>0</v>
      </c>
      <c r="BA443" s="324">
        <f>+Tabla14[[#This Row],[Total Valor Segunda]]+Tabla14[[#This Row],[Total Valor Primera]]+Tabla14[[#This Row],[Total Valor Precorte]]</f>
        <v>0</v>
      </c>
      <c r="BB443" s="292">
        <f>Tabla14[[#This Row],[Valor bolsas Pesona2]]+Tabla14[[#This Row],[Valor Embarque Pesona3]]</f>
        <v>0</v>
      </c>
      <c r="BD443" s="292">
        <f>Tabla14[[#This Row],[VALOR GANADO]]-Tabla14[[#This Row],[REAJUSTADO]]</f>
        <v>0</v>
      </c>
      <c r="BE443" s="250">
        <f>Tabla14[[#This Row],[CUANTO SE REAJUSTA]]*Tabla14[[#This Row],[Personas Rechazo]]</f>
        <v>0</v>
      </c>
      <c r="BF443" s="250">
        <f>Tabla14[[#This Row],[REAJUSTADO]]/25000</f>
        <v>0</v>
      </c>
      <c r="BG443" s="302">
        <f>Tabla14[[#This Row],[REAJUSTADO]]*Tabla14[[#This Row],[Personas Rechazo]]</f>
        <v>0</v>
      </c>
      <c r="BH443" s="292" t="str">
        <f>Tabla14[[#This Row],[Finca]]</f>
        <v>Uveros</v>
      </c>
      <c r="BJ443" s="332">
        <f>Tabla14[[#This Row],[Numero de Ocacionales]]*Tabla14[[#This Row],[REAJUSTADO]]</f>
        <v>0</v>
      </c>
      <c r="BK443" s="332"/>
      <c r="BL443" s="332"/>
      <c r="BM443" s="332">
        <f>+Tabla14[[#This Row],[CUANTO SE REAJUSTA]]*3</f>
        <v>0</v>
      </c>
    </row>
    <row r="444" spans="3:65" x14ac:dyDescent="0.25">
      <c r="C444" s="517">
        <v>45175</v>
      </c>
      <c r="D444" s="549">
        <f>YEAR(Tabla14[[#This Row],[Fecha]])</f>
        <v>2023</v>
      </c>
      <c r="E444" s="553">
        <f>IF(Tabla14[[#This Row],[Fecha]]&gt;0,_xlfn.ISOWEEKNUM(Tabla14[[#This Row],[Fecha]]),0)</f>
        <v>36</v>
      </c>
      <c r="F444" s="551">
        <v>118</v>
      </c>
      <c r="G444" s="268" t="s">
        <v>251</v>
      </c>
      <c r="H444" s="266" t="str">
        <f>_xlfn.XLOOKUP(Tabla14[[#This Row],[Codigo Finca]],Tabla4[Codigo Finca],Tabla4[Nombre Finca],"")</f>
        <v>Pedrito</v>
      </c>
      <c r="I444" s="262">
        <f>_xlfn.XLOOKUP(Tabla14[[#This Row],[Codigo Finca]],Tabla4[Codigo Finca],Tabla4[Precio Caja],0)</f>
        <v>1800</v>
      </c>
      <c r="J444" s="262">
        <f>_xlfn.XLOOKUP(Tabla14[[#This Row],[Codigo Finca]],Tabla4[Codigo Finca],Tabla4[Precio Caja Segunda],0)</f>
        <v>1150</v>
      </c>
      <c r="K444" s="262">
        <f>_xlfn.XLOOKUP(Tabla14[[#This Row],[Codigo Finca]],Tabla4[Codigo Finca],Tabla4[Precio Rechazo],0)</f>
        <v>575</v>
      </c>
      <c r="L444" s="262">
        <f t="shared" si="426"/>
        <v>934</v>
      </c>
      <c r="M444" s="272">
        <f t="shared" si="427"/>
        <v>7.9152542372881358</v>
      </c>
      <c r="N444" s="269"/>
      <c r="O444" s="270"/>
      <c r="P444" s="548">
        <f t="shared" si="428"/>
        <v>0</v>
      </c>
      <c r="Q444" s="263">
        <f t="shared" si="429"/>
        <v>0</v>
      </c>
      <c r="R444" s="322">
        <f t="shared" si="430"/>
        <v>0</v>
      </c>
      <c r="S444" s="269">
        <f>262+57+116+61+35+61+99+58+143+33+9</f>
        <v>934</v>
      </c>
      <c r="T444" s="268">
        <v>12</v>
      </c>
      <c r="U444" s="251">
        <f t="shared" si="431"/>
        <v>118</v>
      </c>
      <c r="V444" s="263">
        <f t="shared" si="432"/>
        <v>9.8333333333333339</v>
      </c>
      <c r="W444" s="322">
        <f t="shared" si="433"/>
        <v>17700</v>
      </c>
      <c r="X444" s="269"/>
      <c r="Y444" s="268"/>
      <c r="Z444" s="251">
        <f>Tabla14[[#This Row],[Cajas Segunda]]</f>
        <v>0</v>
      </c>
      <c r="AA444" s="263">
        <f t="shared" si="434"/>
        <v>0</v>
      </c>
      <c r="AB444" s="265">
        <f t="shared" si="435"/>
        <v>0</v>
      </c>
      <c r="AC444" s="273"/>
      <c r="AD444" s="271">
        <f>2280+1090</f>
        <v>3370</v>
      </c>
      <c r="AE444" s="271"/>
      <c r="AF444" s="271"/>
      <c r="AG444" s="271">
        <v>12</v>
      </c>
      <c r="AH444" s="251">
        <f t="shared" si="436"/>
        <v>134.80000000000001</v>
      </c>
      <c r="AI444" s="263">
        <f t="shared" si="437"/>
        <v>11.233333333333334</v>
      </c>
      <c r="AJ444" s="322">
        <f t="shared" si="438"/>
        <v>6459.166666666667</v>
      </c>
      <c r="AK444" s="264">
        <f>Tabla14[[#This Row],[Cajas por Personas]]</f>
        <v>0</v>
      </c>
      <c r="AL444" s="267">
        <f>Tabla14[[#This Row],[Valor Precorte Pesona]]</f>
        <v>0</v>
      </c>
      <c r="AM444" s="294">
        <f>Tabla14[[#This Row],[Personas Precorte]]</f>
        <v>0</v>
      </c>
      <c r="AN444" s="308">
        <f>Tabla14[[#This Row],[Valor Precorte Pesona Precorte]]*Tabla14[[#This Row],[Perzonas Precorte]]</f>
        <v>0</v>
      </c>
      <c r="AO444" s="264">
        <f>Tabla14[[#This Row],[Cajas por Personas2]]</f>
        <v>9.8333333333333339</v>
      </c>
      <c r="AP444" s="267">
        <f>Tabla14[[#This Row],[Valor Embarque Pesona]]</f>
        <v>17700</v>
      </c>
      <c r="AQ444" s="295">
        <f>Tabla14[[#This Row],[Personas Precorte2]]</f>
        <v>12</v>
      </c>
      <c r="AR444" s="296">
        <f>Tabla14[[#This Row],[Valor Embarque Pesona3]]*Tabla14[[#This Row],[Perzona Primera]]</f>
        <v>212400</v>
      </c>
      <c r="AS444" s="264">
        <f>Tabla14[[#This Row],[Columna2]]</f>
        <v>0</v>
      </c>
      <c r="AT444" s="267">
        <f>Tabla14[[#This Row],[Columna1]]</f>
        <v>0</v>
      </c>
      <c r="AU444" s="302">
        <f>Tabla14[[#This Row],[Personas Intervienen]]</f>
        <v>0</v>
      </c>
      <c r="AV444" s="297">
        <f>Tabla14[[#This Row],[Valor Embarque Pesona5]]*Tabla14[[#This Row],[Presonas Segunda]]</f>
        <v>0</v>
      </c>
      <c r="AW444" s="264">
        <f>Tabla14[[#This Row],[Bolsas Por Personas]]</f>
        <v>11.233333333333334</v>
      </c>
      <c r="AX444" s="267">
        <f>Tabla14[[#This Row],[Valor bolsas Pesona]]</f>
        <v>6459.166666666667</v>
      </c>
      <c r="AY444" s="290">
        <f>Tabla14[[#This Row],[Personas13]]</f>
        <v>12</v>
      </c>
      <c r="AZ444" s="323">
        <f>Tabla14[[#This Row],[Valor bolsas Pesona2]]*Tabla14[[#This Row],[Personas Rechazo]]</f>
        <v>77510</v>
      </c>
      <c r="BA444" s="324">
        <f>+Tabla14[[#This Row],[Total Valor Segunda]]+Tabla14[[#This Row],[Total Valor Primera]]+Tabla14[[#This Row],[Total Valor Precorte]]</f>
        <v>212400</v>
      </c>
      <c r="BB444" s="292">
        <f>Tabla14[[#This Row],[Valor bolsas Pesona2]]+Tabla14[[#This Row],[Valor Embarque Pesona3]]</f>
        <v>24159.166666666668</v>
      </c>
      <c r="BC444" s="332">
        <v>30000</v>
      </c>
      <c r="BD444" s="292">
        <f>Tabla14[[#This Row],[VALOR GANADO]]-Tabla14[[#This Row],[REAJUSTADO]]</f>
        <v>-5840.8333333333321</v>
      </c>
      <c r="BE444" s="250">
        <f>Tabla14[[#This Row],[CUANTO SE REAJUSTA]]*Tabla14[[#This Row],[Personas Rechazo]]</f>
        <v>-70089.999999999985</v>
      </c>
      <c r="BF444" s="250">
        <f>Tabla14[[#This Row],[REAJUSTADO]]/25000</f>
        <v>1.2</v>
      </c>
      <c r="BG444" s="302">
        <f>Tabla14[[#This Row],[REAJUSTADO]]*Tabla14[[#This Row],[Personas Rechazo]]</f>
        <v>360000</v>
      </c>
      <c r="BH444" s="292" t="str">
        <f>Tabla14[[#This Row],[Finca]]</f>
        <v>Pedrito</v>
      </c>
      <c r="BJ444" s="332">
        <f>Tabla14[[#This Row],[Numero de Ocacionales]]*Tabla14[[#This Row],[REAJUSTADO]]</f>
        <v>0</v>
      </c>
      <c r="BK444" s="332"/>
      <c r="BL444" s="332"/>
      <c r="BM444" s="332">
        <f>+Tabla14[[#This Row],[CUANTO SE REAJUSTA]]*3</f>
        <v>-17522.499999999996</v>
      </c>
    </row>
    <row r="445" spans="3:65" x14ac:dyDescent="0.25">
      <c r="C445" s="515">
        <v>45175</v>
      </c>
      <c r="D445" s="549">
        <f>YEAR(Tabla14[[#This Row],[Fecha]])</f>
        <v>2023</v>
      </c>
      <c r="E445" s="553">
        <f>IF(Tabla14[[#This Row],[Fecha]]&gt;0,_xlfn.ISOWEEKNUM(Tabla14[[#This Row],[Fecha]]),0)</f>
        <v>36</v>
      </c>
      <c r="F445" s="550">
        <v>11</v>
      </c>
      <c r="G445" s="275" t="s">
        <v>248</v>
      </c>
      <c r="H445" s="325" t="str">
        <f>_xlfn.XLOOKUP(Tabla14[[#This Row],[Codigo Finca]],Tabla4[Codigo Finca],Tabla4[Nombre Finca],"")</f>
        <v>Damaquiel</v>
      </c>
      <c r="I445" s="277">
        <f>_xlfn.XLOOKUP(Tabla14[[#This Row],[Codigo Finca]],Tabla4[Codigo Finca],Tabla4[Precio Caja],0)</f>
        <v>1800</v>
      </c>
      <c r="J445" s="277">
        <f>_xlfn.XLOOKUP(Tabla14[[#This Row],[Codigo Finca]],Tabla4[Codigo Finca],Tabla4[Precio Caja Segunda],0)</f>
        <v>1150</v>
      </c>
      <c r="K445" s="277">
        <f>_xlfn.XLOOKUP(Tabla14[[#This Row],[Codigo Finca]],Tabla4[Codigo Finca],Tabla4[Precio Rechazo],0)</f>
        <v>575</v>
      </c>
      <c r="L445" s="277">
        <f t="shared" si="426"/>
        <v>0</v>
      </c>
      <c r="M445" s="278">
        <f t="shared" si="427"/>
        <v>0</v>
      </c>
      <c r="N445" s="283"/>
      <c r="O445" s="279"/>
      <c r="P445" s="548">
        <f t="shared" si="428"/>
        <v>0</v>
      </c>
      <c r="Q445" s="281">
        <f t="shared" si="429"/>
        <v>0</v>
      </c>
      <c r="R445" s="282">
        <f t="shared" si="430"/>
        <v>0</v>
      </c>
      <c r="S445" s="338"/>
      <c r="T445" s="275"/>
      <c r="U445" s="280">
        <f t="shared" si="431"/>
        <v>11</v>
      </c>
      <c r="V445" s="281">
        <f t="shared" si="432"/>
        <v>0</v>
      </c>
      <c r="W445" s="282">
        <f t="shared" si="433"/>
        <v>0</v>
      </c>
      <c r="X445" s="283"/>
      <c r="Y445" s="275"/>
      <c r="Z445" s="280">
        <f>Tabla14[[#This Row],[Cajas Segunda]]</f>
        <v>0</v>
      </c>
      <c r="AA445" s="281">
        <f t="shared" si="434"/>
        <v>0</v>
      </c>
      <c r="AB445" s="284">
        <f t="shared" si="435"/>
        <v>0</v>
      </c>
      <c r="AC445" s="285"/>
      <c r="AD445" s="286">
        <v>1262</v>
      </c>
      <c r="AE445" s="286"/>
      <c r="AF445" s="286"/>
      <c r="AG445" s="286"/>
      <c r="AH445" s="280">
        <f t="shared" si="436"/>
        <v>50.48</v>
      </c>
      <c r="AI445" s="281">
        <f t="shared" si="437"/>
        <v>0</v>
      </c>
      <c r="AJ445" s="282">
        <f t="shared" si="438"/>
        <v>0</v>
      </c>
      <c r="AK445" s="287">
        <f>Tabla14[[#This Row],[Cajas por Personas]]</f>
        <v>0</v>
      </c>
      <c r="AL445" s="288">
        <f>Tabla14[[#This Row],[Valor Precorte Pesona]]</f>
        <v>0</v>
      </c>
      <c r="AM445" s="294">
        <f>Tabla14[[#This Row],[Personas Precorte]]</f>
        <v>0</v>
      </c>
      <c r="AN445" s="308">
        <f>Tabla14[[#This Row],[Valor Precorte Pesona Precorte]]*Tabla14[[#This Row],[Perzonas Precorte]]</f>
        <v>0</v>
      </c>
      <c r="AO445" s="287">
        <f>Tabla14[[#This Row],[Cajas por Personas2]]</f>
        <v>0</v>
      </c>
      <c r="AP445" s="288">
        <f>Tabla14[[#This Row],[Valor Embarque Pesona]]</f>
        <v>0</v>
      </c>
      <c r="AQ445" s="295">
        <f>Tabla14[[#This Row],[Personas Precorte2]]</f>
        <v>0</v>
      </c>
      <c r="AR445" s="296">
        <f>Tabla14[[#This Row],[Valor Embarque Pesona3]]*Tabla14[[#This Row],[Perzona Primera]]</f>
        <v>0</v>
      </c>
      <c r="AS445" s="287">
        <f>Tabla14[[#This Row],[Columna2]]</f>
        <v>0</v>
      </c>
      <c r="AT445" s="288">
        <f>Tabla14[[#This Row],[Columna1]]</f>
        <v>0</v>
      </c>
      <c r="AU445" s="302">
        <f>Tabla14[[#This Row],[Personas Intervienen]]</f>
        <v>0</v>
      </c>
      <c r="AV445" s="297">
        <f>Tabla14[[#This Row],[Valor Embarque Pesona5]]*Tabla14[[#This Row],[Presonas Segunda]]</f>
        <v>0</v>
      </c>
      <c r="AW445" s="287">
        <f>Tabla14[[#This Row],[Bolsas Por Personas]]</f>
        <v>0</v>
      </c>
      <c r="AX445" s="288">
        <f>Tabla14[[#This Row],[Valor bolsas Pesona]]</f>
        <v>0</v>
      </c>
      <c r="AY445" s="309">
        <f>Tabla14[[#This Row],[Personas13]]</f>
        <v>0</v>
      </c>
      <c r="AZ445" s="310">
        <f>Tabla14[[#This Row],[Valor bolsas Pesona2]]*Tabla14[[#This Row],[Personas Rechazo]]</f>
        <v>0</v>
      </c>
      <c r="BA445" s="311">
        <f>+Tabla14[[#This Row],[Total Valor Segunda]]+Tabla14[[#This Row],[Total Valor Primera]]+Tabla14[[#This Row],[Total Valor Precorte]]</f>
        <v>0</v>
      </c>
      <c r="BB445" s="292">
        <f>Tabla14[[#This Row],[Valor bolsas Pesona2]]+Tabla14[[#This Row],[Valor Embarque Pesona3]]</f>
        <v>0</v>
      </c>
      <c r="BC445" s="332">
        <v>30000</v>
      </c>
      <c r="BD445" s="292">
        <f>Tabla14[[#This Row],[VALOR GANADO]]-Tabla14[[#This Row],[REAJUSTADO]]</f>
        <v>-30000</v>
      </c>
      <c r="BE445" s="250">
        <f>Tabla14[[#This Row],[CUANTO SE REAJUSTA]]*Tabla14[[#This Row],[Personas Rechazo]]</f>
        <v>0</v>
      </c>
      <c r="BF445" s="250">
        <f>Tabla14[[#This Row],[REAJUSTADO]]/25000</f>
        <v>1.2</v>
      </c>
      <c r="BG445" s="302">
        <f>Tabla14[[#This Row],[REAJUSTADO]]*Tabla14[[#This Row],[Personas Rechazo]]</f>
        <v>0</v>
      </c>
      <c r="BH445" s="292" t="str">
        <f>Tabla14[[#This Row],[Finca]]</f>
        <v>Damaquiel</v>
      </c>
      <c r="BJ445" s="332">
        <f>Tabla14[[#This Row],[Numero de Ocacionales]]*Tabla14[[#This Row],[REAJUSTADO]]</f>
        <v>0</v>
      </c>
      <c r="BK445" s="332"/>
      <c r="BL445" s="332"/>
      <c r="BM445" s="332">
        <f>+Tabla14[[#This Row],[CUANTO SE REAJUSTA]]*3</f>
        <v>-90000</v>
      </c>
    </row>
    <row r="446" spans="3:65" x14ac:dyDescent="0.25">
      <c r="C446" s="515">
        <v>45181</v>
      </c>
      <c r="D446" s="549">
        <f>YEAR(Tabla14[[#This Row],[Fecha]])</f>
        <v>2023</v>
      </c>
      <c r="E446" s="516">
        <f>IF(Tabla14[[#This Row],[Fecha]]&gt;0,_xlfn.ISOWEEKNUM(Tabla14[[#This Row],[Fecha]]),0)</f>
        <v>37</v>
      </c>
      <c r="F446" s="283">
        <f>240+75+45</f>
        <v>360</v>
      </c>
      <c r="G446" s="275" t="s">
        <v>250</v>
      </c>
      <c r="H446" s="325" t="str">
        <f>_xlfn.XLOOKUP(Tabla14[[#This Row],[Codigo Finca]],Tabla4[Codigo Finca],Tabla4[Nombre Finca],"")</f>
        <v>San Pedro</v>
      </c>
      <c r="I446" s="277">
        <f>_xlfn.XLOOKUP(Tabla14[[#This Row],[Codigo Finca]],Tabla4[Codigo Finca],Tabla4[Precio Caja],0)</f>
        <v>1800</v>
      </c>
      <c r="J446" s="277">
        <f>_xlfn.XLOOKUP(Tabla14[[#This Row],[Codigo Finca]],Tabla4[Codigo Finca],Tabla4[Precio Caja Segunda],0)</f>
        <v>1150</v>
      </c>
      <c r="K446" s="277">
        <f>_xlfn.XLOOKUP(Tabla14[[#This Row],[Codigo Finca]],Tabla4[Codigo Finca],Tabla4[Precio Rechazo],0)</f>
        <v>575</v>
      </c>
      <c r="L446" s="277">
        <f t="shared" si="426"/>
        <v>1239</v>
      </c>
      <c r="M446" s="278">
        <f t="shared" si="427"/>
        <v>3.4416666666666669</v>
      </c>
      <c r="N446" s="283"/>
      <c r="O446" s="279"/>
      <c r="P446" s="280">
        <f t="shared" si="428"/>
        <v>0</v>
      </c>
      <c r="Q446" s="281">
        <f t="shared" si="429"/>
        <v>0</v>
      </c>
      <c r="R446" s="282">
        <f t="shared" si="430"/>
        <v>0</v>
      </c>
      <c r="S446" s="283">
        <f>1316-77</f>
        <v>1239</v>
      </c>
      <c r="T446" s="275">
        <v>14</v>
      </c>
      <c r="U446" s="280">
        <f t="shared" si="431"/>
        <v>360</v>
      </c>
      <c r="V446" s="281">
        <f t="shared" si="432"/>
        <v>25.714285714285715</v>
      </c>
      <c r="W446" s="282">
        <f t="shared" si="433"/>
        <v>46285.714285714283</v>
      </c>
      <c r="X446" s="283"/>
      <c r="Y446" s="275"/>
      <c r="Z446" s="280">
        <f>Tabla14[[#This Row],[Cajas Segunda]]</f>
        <v>0</v>
      </c>
      <c r="AA446" s="281">
        <f t="shared" si="434"/>
        <v>0</v>
      </c>
      <c r="AB446" s="284">
        <f t="shared" si="435"/>
        <v>0</v>
      </c>
      <c r="AC446" s="285"/>
      <c r="AD446" s="286">
        <v>2010</v>
      </c>
      <c r="AE446" s="286"/>
      <c r="AF446" s="286"/>
      <c r="AG446" s="286">
        <v>14</v>
      </c>
      <c r="AH446" s="280">
        <f t="shared" si="436"/>
        <v>80.400000000000006</v>
      </c>
      <c r="AI446" s="281">
        <f t="shared" si="437"/>
        <v>5.7428571428571429</v>
      </c>
      <c r="AJ446" s="282">
        <f t="shared" si="438"/>
        <v>3302.1428571428573</v>
      </c>
      <c r="AK446" s="287">
        <f>Tabla14[[#This Row],[Cajas por Personas]]</f>
        <v>0</v>
      </c>
      <c r="AL446" s="288">
        <f>Tabla14[[#This Row],[Valor Precorte Pesona]]</f>
        <v>0</v>
      </c>
      <c r="AM446" s="294">
        <f>Tabla14[[#This Row],[Personas Precorte]]</f>
        <v>0</v>
      </c>
      <c r="AN446" s="308">
        <f>Tabla14[[#This Row],[Valor Precorte Pesona Precorte]]*Tabla14[[#This Row],[Perzonas Precorte]]</f>
        <v>0</v>
      </c>
      <c r="AO446" s="287">
        <f>Tabla14[[#This Row],[Cajas por Personas2]]</f>
        <v>25.714285714285715</v>
      </c>
      <c r="AP446" s="288">
        <f>Tabla14[[#This Row],[Valor Embarque Pesona]]</f>
        <v>46285.714285714283</v>
      </c>
      <c r="AQ446" s="295">
        <f>Tabla14[[#This Row],[Personas Precorte2]]</f>
        <v>14</v>
      </c>
      <c r="AR446" s="296">
        <f>Tabla14[[#This Row],[Valor Embarque Pesona3]]*Tabla14[[#This Row],[Perzona Primera]]</f>
        <v>648000</v>
      </c>
      <c r="AS446" s="287">
        <f>Tabla14[[#This Row],[Columna2]]</f>
        <v>0</v>
      </c>
      <c r="AT446" s="288">
        <f>Tabla14[[#This Row],[Columna1]]</f>
        <v>0</v>
      </c>
      <c r="AU446" s="302">
        <f>Tabla14[[#This Row],[Personas Intervienen]]</f>
        <v>0</v>
      </c>
      <c r="AV446" s="297">
        <f>Tabla14[[#This Row],[Valor Embarque Pesona5]]*Tabla14[[#This Row],[Presonas Segunda]]</f>
        <v>0</v>
      </c>
      <c r="AW446" s="287">
        <f>Tabla14[[#This Row],[Bolsas Por Personas]]</f>
        <v>5.7428571428571429</v>
      </c>
      <c r="AX446" s="288">
        <f>Tabla14[[#This Row],[Valor bolsas Pesona]]</f>
        <v>3302.1428571428573</v>
      </c>
      <c r="AY446" s="309">
        <f>Tabla14[[#This Row],[Personas13]]</f>
        <v>14</v>
      </c>
      <c r="AZ446" s="310">
        <f>Tabla14[[#This Row],[Valor bolsas Pesona2]]*Tabla14[[#This Row],[Personas Rechazo]]</f>
        <v>46230</v>
      </c>
      <c r="BA446" s="311">
        <f>+Tabla14[[#This Row],[Total Valor Segunda]]+Tabla14[[#This Row],[Total Valor Primera]]+Tabla14[[#This Row],[Total Valor Precorte]]</f>
        <v>648000</v>
      </c>
      <c r="BB446" s="540">
        <f>Tabla14[[#This Row],[Valor bolsas Pesona2]]+Tabla14[[#This Row],[Valor Embarque Pesona3]]</f>
        <v>49587.857142857138</v>
      </c>
      <c r="BC446" s="541">
        <v>52730</v>
      </c>
      <c r="BD446" s="540">
        <f>Tabla14[[#This Row],[VALOR GANADO]]-Tabla14[[#This Row],[REAJUSTADO]]</f>
        <v>-3142.1428571428623</v>
      </c>
      <c r="BE446" s="250">
        <f>Tabla14[[#This Row],[CUANTO SE REAJUSTA]]*Tabla14[[#This Row],[Personas Rechazo]]</f>
        <v>-43990.000000000073</v>
      </c>
      <c r="BF446" s="250">
        <f>Tabla14[[#This Row],[REAJUSTADO]]/25000</f>
        <v>2.1092</v>
      </c>
      <c r="BG446" s="302">
        <f>Tabla14[[#This Row],[REAJUSTADO]]*Tabla14[[#This Row],[Personas Rechazo]]</f>
        <v>738220</v>
      </c>
      <c r="BH446" s="292" t="str">
        <f>Tabla14[[#This Row],[Finca]]</f>
        <v>San Pedro</v>
      </c>
      <c r="BJ446" s="332">
        <f>Tabla14[[#This Row],[Numero de Ocacionales]]*Tabla14[[#This Row],[REAJUSTADO]]</f>
        <v>0</v>
      </c>
      <c r="BK446" s="332"/>
      <c r="BL446" s="332"/>
      <c r="BM446" s="332">
        <f>+Tabla14[[#This Row],[CUANTO SE REAJUSTA]]*3</f>
        <v>-9426.428571428587</v>
      </c>
    </row>
    <row r="447" spans="3:65" x14ac:dyDescent="0.25">
      <c r="C447" s="515">
        <v>45181</v>
      </c>
      <c r="D447" s="549">
        <f>YEAR(Tabla14[[#This Row],[Fecha]])</f>
        <v>2023</v>
      </c>
      <c r="E447" s="516">
        <f>IF(Tabla14[[#This Row],[Fecha]]&gt;0,_xlfn.ISOWEEKNUM(Tabla14[[#This Row],[Fecha]]),0)</f>
        <v>37</v>
      </c>
      <c r="F447" s="283">
        <v>22</v>
      </c>
      <c r="G447" s="268" t="s">
        <v>249</v>
      </c>
      <c r="H447" s="325" t="str">
        <f>_xlfn.XLOOKUP(Tabla14[[#This Row],[Codigo Finca]],Tabla4[Codigo Finca],Tabla4[Nombre Finca],"")</f>
        <v>San Pedro</v>
      </c>
      <c r="I447" s="277">
        <f>_xlfn.XLOOKUP(Tabla14[[#This Row],[Codigo Finca]],Tabla4[Codigo Finca],Tabla4[Precio Caja],0)</f>
        <v>2000</v>
      </c>
      <c r="J447" s="277">
        <f>_xlfn.XLOOKUP(Tabla14[[#This Row],[Codigo Finca]],Tabla4[Codigo Finca],Tabla4[Precio Caja Segunda],0)</f>
        <v>1150</v>
      </c>
      <c r="K447" s="277">
        <f>_xlfn.XLOOKUP(Tabla14[[#This Row],[Codigo Finca]],Tabla4[Codigo Finca],Tabla4[Precio Rechazo],0)</f>
        <v>675</v>
      </c>
      <c r="L447" s="277">
        <f t="shared" si="426"/>
        <v>77</v>
      </c>
      <c r="M447" s="278">
        <f t="shared" si="427"/>
        <v>3.5</v>
      </c>
      <c r="N447" s="283"/>
      <c r="O447" s="279"/>
      <c r="P447" s="280">
        <f t="shared" si="428"/>
        <v>0</v>
      </c>
      <c r="Q447" s="281">
        <f t="shared" si="429"/>
        <v>0</v>
      </c>
      <c r="R447" s="282">
        <f t="shared" si="430"/>
        <v>0</v>
      </c>
      <c r="S447" s="283">
        <v>77</v>
      </c>
      <c r="T447" s="275">
        <v>14</v>
      </c>
      <c r="U447" s="280">
        <f t="shared" si="431"/>
        <v>22</v>
      </c>
      <c r="V447" s="281">
        <f t="shared" si="432"/>
        <v>1.5714285714285714</v>
      </c>
      <c r="W447" s="282">
        <f t="shared" si="433"/>
        <v>3142.8571428571427</v>
      </c>
      <c r="X447" s="283"/>
      <c r="Y447" s="275"/>
      <c r="Z447" s="280">
        <f>Tabla14[[#This Row],[Cajas Segunda]]</f>
        <v>0</v>
      </c>
      <c r="AA447" s="281">
        <f t="shared" si="434"/>
        <v>0</v>
      </c>
      <c r="AB447" s="284">
        <f t="shared" si="435"/>
        <v>0</v>
      </c>
      <c r="AC447" s="285"/>
      <c r="AD447" s="286"/>
      <c r="AE447" s="286"/>
      <c r="AF447" s="286"/>
      <c r="AG447" s="286">
        <v>14</v>
      </c>
      <c r="AH447" s="280">
        <f t="shared" si="436"/>
        <v>0</v>
      </c>
      <c r="AI447" s="281">
        <f t="shared" si="437"/>
        <v>0</v>
      </c>
      <c r="AJ447" s="282">
        <f t="shared" si="438"/>
        <v>0</v>
      </c>
      <c r="AK447" s="287">
        <f>Tabla14[[#This Row],[Cajas por Personas]]</f>
        <v>0</v>
      </c>
      <c r="AL447" s="288">
        <f>Tabla14[[#This Row],[Valor Precorte Pesona]]</f>
        <v>0</v>
      </c>
      <c r="AM447" s="294">
        <f>Tabla14[[#This Row],[Personas Precorte]]</f>
        <v>0</v>
      </c>
      <c r="AN447" s="308">
        <f>Tabla14[[#This Row],[Valor Precorte Pesona Precorte]]*Tabla14[[#This Row],[Perzonas Precorte]]</f>
        <v>0</v>
      </c>
      <c r="AO447" s="287">
        <f>Tabla14[[#This Row],[Cajas por Personas2]]</f>
        <v>1.5714285714285714</v>
      </c>
      <c r="AP447" s="288">
        <f>Tabla14[[#This Row],[Valor Embarque Pesona]]</f>
        <v>3142.8571428571427</v>
      </c>
      <c r="AQ447" s="295">
        <f>Tabla14[[#This Row],[Personas Precorte2]]</f>
        <v>14</v>
      </c>
      <c r="AR447" s="296">
        <f>Tabla14[[#This Row],[Valor Embarque Pesona3]]*Tabla14[[#This Row],[Perzona Primera]]</f>
        <v>44000</v>
      </c>
      <c r="AS447" s="287">
        <f>Tabla14[[#This Row],[Columna2]]</f>
        <v>0</v>
      </c>
      <c r="AT447" s="288">
        <f>Tabla14[[#This Row],[Columna1]]</f>
        <v>0</v>
      </c>
      <c r="AU447" s="302">
        <f>Tabla14[[#This Row],[Personas Intervienen]]</f>
        <v>0</v>
      </c>
      <c r="AV447" s="297">
        <f>Tabla14[[#This Row],[Valor Embarque Pesona5]]*Tabla14[[#This Row],[Presonas Segunda]]</f>
        <v>0</v>
      </c>
      <c r="AW447" s="287">
        <f>Tabla14[[#This Row],[Bolsas Por Personas]]</f>
        <v>0</v>
      </c>
      <c r="AX447" s="288">
        <f>Tabla14[[#This Row],[Valor bolsas Pesona]]</f>
        <v>0</v>
      </c>
      <c r="AY447" s="309">
        <f>Tabla14[[#This Row],[Personas13]]</f>
        <v>14</v>
      </c>
      <c r="AZ447" s="310">
        <f>Tabla14[[#This Row],[Valor bolsas Pesona2]]*Tabla14[[#This Row],[Personas Rechazo]]</f>
        <v>0</v>
      </c>
      <c r="BA447" s="311">
        <f>+Tabla14[[#This Row],[Total Valor Segunda]]+Tabla14[[#This Row],[Total Valor Primera]]+Tabla14[[#This Row],[Total Valor Precorte]]</f>
        <v>44000</v>
      </c>
      <c r="BB447" s="540">
        <f>Tabla14[[#This Row],[Valor bolsas Pesona2]]+Tabla14[[#This Row],[Valor Embarque Pesona3]]</f>
        <v>3142.8571428571427</v>
      </c>
      <c r="BC447" s="541"/>
      <c r="BD447" s="540">
        <f>Tabla14[[#This Row],[VALOR GANADO]]-Tabla14[[#This Row],[REAJUSTADO]]</f>
        <v>3142.8571428571427</v>
      </c>
      <c r="BE447" s="250">
        <f>Tabla14[[#This Row],[CUANTO SE REAJUSTA]]*Tabla14[[#This Row],[Personas Rechazo]]</f>
        <v>44000</v>
      </c>
      <c r="BF447" s="250">
        <f>Tabla14[[#This Row],[REAJUSTADO]]/25000</f>
        <v>0</v>
      </c>
      <c r="BG447" s="302">
        <f>Tabla14[[#This Row],[REAJUSTADO]]*Tabla14[[#This Row],[Personas Rechazo]]</f>
        <v>0</v>
      </c>
      <c r="BH447" s="292" t="str">
        <f>Tabla14[[#This Row],[Finca]]</f>
        <v>San Pedro</v>
      </c>
      <c r="BJ447" s="332">
        <f>Tabla14[[#This Row],[Numero de Ocacionales]]*Tabla14[[#This Row],[REAJUSTADO]]</f>
        <v>0</v>
      </c>
      <c r="BK447" s="332"/>
      <c r="BL447" s="332"/>
      <c r="BM447" s="332">
        <f>+Tabla14[[#This Row],[CUANTO SE REAJUSTA]]*3</f>
        <v>9428.5714285714275</v>
      </c>
    </row>
    <row r="448" spans="3:65" x14ac:dyDescent="0.25">
      <c r="C448" s="515">
        <v>45181</v>
      </c>
      <c r="D448" s="549">
        <f>YEAR(Tabla14[[#This Row],[Fecha]])</f>
        <v>2023</v>
      </c>
      <c r="E448" s="516">
        <f>IF(Tabla14[[#This Row],[Fecha]]&gt;0,_xlfn.ISOWEEKNUM(Tabla14[[#This Row],[Fecha]]),0)</f>
        <v>37</v>
      </c>
      <c r="F448" s="283">
        <v>11</v>
      </c>
      <c r="G448" s="275" t="s">
        <v>248</v>
      </c>
      <c r="H448" s="325" t="str">
        <f>_xlfn.XLOOKUP(Tabla14[[#This Row],[Codigo Finca]],Tabla4[Codigo Finca],Tabla4[Nombre Finca],"")</f>
        <v>Damaquiel</v>
      </c>
      <c r="I448" s="277">
        <f>_xlfn.XLOOKUP(Tabla14[[#This Row],[Codigo Finca]],Tabla4[Codigo Finca],Tabla4[Precio Caja],0)</f>
        <v>1800</v>
      </c>
      <c r="J448" s="277">
        <f>_xlfn.XLOOKUP(Tabla14[[#This Row],[Codigo Finca]],Tabla4[Codigo Finca],Tabla4[Precio Caja Segunda],0)</f>
        <v>1150</v>
      </c>
      <c r="K448" s="277">
        <f>_xlfn.XLOOKUP(Tabla14[[#This Row],[Codigo Finca]],Tabla4[Codigo Finca],Tabla4[Precio Rechazo],0)</f>
        <v>575</v>
      </c>
      <c r="L448" s="277">
        <f t="shared" si="426"/>
        <v>0</v>
      </c>
      <c r="M448" s="278">
        <f t="shared" si="427"/>
        <v>0</v>
      </c>
      <c r="N448" s="283"/>
      <c r="O448" s="279"/>
      <c r="P448" s="280">
        <f t="shared" si="428"/>
        <v>0</v>
      </c>
      <c r="Q448" s="281">
        <f t="shared" si="429"/>
        <v>0</v>
      </c>
      <c r="R448" s="282">
        <f t="shared" si="430"/>
        <v>0</v>
      </c>
      <c r="S448" s="338"/>
      <c r="T448" s="275">
        <v>6</v>
      </c>
      <c r="U448" s="280">
        <f t="shared" si="431"/>
        <v>11</v>
      </c>
      <c r="V448" s="281">
        <f t="shared" si="432"/>
        <v>1.8333333333333333</v>
      </c>
      <c r="W448" s="282">
        <f t="shared" si="433"/>
        <v>3300</v>
      </c>
      <c r="X448" s="283"/>
      <c r="Y448" s="275"/>
      <c r="Z448" s="280">
        <f>Tabla14[[#This Row],[Cajas Segunda]]</f>
        <v>0</v>
      </c>
      <c r="AA448" s="281">
        <f t="shared" si="434"/>
        <v>0</v>
      </c>
      <c r="AB448" s="284">
        <f t="shared" si="435"/>
        <v>0</v>
      </c>
      <c r="AC448" s="285"/>
      <c r="AD448" s="286">
        <v>928</v>
      </c>
      <c r="AE448" s="286"/>
      <c r="AF448" s="286"/>
      <c r="AG448" s="286"/>
      <c r="AH448" s="280">
        <f t="shared" si="436"/>
        <v>37.119999999999997</v>
      </c>
      <c r="AI448" s="281">
        <f t="shared" si="437"/>
        <v>0</v>
      </c>
      <c r="AJ448" s="282">
        <f t="shared" si="438"/>
        <v>0</v>
      </c>
      <c r="AK448" s="287">
        <f>Tabla14[[#This Row],[Cajas por Personas]]</f>
        <v>0</v>
      </c>
      <c r="AL448" s="288">
        <f>Tabla14[[#This Row],[Valor Precorte Pesona]]</f>
        <v>0</v>
      </c>
      <c r="AM448" s="294">
        <f>Tabla14[[#This Row],[Personas Precorte]]</f>
        <v>0</v>
      </c>
      <c r="AN448" s="308">
        <f>Tabla14[[#This Row],[Valor Precorte Pesona Precorte]]*Tabla14[[#This Row],[Perzonas Precorte]]</f>
        <v>0</v>
      </c>
      <c r="AO448" s="287">
        <f>Tabla14[[#This Row],[Cajas por Personas2]]</f>
        <v>1.8333333333333333</v>
      </c>
      <c r="AP448" s="288">
        <f>Tabla14[[#This Row],[Valor Embarque Pesona]]</f>
        <v>3300</v>
      </c>
      <c r="AQ448" s="295">
        <f>Tabla14[[#This Row],[Personas Precorte2]]</f>
        <v>6</v>
      </c>
      <c r="AR448" s="296">
        <f>Tabla14[[#This Row],[Valor Embarque Pesona3]]*Tabla14[[#This Row],[Perzona Primera]]</f>
        <v>19800</v>
      </c>
      <c r="AS448" s="287">
        <f>Tabla14[[#This Row],[Columna2]]</f>
        <v>0</v>
      </c>
      <c r="AT448" s="288">
        <f>Tabla14[[#This Row],[Columna1]]</f>
        <v>0</v>
      </c>
      <c r="AU448" s="302">
        <f>Tabla14[[#This Row],[Personas Intervienen]]</f>
        <v>0</v>
      </c>
      <c r="AV448" s="297">
        <f>Tabla14[[#This Row],[Valor Embarque Pesona5]]*Tabla14[[#This Row],[Presonas Segunda]]</f>
        <v>0</v>
      </c>
      <c r="AW448" s="287">
        <f>Tabla14[[#This Row],[Bolsas Por Personas]]</f>
        <v>0</v>
      </c>
      <c r="AX448" s="288">
        <f>Tabla14[[#This Row],[Valor bolsas Pesona]]</f>
        <v>0</v>
      </c>
      <c r="AY448" s="309">
        <f>Tabla14[[#This Row],[Personas13]]</f>
        <v>0</v>
      </c>
      <c r="AZ448" s="310">
        <f>Tabla14[[#This Row],[Valor bolsas Pesona2]]*Tabla14[[#This Row],[Personas Rechazo]]</f>
        <v>0</v>
      </c>
      <c r="BA448" s="311">
        <f>+Tabla14[[#This Row],[Total Valor Segunda]]+Tabla14[[#This Row],[Total Valor Primera]]+Tabla14[[#This Row],[Total Valor Precorte]]</f>
        <v>19800</v>
      </c>
      <c r="BB448" s="292">
        <f>Tabla14[[#This Row],[Valor bolsas Pesona2]]+Tabla14[[#This Row],[Valor Embarque Pesona3]]</f>
        <v>3300</v>
      </c>
      <c r="BC448" s="332">
        <v>30000</v>
      </c>
      <c r="BD448" s="292">
        <f>Tabla14[[#This Row],[VALOR GANADO]]-Tabla14[[#This Row],[REAJUSTADO]]</f>
        <v>-26700</v>
      </c>
      <c r="BE448" s="250">
        <f>Tabla14[[#This Row],[CUANTO SE REAJUSTA]]*Tabla14[[#This Row],[Personas Rechazo]]</f>
        <v>0</v>
      </c>
      <c r="BF448" s="250">
        <f>Tabla14[[#This Row],[REAJUSTADO]]/25000</f>
        <v>1.2</v>
      </c>
      <c r="BG448" s="302">
        <f>Tabla14[[#This Row],[REAJUSTADO]]*Tabla14[[#This Row],[Personas Rechazo]]</f>
        <v>0</v>
      </c>
      <c r="BH448" s="292" t="str">
        <f>Tabla14[[#This Row],[Finca]]</f>
        <v>Damaquiel</v>
      </c>
      <c r="BJ448" s="332">
        <f>Tabla14[[#This Row],[Numero de Ocacionales]]*Tabla14[[#This Row],[REAJUSTADO]]</f>
        <v>0</v>
      </c>
      <c r="BK448" s="332"/>
      <c r="BL448" s="332"/>
      <c r="BM448" s="332">
        <f>+Tabla14[[#This Row],[CUANTO SE REAJUSTA]]*3</f>
        <v>-80100</v>
      </c>
    </row>
    <row r="449" spans="3:65" x14ac:dyDescent="0.25">
      <c r="C449" s="515">
        <v>45182</v>
      </c>
      <c r="D449" s="549">
        <f>YEAR(Tabla14[[#This Row],[Fecha]])</f>
        <v>2023</v>
      </c>
      <c r="E449" s="516">
        <f>IF(Tabla14[[#This Row],[Fecha]]&gt;0,_xlfn.ISOWEEKNUM(Tabla14[[#This Row],[Fecha]]),0)</f>
        <v>37</v>
      </c>
      <c r="F449" s="283">
        <v>11</v>
      </c>
      <c r="G449" s="275" t="s">
        <v>247</v>
      </c>
      <c r="H449" s="325" t="str">
        <f>_xlfn.XLOOKUP(Tabla14[[#This Row],[Codigo Finca]],Tabla4[Codigo Finca],Tabla4[Nombre Finca],"")</f>
        <v>Uveros</v>
      </c>
      <c r="I449" s="277">
        <f>_xlfn.XLOOKUP(Tabla14[[#This Row],[Codigo Finca]],Tabla4[Codigo Finca],Tabla4[Precio Caja],0)</f>
        <v>1800</v>
      </c>
      <c r="J449" s="277">
        <f>_xlfn.XLOOKUP(Tabla14[[#This Row],[Codigo Finca]],Tabla4[Codigo Finca],Tabla4[Precio Caja Segunda],0)</f>
        <v>1150</v>
      </c>
      <c r="K449" s="277">
        <f>_xlfn.XLOOKUP(Tabla14[[#This Row],[Codigo Finca]],Tabla4[Codigo Finca],Tabla4[Precio Rechazo],0)</f>
        <v>575</v>
      </c>
      <c r="L449" s="277">
        <f t="shared" si="426"/>
        <v>0</v>
      </c>
      <c r="M449" s="278">
        <f t="shared" si="427"/>
        <v>0</v>
      </c>
      <c r="N449" s="283"/>
      <c r="O449" s="279"/>
      <c r="P449" s="280">
        <f t="shared" si="428"/>
        <v>0</v>
      </c>
      <c r="Q449" s="281">
        <f t="shared" si="429"/>
        <v>0</v>
      </c>
      <c r="R449" s="282">
        <f t="shared" si="430"/>
        <v>0</v>
      </c>
      <c r="S449" s="338"/>
      <c r="T449" s="275">
        <v>6</v>
      </c>
      <c r="U449" s="280">
        <f t="shared" si="431"/>
        <v>11</v>
      </c>
      <c r="V449" s="281">
        <f t="shared" si="432"/>
        <v>1.8333333333333333</v>
      </c>
      <c r="W449" s="282">
        <f t="shared" si="433"/>
        <v>3300</v>
      </c>
      <c r="X449" s="283"/>
      <c r="Y449" s="275"/>
      <c r="Z449" s="280">
        <f>Tabla14[[#This Row],[Cajas Segunda]]</f>
        <v>0</v>
      </c>
      <c r="AA449" s="281">
        <f t="shared" si="434"/>
        <v>0</v>
      </c>
      <c r="AB449" s="284">
        <f t="shared" si="435"/>
        <v>0</v>
      </c>
      <c r="AC449" s="285"/>
      <c r="AD449" s="286">
        <v>1061</v>
      </c>
      <c r="AE449" s="286"/>
      <c r="AF449" s="286"/>
      <c r="AG449" s="286"/>
      <c r="AH449" s="280">
        <f t="shared" si="436"/>
        <v>42.44</v>
      </c>
      <c r="AI449" s="281">
        <f t="shared" si="437"/>
        <v>0</v>
      </c>
      <c r="AJ449" s="282">
        <f t="shared" si="438"/>
        <v>0</v>
      </c>
      <c r="AK449" s="287">
        <f>Tabla14[[#This Row],[Cajas por Personas]]</f>
        <v>0</v>
      </c>
      <c r="AL449" s="288">
        <f>Tabla14[[#This Row],[Valor Precorte Pesona]]</f>
        <v>0</v>
      </c>
      <c r="AM449" s="294">
        <f>Tabla14[[#This Row],[Personas Precorte]]</f>
        <v>0</v>
      </c>
      <c r="AN449" s="308">
        <f>Tabla14[[#This Row],[Valor Precorte Pesona Precorte]]*Tabla14[[#This Row],[Perzonas Precorte]]</f>
        <v>0</v>
      </c>
      <c r="AO449" s="287">
        <f>Tabla14[[#This Row],[Cajas por Personas2]]</f>
        <v>1.8333333333333333</v>
      </c>
      <c r="AP449" s="288">
        <f>Tabla14[[#This Row],[Valor Embarque Pesona]]</f>
        <v>3300</v>
      </c>
      <c r="AQ449" s="295">
        <f>Tabla14[[#This Row],[Personas Precorte2]]</f>
        <v>6</v>
      </c>
      <c r="AR449" s="296">
        <f>Tabla14[[#This Row],[Valor Embarque Pesona3]]*Tabla14[[#This Row],[Perzona Primera]]</f>
        <v>19800</v>
      </c>
      <c r="AS449" s="287">
        <f>Tabla14[[#This Row],[Columna2]]</f>
        <v>0</v>
      </c>
      <c r="AT449" s="288">
        <f>Tabla14[[#This Row],[Columna1]]</f>
        <v>0</v>
      </c>
      <c r="AU449" s="302">
        <f>Tabla14[[#This Row],[Personas Intervienen]]</f>
        <v>0</v>
      </c>
      <c r="AV449" s="297">
        <f>Tabla14[[#This Row],[Valor Embarque Pesona5]]*Tabla14[[#This Row],[Presonas Segunda]]</f>
        <v>0</v>
      </c>
      <c r="AW449" s="287">
        <f>Tabla14[[#This Row],[Bolsas Por Personas]]</f>
        <v>0</v>
      </c>
      <c r="AX449" s="288">
        <f>Tabla14[[#This Row],[Valor bolsas Pesona]]</f>
        <v>0</v>
      </c>
      <c r="AY449" s="309">
        <f>Tabla14[[#This Row],[Personas13]]</f>
        <v>0</v>
      </c>
      <c r="AZ449" s="310">
        <f>Tabla14[[#This Row],[Valor bolsas Pesona2]]*Tabla14[[#This Row],[Personas Rechazo]]</f>
        <v>0</v>
      </c>
      <c r="BA449" s="311">
        <f>+Tabla14[[#This Row],[Total Valor Segunda]]+Tabla14[[#This Row],[Total Valor Primera]]+Tabla14[[#This Row],[Total Valor Precorte]]</f>
        <v>19800</v>
      </c>
      <c r="BB449" s="292">
        <f>Tabla14[[#This Row],[Valor bolsas Pesona2]]+Tabla14[[#This Row],[Valor Embarque Pesona3]]</f>
        <v>3300</v>
      </c>
      <c r="BC449" s="332">
        <v>30000</v>
      </c>
      <c r="BD449" s="292">
        <f>Tabla14[[#This Row],[VALOR GANADO]]-Tabla14[[#This Row],[REAJUSTADO]]</f>
        <v>-26700</v>
      </c>
      <c r="BE449" s="250">
        <f>Tabla14[[#This Row],[CUANTO SE REAJUSTA]]*Tabla14[[#This Row],[Personas Rechazo]]</f>
        <v>0</v>
      </c>
      <c r="BF449" s="250">
        <f>Tabla14[[#This Row],[REAJUSTADO]]/25000</f>
        <v>1.2</v>
      </c>
      <c r="BG449" s="302">
        <f>Tabla14[[#This Row],[REAJUSTADO]]*Tabla14[[#This Row],[Personas Rechazo]]</f>
        <v>0</v>
      </c>
      <c r="BH449" s="292" t="str">
        <f>Tabla14[[#This Row],[Finca]]</f>
        <v>Uveros</v>
      </c>
      <c r="BJ449" s="332">
        <f>Tabla14[[#This Row],[Numero de Ocacionales]]*Tabla14[[#This Row],[REAJUSTADO]]</f>
        <v>0</v>
      </c>
      <c r="BK449" s="332"/>
      <c r="BL449" s="332"/>
      <c r="BM449" s="332">
        <f>+Tabla14[[#This Row],[CUANTO SE REAJUSTA]]*3</f>
        <v>-80100</v>
      </c>
    </row>
    <row r="450" spans="3:65" x14ac:dyDescent="0.25">
      <c r="C450" s="515">
        <v>45183</v>
      </c>
      <c r="D450" s="549">
        <f>YEAR(Tabla14[[#This Row],[Fecha]])</f>
        <v>2023</v>
      </c>
      <c r="E450" s="516">
        <f>IF(Tabla14[[#This Row],[Fecha]]&gt;0,_xlfn.ISOWEEKNUM(Tabla14[[#This Row],[Fecha]]),0)</f>
        <v>37</v>
      </c>
      <c r="F450" s="283">
        <v>101</v>
      </c>
      <c r="G450" s="275" t="s">
        <v>251</v>
      </c>
      <c r="H450" s="325" t="str">
        <f>_xlfn.XLOOKUP(Tabla14[[#This Row],[Codigo Finca]],Tabla4[Codigo Finca],Tabla4[Nombre Finca],"")</f>
        <v>Pedrito</v>
      </c>
      <c r="I450" s="277">
        <f>_xlfn.XLOOKUP(Tabla14[[#This Row],[Codigo Finca]],Tabla4[Codigo Finca],Tabla4[Precio Caja],0)</f>
        <v>1800</v>
      </c>
      <c r="J450" s="277">
        <f>_xlfn.XLOOKUP(Tabla14[[#This Row],[Codigo Finca]],Tabla4[Codigo Finca],Tabla4[Precio Caja Segunda],0)</f>
        <v>1150</v>
      </c>
      <c r="K450" s="277">
        <f>_xlfn.XLOOKUP(Tabla14[[#This Row],[Codigo Finca]],Tabla4[Codigo Finca],Tabla4[Precio Rechazo],0)</f>
        <v>575</v>
      </c>
      <c r="L450" s="277">
        <f t="shared" si="426"/>
        <v>562</v>
      </c>
      <c r="M450" s="278">
        <f t="shared" si="427"/>
        <v>5.564356435643564</v>
      </c>
      <c r="N450" s="283"/>
      <c r="O450" s="279"/>
      <c r="P450" s="280">
        <f t="shared" si="428"/>
        <v>0</v>
      </c>
      <c r="Q450" s="281">
        <f t="shared" si="429"/>
        <v>0</v>
      </c>
      <c r="R450" s="282">
        <f t="shared" si="430"/>
        <v>0</v>
      </c>
      <c r="S450" s="283">
        <v>562</v>
      </c>
      <c r="T450" s="275">
        <v>10</v>
      </c>
      <c r="U450" s="280">
        <f t="shared" si="431"/>
        <v>101</v>
      </c>
      <c r="V450" s="281">
        <f t="shared" si="432"/>
        <v>10.1</v>
      </c>
      <c r="W450" s="282">
        <f t="shared" si="433"/>
        <v>18180</v>
      </c>
      <c r="X450" s="283"/>
      <c r="Y450" s="275"/>
      <c r="Z450" s="280">
        <f>Tabla14[[#This Row],[Cajas Segunda]]</f>
        <v>0</v>
      </c>
      <c r="AA450" s="281">
        <f t="shared" si="434"/>
        <v>0</v>
      </c>
      <c r="AB450" s="284">
        <f t="shared" si="435"/>
        <v>0</v>
      </c>
      <c r="AC450" s="285"/>
      <c r="AD450" s="286">
        <v>1758</v>
      </c>
      <c r="AE450" s="286"/>
      <c r="AF450" s="286"/>
      <c r="AG450" s="286">
        <v>10</v>
      </c>
      <c r="AH450" s="280">
        <f t="shared" si="436"/>
        <v>70.319999999999993</v>
      </c>
      <c r="AI450" s="281">
        <f t="shared" si="437"/>
        <v>7.0319999999999991</v>
      </c>
      <c r="AJ450" s="282">
        <f t="shared" si="438"/>
        <v>4043.3999999999996</v>
      </c>
      <c r="AK450" s="287">
        <f>Tabla14[[#This Row],[Cajas por Personas]]</f>
        <v>0</v>
      </c>
      <c r="AL450" s="288">
        <f>Tabla14[[#This Row],[Valor Precorte Pesona]]</f>
        <v>0</v>
      </c>
      <c r="AM450" s="294">
        <f>Tabla14[[#This Row],[Personas Precorte]]</f>
        <v>0</v>
      </c>
      <c r="AN450" s="308">
        <f>Tabla14[[#This Row],[Valor Precorte Pesona Precorte]]*Tabla14[[#This Row],[Perzonas Precorte]]</f>
        <v>0</v>
      </c>
      <c r="AO450" s="287">
        <f>Tabla14[[#This Row],[Cajas por Personas2]]</f>
        <v>10.1</v>
      </c>
      <c r="AP450" s="288">
        <f>Tabla14[[#This Row],[Valor Embarque Pesona]]</f>
        <v>18180</v>
      </c>
      <c r="AQ450" s="295">
        <f>Tabla14[[#This Row],[Personas Precorte2]]</f>
        <v>10</v>
      </c>
      <c r="AR450" s="296">
        <f>Tabla14[[#This Row],[Valor Embarque Pesona3]]*Tabla14[[#This Row],[Perzona Primera]]</f>
        <v>181800</v>
      </c>
      <c r="AS450" s="287">
        <f>Tabla14[[#This Row],[Columna2]]</f>
        <v>0</v>
      </c>
      <c r="AT450" s="288">
        <f>Tabla14[[#This Row],[Columna1]]</f>
        <v>0</v>
      </c>
      <c r="AU450" s="302">
        <f>Tabla14[[#This Row],[Personas Intervienen]]</f>
        <v>0</v>
      </c>
      <c r="AV450" s="297">
        <f>Tabla14[[#This Row],[Valor Embarque Pesona5]]*Tabla14[[#This Row],[Presonas Segunda]]</f>
        <v>0</v>
      </c>
      <c r="AW450" s="287">
        <f>Tabla14[[#This Row],[Bolsas Por Personas]]</f>
        <v>7.0319999999999991</v>
      </c>
      <c r="AX450" s="288">
        <f>Tabla14[[#This Row],[Valor bolsas Pesona]]</f>
        <v>4043.3999999999996</v>
      </c>
      <c r="AY450" s="309">
        <f>Tabla14[[#This Row],[Personas13]]</f>
        <v>10</v>
      </c>
      <c r="AZ450" s="310">
        <f>Tabla14[[#This Row],[Valor bolsas Pesona2]]*Tabla14[[#This Row],[Personas Rechazo]]</f>
        <v>40434</v>
      </c>
      <c r="BA450" s="311">
        <f>+Tabla14[[#This Row],[Total Valor Segunda]]+Tabla14[[#This Row],[Total Valor Primera]]+Tabla14[[#This Row],[Total Valor Precorte]]</f>
        <v>181800</v>
      </c>
      <c r="BB450" s="292">
        <f>Tabla14[[#This Row],[Valor bolsas Pesona2]]+Tabla14[[#This Row],[Valor Embarque Pesona3]]</f>
        <v>22223.4</v>
      </c>
      <c r="BC450" s="332">
        <v>30000</v>
      </c>
      <c r="BD450" s="292">
        <f>Tabla14[[#This Row],[VALOR GANADO]]-Tabla14[[#This Row],[REAJUSTADO]]</f>
        <v>-7776.5999999999985</v>
      </c>
      <c r="BE450" s="250">
        <f>Tabla14[[#This Row],[CUANTO SE REAJUSTA]]*Tabla14[[#This Row],[Personas Rechazo]]</f>
        <v>-77765.999999999985</v>
      </c>
      <c r="BF450" s="250">
        <f>Tabla14[[#This Row],[REAJUSTADO]]/25000</f>
        <v>1.2</v>
      </c>
      <c r="BG450" s="302">
        <f>Tabla14[[#This Row],[REAJUSTADO]]*Tabla14[[#This Row],[Personas Rechazo]]</f>
        <v>300000</v>
      </c>
      <c r="BH450" s="292" t="str">
        <f>Tabla14[[#This Row],[Finca]]</f>
        <v>Pedrito</v>
      </c>
      <c r="BJ450" s="332">
        <f>Tabla14[[#This Row],[Numero de Ocacionales]]*Tabla14[[#This Row],[REAJUSTADO]]</f>
        <v>0</v>
      </c>
      <c r="BK450" s="332"/>
      <c r="BL450" s="332"/>
      <c r="BM450" s="332">
        <f>+Tabla14[[#This Row],[CUANTO SE REAJUSTA]]*3</f>
        <v>-23329.799999999996</v>
      </c>
    </row>
    <row r="451" spans="3:65" x14ac:dyDescent="0.25">
      <c r="C451" s="515">
        <v>45188</v>
      </c>
      <c r="D451" s="549">
        <f>YEAR(Tabla14[[#This Row],[Fecha]])</f>
        <v>2023</v>
      </c>
      <c r="E451" s="516">
        <f>IF(Tabla14[[#This Row],[Fecha]]&gt;0,_xlfn.ISOWEEKNUM(Tabla14[[#This Row],[Fecha]]),0)</f>
        <v>38</v>
      </c>
      <c r="F451" s="283">
        <v>17</v>
      </c>
      <c r="G451" s="275" t="s">
        <v>247</v>
      </c>
      <c r="H451" s="325" t="str">
        <f>_xlfn.XLOOKUP(Tabla14[[#This Row],[Codigo Finca]],Tabla4[Codigo Finca],Tabla4[Nombre Finca],"")</f>
        <v>Uveros</v>
      </c>
      <c r="I451" s="277">
        <f>_xlfn.XLOOKUP(Tabla14[[#This Row],[Codigo Finca]],Tabla4[Codigo Finca],Tabla4[Precio Caja],0)</f>
        <v>1800</v>
      </c>
      <c r="J451" s="277">
        <f>_xlfn.XLOOKUP(Tabla14[[#This Row],[Codigo Finca]],Tabla4[Codigo Finca],Tabla4[Precio Caja Segunda],0)</f>
        <v>1150</v>
      </c>
      <c r="K451" s="277">
        <f>_xlfn.XLOOKUP(Tabla14[[#This Row],[Codigo Finca]],Tabla4[Codigo Finca],Tabla4[Precio Rechazo],0)</f>
        <v>575</v>
      </c>
      <c r="L451" s="277">
        <f t="shared" si="426"/>
        <v>198</v>
      </c>
      <c r="M451" s="278">
        <f t="shared" si="427"/>
        <v>11.647058823529411</v>
      </c>
      <c r="N451" s="283"/>
      <c r="O451" s="279"/>
      <c r="P451" s="280">
        <f t="shared" si="428"/>
        <v>0</v>
      </c>
      <c r="Q451" s="281">
        <f t="shared" si="429"/>
        <v>0</v>
      </c>
      <c r="R451" s="282">
        <f t="shared" si="430"/>
        <v>0</v>
      </c>
      <c r="S451" s="283">
        <v>198</v>
      </c>
      <c r="T451" s="275">
        <v>4</v>
      </c>
      <c r="U451" s="280">
        <f t="shared" si="431"/>
        <v>17</v>
      </c>
      <c r="V451" s="281">
        <f t="shared" si="432"/>
        <v>4.25</v>
      </c>
      <c r="W451" s="282">
        <f t="shared" si="433"/>
        <v>7650</v>
      </c>
      <c r="X451" s="283"/>
      <c r="Y451" s="275"/>
      <c r="Z451" s="280">
        <f>Tabla14[[#This Row],[Cajas Segunda]]</f>
        <v>0</v>
      </c>
      <c r="AA451" s="281">
        <f t="shared" si="434"/>
        <v>0</v>
      </c>
      <c r="AB451" s="284">
        <f t="shared" si="435"/>
        <v>0</v>
      </c>
      <c r="AC451" s="285"/>
      <c r="AD451" s="286"/>
      <c r="AE451" s="286"/>
      <c r="AF451" s="286"/>
      <c r="AG451" s="286"/>
      <c r="AH451" s="280">
        <f t="shared" si="436"/>
        <v>0</v>
      </c>
      <c r="AI451" s="281">
        <f t="shared" si="437"/>
        <v>0</v>
      </c>
      <c r="AJ451" s="282">
        <f t="shared" si="438"/>
        <v>0</v>
      </c>
      <c r="AK451" s="287">
        <f>Tabla14[[#This Row],[Cajas por Personas]]</f>
        <v>0</v>
      </c>
      <c r="AL451" s="288">
        <f>Tabla14[[#This Row],[Valor Precorte Pesona]]</f>
        <v>0</v>
      </c>
      <c r="AM451" s="294">
        <f>Tabla14[[#This Row],[Personas Precorte]]</f>
        <v>0</v>
      </c>
      <c r="AN451" s="308">
        <f>Tabla14[[#This Row],[Valor Precorte Pesona Precorte]]*Tabla14[[#This Row],[Perzonas Precorte]]</f>
        <v>0</v>
      </c>
      <c r="AO451" s="287">
        <f>Tabla14[[#This Row],[Cajas por Personas2]]</f>
        <v>4.25</v>
      </c>
      <c r="AP451" s="288">
        <f>Tabla14[[#This Row],[Valor Embarque Pesona]]</f>
        <v>7650</v>
      </c>
      <c r="AQ451" s="295">
        <f>Tabla14[[#This Row],[Personas Precorte2]]</f>
        <v>4</v>
      </c>
      <c r="AR451" s="296">
        <f>Tabla14[[#This Row],[Valor Embarque Pesona3]]*Tabla14[[#This Row],[Perzona Primera]]</f>
        <v>30600</v>
      </c>
      <c r="AS451" s="287">
        <f>Tabla14[[#This Row],[Columna2]]</f>
        <v>0</v>
      </c>
      <c r="AT451" s="288">
        <f>Tabla14[[#This Row],[Columna1]]</f>
        <v>0</v>
      </c>
      <c r="AU451" s="302">
        <f>Tabla14[[#This Row],[Personas Intervienen]]</f>
        <v>0</v>
      </c>
      <c r="AV451" s="297">
        <f>Tabla14[[#This Row],[Valor Embarque Pesona5]]*Tabla14[[#This Row],[Presonas Segunda]]</f>
        <v>0</v>
      </c>
      <c r="AW451" s="287">
        <f>Tabla14[[#This Row],[Bolsas Por Personas]]</f>
        <v>0</v>
      </c>
      <c r="AX451" s="288">
        <f>Tabla14[[#This Row],[Valor bolsas Pesona]]</f>
        <v>0</v>
      </c>
      <c r="AY451" s="309">
        <f>Tabla14[[#This Row],[Personas13]]</f>
        <v>0</v>
      </c>
      <c r="AZ451" s="310">
        <f>Tabla14[[#This Row],[Valor bolsas Pesona2]]*Tabla14[[#This Row],[Personas Rechazo]]</f>
        <v>0</v>
      </c>
      <c r="BA451" s="311">
        <f>+Tabla14[[#This Row],[Total Valor Segunda]]+Tabla14[[#This Row],[Total Valor Primera]]+Tabla14[[#This Row],[Total Valor Precorte]]</f>
        <v>30600</v>
      </c>
      <c r="BB451" s="292">
        <f>Tabla14[[#This Row],[Valor bolsas Pesona2]]+Tabla14[[#This Row],[Valor Embarque Pesona3]]</f>
        <v>7650</v>
      </c>
      <c r="BC451" s="332">
        <v>30000</v>
      </c>
      <c r="BD451" s="292">
        <f>Tabla14[[#This Row],[VALOR GANADO]]-Tabla14[[#This Row],[REAJUSTADO]]</f>
        <v>-22350</v>
      </c>
      <c r="BE451" s="250">
        <f>Tabla14[[#This Row],[CUANTO SE REAJUSTA]]*Tabla14[[#This Row],[Personas Rechazo]]</f>
        <v>0</v>
      </c>
      <c r="BF451" s="250">
        <f>Tabla14[[#This Row],[REAJUSTADO]]/25000</f>
        <v>1.2</v>
      </c>
      <c r="BG451" s="302">
        <f>Tabla14[[#This Row],[REAJUSTADO]]*Tabla14[[#This Row],[Personas Rechazo]]</f>
        <v>0</v>
      </c>
      <c r="BH451" s="292" t="str">
        <f>Tabla14[[#This Row],[Finca]]</f>
        <v>Uveros</v>
      </c>
      <c r="BJ451" s="332">
        <f>Tabla14[[#This Row],[Numero de Ocacionales]]*Tabla14[[#This Row],[REAJUSTADO]]</f>
        <v>0</v>
      </c>
      <c r="BK451" s="332"/>
      <c r="BL451" s="332"/>
      <c r="BM451" s="332">
        <f>+Tabla14[[#This Row],[CUANTO SE REAJUSTA]]*3</f>
        <v>-67050</v>
      </c>
    </row>
    <row r="452" spans="3:65" x14ac:dyDescent="0.25">
      <c r="C452" s="515">
        <v>45188</v>
      </c>
      <c r="D452" s="549">
        <f>YEAR(Tabla14[[#This Row],[Fecha]])</f>
        <v>2023</v>
      </c>
      <c r="E452" s="516">
        <f>IF(Tabla14[[#This Row],[Fecha]]&gt;0,_xlfn.ISOWEEKNUM(Tabla14[[#This Row],[Fecha]]),0)</f>
        <v>38</v>
      </c>
      <c r="F452" s="283">
        <v>314</v>
      </c>
      <c r="G452" s="275" t="s">
        <v>250</v>
      </c>
      <c r="H452" s="325" t="str">
        <f>_xlfn.XLOOKUP(Tabla14[[#This Row],[Codigo Finca]],Tabla4[Codigo Finca],Tabla4[Nombre Finca],"")</f>
        <v>San Pedro</v>
      </c>
      <c r="I452" s="277">
        <f>_xlfn.XLOOKUP(Tabla14[[#This Row],[Codigo Finca]],Tabla4[Codigo Finca],Tabla4[Precio Caja],0)</f>
        <v>1800</v>
      </c>
      <c r="J452" s="277">
        <f>_xlfn.XLOOKUP(Tabla14[[#This Row],[Codigo Finca]],Tabla4[Codigo Finca],Tabla4[Precio Caja Segunda],0)</f>
        <v>1150</v>
      </c>
      <c r="K452" s="277">
        <f>_xlfn.XLOOKUP(Tabla14[[#This Row],[Codigo Finca]],Tabla4[Codigo Finca],Tabla4[Precio Rechazo],0)</f>
        <v>575</v>
      </c>
      <c r="L452" s="277">
        <f t="shared" si="426"/>
        <v>1038</v>
      </c>
      <c r="M452" s="278">
        <f t="shared" si="427"/>
        <v>3.3057324840764331</v>
      </c>
      <c r="N452" s="283"/>
      <c r="O452" s="279"/>
      <c r="P452" s="280">
        <f t="shared" si="428"/>
        <v>0</v>
      </c>
      <c r="Q452" s="281">
        <f t="shared" si="429"/>
        <v>0</v>
      </c>
      <c r="R452" s="282">
        <f t="shared" si="430"/>
        <v>0</v>
      </c>
      <c r="S452" s="283">
        <f>167+108+180+164+136+110+173</f>
        <v>1038</v>
      </c>
      <c r="T452" s="275">
        <v>14</v>
      </c>
      <c r="U452" s="280">
        <f t="shared" si="431"/>
        <v>314</v>
      </c>
      <c r="V452" s="281">
        <f t="shared" si="432"/>
        <v>22.428571428571427</v>
      </c>
      <c r="W452" s="282">
        <f t="shared" si="433"/>
        <v>40371.428571428572</v>
      </c>
      <c r="X452" s="283"/>
      <c r="Y452" s="275"/>
      <c r="Z452" s="280">
        <f>Tabla14[[#This Row],[Cajas Segunda]]</f>
        <v>0</v>
      </c>
      <c r="AA452" s="281">
        <f t="shared" si="434"/>
        <v>0</v>
      </c>
      <c r="AB452" s="284">
        <f t="shared" si="435"/>
        <v>0</v>
      </c>
      <c r="AC452" s="285"/>
      <c r="AD452" s="286">
        <v>1752.35</v>
      </c>
      <c r="AE452" s="286"/>
      <c r="AF452" s="286"/>
      <c r="AG452" s="286">
        <v>14</v>
      </c>
      <c r="AH452" s="280">
        <f t="shared" si="436"/>
        <v>70.093999999999994</v>
      </c>
      <c r="AI452" s="281">
        <f t="shared" si="437"/>
        <v>5.0067142857142857</v>
      </c>
      <c r="AJ452" s="282">
        <f t="shared" si="438"/>
        <v>2878.860714285714</v>
      </c>
      <c r="AK452" s="287">
        <f>Tabla14[[#This Row],[Cajas por Personas]]</f>
        <v>0</v>
      </c>
      <c r="AL452" s="288">
        <f>Tabla14[[#This Row],[Valor Precorte Pesona]]</f>
        <v>0</v>
      </c>
      <c r="AM452" s="294">
        <f>Tabla14[[#This Row],[Personas Precorte]]</f>
        <v>0</v>
      </c>
      <c r="AN452" s="308">
        <f>Tabla14[[#This Row],[Valor Precorte Pesona Precorte]]*Tabla14[[#This Row],[Perzonas Precorte]]</f>
        <v>0</v>
      </c>
      <c r="AO452" s="287">
        <f>Tabla14[[#This Row],[Cajas por Personas2]]</f>
        <v>22.428571428571427</v>
      </c>
      <c r="AP452" s="288">
        <f>Tabla14[[#This Row],[Valor Embarque Pesona]]</f>
        <v>40371.428571428572</v>
      </c>
      <c r="AQ452" s="295">
        <f>Tabla14[[#This Row],[Personas Precorte2]]</f>
        <v>14</v>
      </c>
      <c r="AR452" s="296">
        <f>Tabla14[[#This Row],[Valor Embarque Pesona3]]*Tabla14[[#This Row],[Perzona Primera]]</f>
        <v>565200</v>
      </c>
      <c r="AS452" s="287">
        <f>Tabla14[[#This Row],[Columna2]]</f>
        <v>0</v>
      </c>
      <c r="AT452" s="288">
        <f>Tabla14[[#This Row],[Columna1]]</f>
        <v>0</v>
      </c>
      <c r="AU452" s="302">
        <f>Tabla14[[#This Row],[Personas Intervienen]]</f>
        <v>0</v>
      </c>
      <c r="AV452" s="297">
        <f>Tabla14[[#This Row],[Valor Embarque Pesona5]]*Tabla14[[#This Row],[Presonas Segunda]]</f>
        <v>0</v>
      </c>
      <c r="AW452" s="287">
        <f>Tabla14[[#This Row],[Bolsas Por Personas]]</f>
        <v>5.0067142857142857</v>
      </c>
      <c r="AX452" s="288">
        <f>Tabla14[[#This Row],[Valor bolsas Pesona]]</f>
        <v>2878.860714285714</v>
      </c>
      <c r="AY452" s="309">
        <f>Tabla14[[#This Row],[Personas13]]</f>
        <v>14</v>
      </c>
      <c r="AZ452" s="310">
        <f>Tabla14[[#This Row],[Valor bolsas Pesona2]]*Tabla14[[#This Row],[Personas Rechazo]]</f>
        <v>40304.049999999996</v>
      </c>
      <c r="BA452" s="311">
        <f>+Tabla14[[#This Row],[Total Valor Segunda]]+Tabla14[[#This Row],[Total Valor Primera]]+Tabla14[[#This Row],[Total Valor Precorte]]</f>
        <v>565200</v>
      </c>
      <c r="BB452" s="292">
        <f>Tabla14[[#This Row],[Valor bolsas Pesona2]]+Tabla14[[#This Row],[Valor Embarque Pesona3]]</f>
        <v>43250.289285714287</v>
      </c>
      <c r="BC452" s="332">
        <v>48110</v>
      </c>
      <c r="BD452" s="292">
        <f>Tabla14[[#This Row],[VALOR GANADO]]-Tabla14[[#This Row],[REAJUSTADO]]</f>
        <v>-4859.710714285713</v>
      </c>
      <c r="BE452" s="250">
        <f>Tabla14[[#This Row],[CUANTO SE REAJUSTA]]*Tabla14[[#This Row],[Personas Rechazo]]</f>
        <v>-68035.949999999983</v>
      </c>
      <c r="BF452" s="250">
        <f>Tabla14[[#This Row],[REAJUSTADO]]/25000</f>
        <v>1.9244000000000001</v>
      </c>
      <c r="BG452" s="302">
        <f>Tabla14[[#This Row],[REAJUSTADO]]*Tabla14[[#This Row],[Personas Rechazo]]</f>
        <v>673540</v>
      </c>
      <c r="BH452" s="292" t="str">
        <f>Tabla14[[#This Row],[Finca]]</f>
        <v>San Pedro</v>
      </c>
      <c r="BJ452" s="332">
        <f>Tabla14[[#This Row],[Numero de Ocacionales]]*Tabla14[[#This Row],[REAJUSTADO]]</f>
        <v>0</v>
      </c>
      <c r="BK452" s="332"/>
      <c r="BL452" s="332"/>
      <c r="BM452" s="332">
        <f>+Tabla14[[#This Row],[CUANTO SE REAJUSTA]]*3</f>
        <v>-14579.132142857139</v>
      </c>
    </row>
    <row r="453" spans="3:65" x14ac:dyDescent="0.25">
      <c r="C453" s="517">
        <v>45188</v>
      </c>
      <c r="D453" s="549">
        <f>YEAR(Tabla14[[#This Row],[Fecha]])</f>
        <v>2023</v>
      </c>
      <c r="E453" s="518">
        <f>IF(Tabla14[[#This Row],[Fecha]]&gt;0,_xlfn.ISOWEEKNUM(Tabla14[[#This Row],[Fecha]]),0)</f>
        <v>38</v>
      </c>
      <c r="F453" s="269">
        <v>34</v>
      </c>
      <c r="G453" s="268" t="s">
        <v>249</v>
      </c>
      <c r="H453" s="266" t="str">
        <f>_xlfn.XLOOKUP(Tabla14[[#This Row],[Codigo Finca]],Tabla4[Codigo Finca],Tabla4[Nombre Finca],"")</f>
        <v>San Pedro</v>
      </c>
      <c r="I453" s="262">
        <f>_xlfn.XLOOKUP(Tabla14[[#This Row],[Codigo Finca]],Tabla4[Codigo Finca],Tabla4[Precio Caja],0)</f>
        <v>2000</v>
      </c>
      <c r="J453" s="262">
        <f>_xlfn.XLOOKUP(Tabla14[[#This Row],[Codigo Finca]],Tabla4[Codigo Finca],Tabla4[Precio Caja Segunda],0)</f>
        <v>1150</v>
      </c>
      <c r="K453" s="262">
        <f>_xlfn.XLOOKUP(Tabla14[[#This Row],[Codigo Finca]],Tabla4[Codigo Finca],Tabla4[Precio Rechazo],0)</f>
        <v>675</v>
      </c>
      <c r="L453" s="262">
        <f t="shared" si="426"/>
        <v>108</v>
      </c>
      <c r="M453" s="272">
        <f t="shared" si="427"/>
        <v>3.1764705882352939</v>
      </c>
      <c r="N453" s="269"/>
      <c r="O453" s="270"/>
      <c r="P453" s="280">
        <f t="shared" si="428"/>
        <v>0</v>
      </c>
      <c r="Q453" s="263">
        <f t="shared" si="429"/>
        <v>0</v>
      </c>
      <c r="R453" s="322">
        <f t="shared" si="430"/>
        <v>0</v>
      </c>
      <c r="S453" s="269">
        <v>108</v>
      </c>
      <c r="T453" s="268">
        <v>14</v>
      </c>
      <c r="U453" s="251">
        <f t="shared" si="431"/>
        <v>34</v>
      </c>
      <c r="V453" s="263">
        <f t="shared" si="432"/>
        <v>2.4285714285714284</v>
      </c>
      <c r="W453" s="322">
        <f t="shared" si="433"/>
        <v>4857.1428571428569</v>
      </c>
      <c r="X453" s="269"/>
      <c r="Y453" s="268"/>
      <c r="Z453" s="251">
        <f>Tabla14[[#This Row],[Cajas Segunda]]</f>
        <v>0</v>
      </c>
      <c r="AA453" s="263">
        <f t="shared" si="434"/>
        <v>0</v>
      </c>
      <c r="AB453" s="265">
        <f t="shared" si="435"/>
        <v>0</v>
      </c>
      <c r="AC453" s="273"/>
      <c r="AD453" s="271"/>
      <c r="AE453" s="271"/>
      <c r="AF453" s="271"/>
      <c r="AG453" s="271">
        <v>14</v>
      </c>
      <c r="AH453" s="251">
        <f t="shared" si="436"/>
        <v>0</v>
      </c>
      <c r="AI453" s="263">
        <f t="shared" si="437"/>
        <v>0</v>
      </c>
      <c r="AJ453" s="322">
        <f t="shared" si="438"/>
        <v>0</v>
      </c>
      <c r="AK453" s="264">
        <f>Tabla14[[#This Row],[Cajas por Personas]]</f>
        <v>0</v>
      </c>
      <c r="AL453" s="267">
        <f>Tabla14[[#This Row],[Valor Precorte Pesona]]</f>
        <v>0</v>
      </c>
      <c r="AM453" s="294">
        <f>Tabla14[[#This Row],[Personas Precorte]]</f>
        <v>0</v>
      </c>
      <c r="AN453" s="308">
        <f>Tabla14[[#This Row],[Valor Precorte Pesona Precorte]]*Tabla14[[#This Row],[Perzonas Precorte]]</f>
        <v>0</v>
      </c>
      <c r="AO453" s="264">
        <f>Tabla14[[#This Row],[Cajas por Personas2]]</f>
        <v>2.4285714285714284</v>
      </c>
      <c r="AP453" s="267">
        <f>Tabla14[[#This Row],[Valor Embarque Pesona]]</f>
        <v>4857.1428571428569</v>
      </c>
      <c r="AQ453" s="295">
        <f>Tabla14[[#This Row],[Personas Precorte2]]</f>
        <v>14</v>
      </c>
      <c r="AR453" s="296">
        <f>Tabla14[[#This Row],[Valor Embarque Pesona3]]*Tabla14[[#This Row],[Perzona Primera]]</f>
        <v>68000</v>
      </c>
      <c r="AS453" s="264">
        <f>Tabla14[[#This Row],[Columna2]]</f>
        <v>0</v>
      </c>
      <c r="AT453" s="267">
        <f>Tabla14[[#This Row],[Columna1]]</f>
        <v>0</v>
      </c>
      <c r="AU453" s="302">
        <f>Tabla14[[#This Row],[Personas Intervienen]]</f>
        <v>0</v>
      </c>
      <c r="AV453" s="297">
        <f>Tabla14[[#This Row],[Valor Embarque Pesona5]]*Tabla14[[#This Row],[Presonas Segunda]]</f>
        <v>0</v>
      </c>
      <c r="AW453" s="264">
        <f>Tabla14[[#This Row],[Bolsas Por Personas]]</f>
        <v>0</v>
      </c>
      <c r="AX453" s="267">
        <f>Tabla14[[#This Row],[Valor bolsas Pesona]]</f>
        <v>0</v>
      </c>
      <c r="AY453" s="290">
        <f>Tabla14[[#This Row],[Personas13]]</f>
        <v>14</v>
      </c>
      <c r="AZ453" s="323">
        <f>Tabla14[[#This Row],[Valor bolsas Pesona2]]*Tabla14[[#This Row],[Personas Rechazo]]</f>
        <v>0</v>
      </c>
      <c r="BA453" s="324">
        <f>+Tabla14[[#This Row],[Total Valor Segunda]]+Tabla14[[#This Row],[Total Valor Primera]]+Tabla14[[#This Row],[Total Valor Precorte]]</f>
        <v>68000</v>
      </c>
      <c r="BB453" s="292">
        <f>Tabla14[[#This Row],[Valor bolsas Pesona2]]+Tabla14[[#This Row],[Valor Embarque Pesona3]]</f>
        <v>4857.1428571428569</v>
      </c>
      <c r="BD453" s="292">
        <f>Tabla14[[#This Row],[VALOR GANADO]]-Tabla14[[#This Row],[REAJUSTADO]]</f>
        <v>4857.1428571428569</v>
      </c>
      <c r="BE453" s="250">
        <f>Tabla14[[#This Row],[CUANTO SE REAJUSTA]]*Tabla14[[#This Row],[Personas Rechazo]]</f>
        <v>68000</v>
      </c>
      <c r="BF453" s="250">
        <f>Tabla14[[#This Row],[REAJUSTADO]]/25000</f>
        <v>0</v>
      </c>
      <c r="BG453" s="302">
        <f>Tabla14[[#This Row],[REAJUSTADO]]*Tabla14[[#This Row],[Personas Rechazo]]</f>
        <v>0</v>
      </c>
      <c r="BH453" s="292" t="str">
        <f>Tabla14[[#This Row],[Finca]]</f>
        <v>San Pedro</v>
      </c>
      <c r="BJ453" s="330">
        <f>Tabla14[[#This Row],[Numero de Ocacionales]]*Tabla14[[#This Row],[REAJUSTADO]]</f>
        <v>0</v>
      </c>
      <c r="BM453" s="330">
        <f>+Tabla14[[#This Row],[CUANTO SE REAJUSTA]]*3</f>
        <v>14571.428571428571</v>
      </c>
    </row>
    <row r="454" spans="3:65" x14ac:dyDescent="0.25">
      <c r="C454" s="517">
        <v>45189</v>
      </c>
      <c r="D454" s="549">
        <f>YEAR(Tabla14[[#This Row],[Fecha]])</f>
        <v>2023</v>
      </c>
      <c r="E454" s="518">
        <f>IF(Tabla14[[#This Row],[Fecha]]&gt;0,_xlfn.ISOWEEKNUM(Tabla14[[#This Row],[Fecha]]),0)</f>
        <v>38</v>
      </c>
      <c r="F454" s="269">
        <v>80</v>
      </c>
      <c r="G454" s="268" t="s">
        <v>251</v>
      </c>
      <c r="H454" s="266" t="str">
        <f>_xlfn.XLOOKUP(Tabla14[[#This Row],[Codigo Finca]],Tabla4[Codigo Finca],Tabla4[Nombre Finca],"")</f>
        <v>Pedrito</v>
      </c>
      <c r="I454" s="262">
        <f>_xlfn.XLOOKUP(Tabla14[[#This Row],[Codigo Finca]],Tabla4[Codigo Finca],Tabla4[Precio Caja],0)</f>
        <v>1800</v>
      </c>
      <c r="J454" s="262">
        <f>_xlfn.XLOOKUP(Tabla14[[#This Row],[Codigo Finca]],Tabla4[Codigo Finca],Tabla4[Precio Caja Segunda],0)</f>
        <v>1150</v>
      </c>
      <c r="K454" s="262">
        <f>_xlfn.XLOOKUP(Tabla14[[#This Row],[Codigo Finca]],Tabla4[Codigo Finca],Tabla4[Precio Rechazo],0)</f>
        <v>575</v>
      </c>
      <c r="L454" s="262">
        <f t="shared" si="426"/>
        <v>945</v>
      </c>
      <c r="M454" s="272">
        <f t="shared" si="427"/>
        <v>11.8125</v>
      </c>
      <c r="N454" s="269"/>
      <c r="O454" s="270"/>
      <c r="P454" s="548">
        <f t="shared" si="428"/>
        <v>0</v>
      </c>
      <c r="Q454" s="263">
        <f t="shared" si="429"/>
        <v>0</v>
      </c>
      <c r="R454" s="322">
        <f t="shared" si="430"/>
        <v>0</v>
      </c>
      <c r="S454" s="269">
        <v>945</v>
      </c>
      <c r="T454" s="268">
        <v>9</v>
      </c>
      <c r="U454" s="251">
        <f t="shared" si="431"/>
        <v>80</v>
      </c>
      <c r="V454" s="263">
        <f t="shared" si="432"/>
        <v>8.8888888888888893</v>
      </c>
      <c r="W454" s="322">
        <f t="shared" si="433"/>
        <v>16000</v>
      </c>
      <c r="X454" s="269"/>
      <c r="Y454" s="268"/>
      <c r="Z454" s="251">
        <f>Tabla14[[#This Row],[Cajas Segunda]]</f>
        <v>0</v>
      </c>
      <c r="AA454" s="263">
        <f t="shared" si="434"/>
        <v>0</v>
      </c>
      <c r="AB454" s="265">
        <f t="shared" si="435"/>
        <v>0</v>
      </c>
      <c r="AC454" s="273"/>
      <c r="AD454" s="271">
        <v>2102.21</v>
      </c>
      <c r="AE454" s="271"/>
      <c r="AF454" s="271"/>
      <c r="AG454" s="271">
        <v>9</v>
      </c>
      <c r="AH454" s="251">
        <f t="shared" si="436"/>
        <v>84.088400000000007</v>
      </c>
      <c r="AI454" s="263">
        <f t="shared" si="437"/>
        <v>9.3431555555555565</v>
      </c>
      <c r="AJ454" s="322">
        <f t="shared" si="438"/>
        <v>5372.3144444444451</v>
      </c>
      <c r="AK454" s="264">
        <f>Tabla14[[#This Row],[Cajas por Personas]]</f>
        <v>0</v>
      </c>
      <c r="AL454" s="267">
        <f>Tabla14[[#This Row],[Valor Precorte Pesona]]</f>
        <v>0</v>
      </c>
      <c r="AM454" s="294">
        <f>Tabla14[[#This Row],[Personas Precorte]]</f>
        <v>0</v>
      </c>
      <c r="AN454" s="308">
        <f>Tabla14[[#This Row],[Valor Precorte Pesona Precorte]]*Tabla14[[#This Row],[Perzonas Precorte]]</f>
        <v>0</v>
      </c>
      <c r="AO454" s="264">
        <f>Tabla14[[#This Row],[Cajas por Personas2]]</f>
        <v>8.8888888888888893</v>
      </c>
      <c r="AP454" s="267">
        <f>Tabla14[[#This Row],[Valor Embarque Pesona]]</f>
        <v>16000</v>
      </c>
      <c r="AQ454" s="295">
        <f>Tabla14[[#This Row],[Personas Precorte2]]</f>
        <v>9</v>
      </c>
      <c r="AR454" s="296">
        <f>Tabla14[[#This Row],[Valor Embarque Pesona3]]*Tabla14[[#This Row],[Perzona Primera]]</f>
        <v>144000</v>
      </c>
      <c r="AS454" s="264">
        <f>Tabla14[[#This Row],[Columna2]]</f>
        <v>0</v>
      </c>
      <c r="AT454" s="267">
        <f>Tabla14[[#This Row],[Columna1]]</f>
        <v>0</v>
      </c>
      <c r="AU454" s="302">
        <f>Tabla14[[#This Row],[Personas Intervienen]]</f>
        <v>0</v>
      </c>
      <c r="AV454" s="297">
        <f>Tabla14[[#This Row],[Valor Embarque Pesona5]]*Tabla14[[#This Row],[Presonas Segunda]]</f>
        <v>0</v>
      </c>
      <c r="AW454" s="264">
        <f>Tabla14[[#This Row],[Bolsas Por Personas]]</f>
        <v>9.3431555555555565</v>
      </c>
      <c r="AX454" s="267">
        <f>Tabla14[[#This Row],[Valor bolsas Pesona]]</f>
        <v>5372.3144444444451</v>
      </c>
      <c r="AY454" s="290">
        <f>Tabla14[[#This Row],[Personas13]]</f>
        <v>9</v>
      </c>
      <c r="AZ454" s="323">
        <f>Tabla14[[#This Row],[Valor bolsas Pesona2]]*Tabla14[[#This Row],[Personas Rechazo]]</f>
        <v>48350.830000000009</v>
      </c>
      <c r="BA454" s="324">
        <f>+Tabla14[[#This Row],[Total Valor Segunda]]+Tabla14[[#This Row],[Total Valor Primera]]+Tabla14[[#This Row],[Total Valor Precorte]]</f>
        <v>144000</v>
      </c>
      <c r="BB454" s="292">
        <f>Tabla14[[#This Row],[Valor bolsas Pesona2]]+Tabla14[[#This Row],[Valor Embarque Pesona3]]</f>
        <v>21372.314444444444</v>
      </c>
      <c r="BC454" s="332">
        <v>30000</v>
      </c>
      <c r="BD454" s="292">
        <f>Tabla14[[#This Row],[VALOR GANADO]]-Tabla14[[#This Row],[REAJUSTADO]]</f>
        <v>-8627.6855555555558</v>
      </c>
      <c r="BE454" s="250">
        <f>Tabla14[[#This Row],[CUANTO SE REAJUSTA]]*Tabla14[[#This Row],[Personas Rechazo]]</f>
        <v>-77649.17</v>
      </c>
      <c r="BF454" s="250">
        <f>Tabla14[[#This Row],[REAJUSTADO]]/25000</f>
        <v>1.2</v>
      </c>
      <c r="BG454" s="302">
        <f>Tabla14[[#This Row],[REAJUSTADO]]*Tabla14[[#This Row],[Personas Rechazo]]</f>
        <v>270000</v>
      </c>
      <c r="BH454" s="292" t="str">
        <f>Tabla14[[#This Row],[Finca]]</f>
        <v>Pedrito</v>
      </c>
      <c r="BJ454" s="330">
        <f>Tabla14[[#This Row],[Numero de Ocacionales]]*Tabla14[[#This Row],[REAJUSTADO]]</f>
        <v>0</v>
      </c>
      <c r="BM454" s="330">
        <f>+Tabla14[[#This Row],[CUANTO SE REAJUSTA]]*3</f>
        <v>-25883.056666666667</v>
      </c>
    </row>
    <row r="455" spans="3:65" x14ac:dyDescent="0.25">
      <c r="C455" s="517">
        <v>45189</v>
      </c>
      <c r="D455" s="549">
        <f>YEAR(Tabla14[[#This Row],[Fecha]])</f>
        <v>2023</v>
      </c>
      <c r="E455" s="518">
        <f>IF(Tabla14[[#This Row],[Fecha]]&gt;0,_xlfn.ISOWEEKNUM(Tabla14[[#This Row],[Fecha]]),0)</f>
        <v>38</v>
      </c>
      <c r="F455" s="269">
        <v>10</v>
      </c>
      <c r="G455" s="268" t="s">
        <v>248</v>
      </c>
      <c r="H455" s="266" t="str">
        <f>_xlfn.XLOOKUP(Tabla14[[#This Row],[Codigo Finca]],Tabla4[Codigo Finca],Tabla4[Nombre Finca],"")</f>
        <v>Damaquiel</v>
      </c>
      <c r="I455" s="262">
        <f>_xlfn.XLOOKUP(Tabla14[[#This Row],[Codigo Finca]],Tabla4[Codigo Finca],Tabla4[Precio Caja],0)</f>
        <v>1800</v>
      </c>
      <c r="J455" s="262">
        <f>_xlfn.XLOOKUP(Tabla14[[#This Row],[Codigo Finca]],Tabla4[Codigo Finca],Tabla4[Precio Caja Segunda],0)</f>
        <v>1150</v>
      </c>
      <c r="K455" s="262">
        <f>_xlfn.XLOOKUP(Tabla14[[#This Row],[Codigo Finca]],Tabla4[Codigo Finca],Tabla4[Precio Rechazo],0)</f>
        <v>575</v>
      </c>
      <c r="L455" s="262">
        <f t="shared" si="426"/>
        <v>194</v>
      </c>
      <c r="M455" s="272">
        <f t="shared" si="427"/>
        <v>19.399999999999999</v>
      </c>
      <c r="N455" s="269"/>
      <c r="O455" s="270"/>
      <c r="P455" s="548">
        <f t="shared" si="428"/>
        <v>0</v>
      </c>
      <c r="Q455" s="263">
        <f t="shared" si="429"/>
        <v>0</v>
      </c>
      <c r="R455" s="322">
        <f t="shared" si="430"/>
        <v>0</v>
      </c>
      <c r="S455" s="269">
        <v>194</v>
      </c>
      <c r="T455" s="268">
        <v>4</v>
      </c>
      <c r="U455" s="251">
        <f t="shared" si="431"/>
        <v>10</v>
      </c>
      <c r="V455" s="263">
        <f t="shared" si="432"/>
        <v>2.5</v>
      </c>
      <c r="W455" s="322">
        <f t="shared" si="433"/>
        <v>4500</v>
      </c>
      <c r="X455" s="269"/>
      <c r="Y455" s="268"/>
      <c r="Z455" s="251">
        <f>Tabla14[[#This Row],[Cajas Segunda]]</f>
        <v>0</v>
      </c>
      <c r="AA455" s="263">
        <f t="shared" si="434"/>
        <v>0</v>
      </c>
      <c r="AB455" s="265">
        <f t="shared" si="435"/>
        <v>0</v>
      </c>
      <c r="AC455" s="273"/>
      <c r="AD455" s="271"/>
      <c r="AE455" s="271"/>
      <c r="AF455" s="271"/>
      <c r="AG455" s="271"/>
      <c r="AH455" s="251">
        <f t="shared" si="436"/>
        <v>0</v>
      </c>
      <c r="AI455" s="263">
        <f t="shared" si="437"/>
        <v>0</v>
      </c>
      <c r="AJ455" s="322">
        <f t="shared" si="438"/>
        <v>0</v>
      </c>
      <c r="AK455" s="264">
        <f>Tabla14[[#This Row],[Cajas por Personas]]</f>
        <v>0</v>
      </c>
      <c r="AL455" s="267">
        <f>Tabla14[[#This Row],[Valor Precorte Pesona]]</f>
        <v>0</v>
      </c>
      <c r="AM455" s="294">
        <f>Tabla14[[#This Row],[Personas Precorte]]</f>
        <v>0</v>
      </c>
      <c r="AN455" s="308">
        <f>Tabla14[[#This Row],[Valor Precorte Pesona Precorte]]*Tabla14[[#This Row],[Perzonas Precorte]]</f>
        <v>0</v>
      </c>
      <c r="AO455" s="264">
        <f>Tabla14[[#This Row],[Cajas por Personas2]]</f>
        <v>2.5</v>
      </c>
      <c r="AP455" s="267">
        <f>Tabla14[[#This Row],[Valor Embarque Pesona]]</f>
        <v>4500</v>
      </c>
      <c r="AQ455" s="295">
        <f>Tabla14[[#This Row],[Personas Precorte2]]</f>
        <v>4</v>
      </c>
      <c r="AR455" s="296">
        <f>Tabla14[[#This Row],[Valor Embarque Pesona3]]*Tabla14[[#This Row],[Perzona Primera]]</f>
        <v>18000</v>
      </c>
      <c r="AS455" s="264">
        <f>Tabla14[[#This Row],[Columna2]]</f>
        <v>0</v>
      </c>
      <c r="AT455" s="267">
        <f>Tabla14[[#This Row],[Columna1]]</f>
        <v>0</v>
      </c>
      <c r="AU455" s="302">
        <f>Tabla14[[#This Row],[Personas Intervienen]]</f>
        <v>0</v>
      </c>
      <c r="AV455" s="297">
        <f>Tabla14[[#This Row],[Valor Embarque Pesona5]]*Tabla14[[#This Row],[Presonas Segunda]]</f>
        <v>0</v>
      </c>
      <c r="AW455" s="264">
        <f>Tabla14[[#This Row],[Bolsas Por Personas]]</f>
        <v>0</v>
      </c>
      <c r="AX455" s="267">
        <f>Tabla14[[#This Row],[Valor bolsas Pesona]]</f>
        <v>0</v>
      </c>
      <c r="AY455" s="290">
        <f>Tabla14[[#This Row],[Personas13]]</f>
        <v>0</v>
      </c>
      <c r="AZ455" s="323">
        <f>Tabla14[[#This Row],[Valor bolsas Pesona2]]*Tabla14[[#This Row],[Personas Rechazo]]</f>
        <v>0</v>
      </c>
      <c r="BA455" s="324">
        <f>+Tabla14[[#This Row],[Total Valor Segunda]]+Tabla14[[#This Row],[Total Valor Primera]]+Tabla14[[#This Row],[Total Valor Precorte]]</f>
        <v>18000</v>
      </c>
      <c r="BB455" s="292">
        <f>Tabla14[[#This Row],[Valor bolsas Pesona2]]+Tabla14[[#This Row],[Valor Embarque Pesona3]]</f>
        <v>4500</v>
      </c>
      <c r="BC455" s="332">
        <v>30000</v>
      </c>
      <c r="BD455" s="292">
        <f>Tabla14[[#This Row],[VALOR GANADO]]-Tabla14[[#This Row],[REAJUSTADO]]</f>
        <v>-25500</v>
      </c>
      <c r="BE455" s="250">
        <f>Tabla14[[#This Row],[CUANTO SE REAJUSTA]]*Tabla14[[#This Row],[Personas Rechazo]]</f>
        <v>0</v>
      </c>
      <c r="BF455" s="250">
        <f>Tabla14[[#This Row],[REAJUSTADO]]/25000</f>
        <v>1.2</v>
      </c>
      <c r="BG455" s="302">
        <f>Tabla14[[#This Row],[REAJUSTADO]]*Tabla14[[#This Row],[Personas Rechazo]]</f>
        <v>0</v>
      </c>
      <c r="BH455" s="292" t="str">
        <f>Tabla14[[#This Row],[Finca]]</f>
        <v>Damaquiel</v>
      </c>
      <c r="BJ455" s="330">
        <f>Tabla14[[#This Row],[Numero de Ocacionales]]*Tabla14[[#This Row],[REAJUSTADO]]</f>
        <v>0</v>
      </c>
      <c r="BM455" s="330">
        <f>+Tabla14[[#This Row],[CUANTO SE REAJUSTA]]*3</f>
        <v>-76500</v>
      </c>
    </row>
    <row r="456" spans="3:65" x14ac:dyDescent="0.25">
      <c r="C456" s="515">
        <v>45195</v>
      </c>
      <c r="D456" s="549">
        <f>YEAR(Tabla14[[#This Row],[Fecha]])</f>
        <v>2023</v>
      </c>
      <c r="E456" s="516">
        <f>IF(Tabla14[[#This Row],[Fecha]]&gt;0,_xlfn.ISOWEEKNUM(Tabla14[[#This Row],[Fecha]]),0)</f>
        <v>39</v>
      </c>
      <c r="F456" s="283">
        <f>380+9</f>
        <v>389</v>
      </c>
      <c r="G456" s="275" t="s">
        <v>250</v>
      </c>
      <c r="H456" s="325" t="str">
        <f>_xlfn.XLOOKUP(Tabla14[[#This Row],[Codigo Finca]],Tabla4[Codigo Finca],Tabla4[Nombre Finca],"")</f>
        <v>San Pedro</v>
      </c>
      <c r="I456" s="277">
        <f>_xlfn.XLOOKUP(Tabla14[[#This Row],[Codigo Finca]],Tabla4[Codigo Finca],Tabla4[Precio Caja],0)</f>
        <v>1800</v>
      </c>
      <c r="J456" s="277">
        <f>_xlfn.XLOOKUP(Tabla14[[#This Row],[Codigo Finca]],Tabla4[Codigo Finca],Tabla4[Precio Caja Segunda],0)</f>
        <v>1150</v>
      </c>
      <c r="K456" s="277">
        <f>_xlfn.XLOOKUP(Tabla14[[#This Row],[Codigo Finca]],Tabla4[Codigo Finca],Tabla4[Precio Rechazo],0)</f>
        <v>575</v>
      </c>
      <c r="L456" s="277">
        <f t="shared" ref="L456:L466" si="439">S456+N456</f>
        <v>1151</v>
      </c>
      <c r="M456" s="278">
        <f t="shared" ref="M456:M466" si="440">IF(F456&gt;0,L456/F456,0)</f>
        <v>2.9588688946015425</v>
      </c>
      <c r="N456" s="283"/>
      <c r="O456" s="279"/>
      <c r="P456" s="280">
        <f t="shared" ref="P456:P466" si="441">IF(N456&gt;0,(N456/M456)/2,0)</f>
        <v>0</v>
      </c>
      <c r="Q456" s="281">
        <f t="shared" ref="Q456:Q466" si="442">IF(O456&gt;0,P456/O456,0)</f>
        <v>0</v>
      </c>
      <c r="R456" s="282">
        <f t="shared" ref="R456:R466" si="443">IF(I456&gt;0,Q456*I456,)</f>
        <v>0</v>
      </c>
      <c r="S456" s="283">
        <v>1151</v>
      </c>
      <c r="T456" s="275">
        <v>13</v>
      </c>
      <c r="U456" s="280">
        <f t="shared" ref="U456:U466" si="444">F456-P456</f>
        <v>389</v>
      </c>
      <c r="V456" s="281">
        <f t="shared" ref="V456:V466" si="445">IF(T456&gt;0,U456/T456,0)</f>
        <v>29.923076923076923</v>
      </c>
      <c r="W456" s="282">
        <f t="shared" ref="W456:W466" si="446">IF(T456&gt;0,(U456*I456)/T456,0)</f>
        <v>53861.538461538461</v>
      </c>
      <c r="X456" s="283"/>
      <c r="Y456" s="275"/>
      <c r="Z456" s="280">
        <f>Tabla14[[#This Row],[Cajas Segunda]]</f>
        <v>0</v>
      </c>
      <c r="AA456" s="281">
        <f t="shared" ref="AA456:AA466" si="447">IF(Y456&gt;0,Z456/Y456,0)</f>
        <v>0</v>
      </c>
      <c r="AB456" s="284">
        <f t="shared" ref="AB456:AB466" si="448">IF(Y456&gt;0,(Z456*J456)/Y456,0)</f>
        <v>0</v>
      </c>
      <c r="AC456" s="285"/>
      <c r="AD456" s="286">
        <v>1815</v>
      </c>
      <c r="AE456" s="286"/>
      <c r="AF456" s="286"/>
      <c r="AG456" s="286">
        <v>13</v>
      </c>
      <c r="AH456" s="280">
        <f t="shared" ref="AH456:AH466" si="449">IF(AND(AC456&gt;0,AE456=0,AF456=0,AD456=0),AC456,IF(AND(AC456=0,AE456&gt;0,AF456&gt;0,AD456=0),AE456*AF456/25,IF(AND(AC456=0,AE456=0,AF456=0,AD456&gt;0),AD456/25,0)))</f>
        <v>72.599999999999994</v>
      </c>
      <c r="AI456" s="281">
        <f t="shared" ref="AI456:AI466" si="450">IF(AG456&gt;0,AH456/AG456,0)</f>
        <v>5.5846153846153843</v>
      </c>
      <c r="AJ456" s="282">
        <f t="shared" ref="AJ456:AJ466" si="451">AI456*K456</f>
        <v>3211.1538461538462</v>
      </c>
      <c r="AK456" s="287">
        <f>Tabla14[[#This Row],[Cajas por Personas]]</f>
        <v>0</v>
      </c>
      <c r="AL456" s="288">
        <f>Tabla14[[#This Row],[Valor Precorte Pesona]]</f>
        <v>0</v>
      </c>
      <c r="AM456" s="294">
        <f>Tabla14[[#This Row],[Personas Precorte]]</f>
        <v>0</v>
      </c>
      <c r="AN456" s="308">
        <f>Tabla14[[#This Row],[Valor Precorte Pesona Precorte]]*Tabla14[[#This Row],[Perzonas Precorte]]</f>
        <v>0</v>
      </c>
      <c r="AO456" s="287">
        <f>Tabla14[[#This Row],[Cajas por Personas2]]</f>
        <v>29.923076923076923</v>
      </c>
      <c r="AP456" s="288">
        <f>Tabla14[[#This Row],[Valor Embarque Pesona]]</f>
        <v>53861.538461538461</v>
      </c>
      <c r="AQ456" s="295">
        <f>Tabla14[[#This Row],[Personas Precorte2]]</f>
        <v>13</v>
      </c>
      <c r="AR456" s="296">
        <f>Tabla14[[#This Row],[Valor Embarque Pesona3]]*Tabla14[[#This Row],[Perzona Primera]]</f>
        <v>700200</v>
      </c>
      <c r="AS456" s="287">
        <f>Tabla14[[#This Row],[Columna2]]</f>
        <v>0</v>
      </c>
      <c r="AT456" s="288">
        <f>Tabla14[[#This Row],[Columna1]]</f>
        <v>0</v>
      </c>
      <c r="AU456" s="302">
        <f>Tabla14[[#This Row],[Personas Intervienen]]</f>
        <v>0</v>
      </c>
      <c r="AV456" s="297">
        <f>Tabla14[[#This Row],[Valor Embarque Pesona5]]*Tabla14[[#This Row],[Presonas Segunda]]</f>
        <v>0</v>
      </c>
      <c r="AW456" s="287">
        <f>Tabla14[[#This Row],[Bolsas Por Personas]]</f>
        <v>5.5846153846153843</v>
      </c>
      <c r="AX456" s="288">
        <f>Tabla14[[#This Row],[Valor bolsas Pesona]]</f>
        <v>3211.1538461538462</v>
      </c>
      <c r="AY456" s="309">
        <f>Tabla14[[#This Row],[Personas13]]</f>
        <v>13</v>
      </c>
      <c r="AZ456" s="310">
        <f>Tabla14[[#This Row],[Valor bolsas Pesona2]]*Tabla14[[#This Row],[Personas Rechazo]]</f>
        <v>41745</v>
      </c>
      <c r="BA456" s="311">
        <f>+Tabla14[[#This Row],[Total Valor Segunda]]+Tabla14[[#This Row],[Total Valor Primera]]+Tabla14[[#This Row],[Total Valor Precorte]]</f>
        <v>700200</v>
      </c>
      <c r="BB456" s="292">
        <f>Tabla14[[#This Row],[Valor bolsas Pesona2]]+Tabla14[[#This Row],[Valor Embarque Pesona3]]</f>
        <v>57072.692307692305</v>
      </c>
      <c r="BC456" s="332">
        <v>57070</v>
      </c>
      <c r="BD456" s="292">
        <f>Tabla14[[#This Row],[VALOR GANADO]]-Tabla14[[#This Row],[REAJUSTADO]]</f>
        <v>2.6923076923048939</v>
      </c>
      <c r="BE456" s="250">
        <f>Tabla14[[#This Row],[CUANTO SE REAJUSTA]]*Tabla14[[#This Row],[Personas Rechazo]]</f>
        <v>34.99999999996362</v>
      </c>
      <c r="BF456" s="250">
        <f>Tabla14[[#This Row],[REAJUSTADO]]/25000</f>
        <v>2.2827999999999999</v>
      </c>
      <c r="BG456" s="302">
        <f>Tabla14[[#This Row],[REAJUSTADO]]*Tabla14[[#This Row],[Personas Rechazo]]</f>
        <v>741910</v>
      </c>
      <c r="BH456" s="292" t="str">
        <f>Tabla14[[#This Row],[Finca]]</f>
        <v>San Pedro</v>
      </c>
      <c r="BJ456" s="332">
        <f>Tabla14[[#This Row],[Numero de Ocacionales]]*Tabla14[[#This Row],[REAJUSTADO]]</f>
        <v>0</v>
      </c>
      <c r="BK456" s="332"/>
      <c r="BL456" s="332"/>
      <c r="BM456" s="332">
        <f>+Tabla14[[#This Row],[CUANTO SE REAJUSTA]]*3</f>
        <v>8.0769230769146816</v>
      </c>
    </row>
    <row r="457" spans="3:65" x14ac:dyDescent="0.25">
      <c r="C457" s="515">
        <v>45195</v>
      </c>
      <c r="D457" s="549">
        <f>YEAR(Tabla14[[#This Row],[Fecha]])</f>
        <v>2023</v>
      </c>
      <c r="E457" s="516">
        <f>IF(Tabla14[[#This Row],[Fecha]]&gt;0,_xlfn.ISOWEEKNUM(Tabla14[[#This Row],[Fecha]]),0)</f>
        <v>39</v>
      </c>
      <c r="F457" s="283">
        <v>5</v>
      </c>
      <c r="G457" s="275" t="s">
        <v>248</v>
      </c>
      <c r="H457" s="325" t="str">
        <f>_xlfn.XLOOKUP(Tabla14[[#This Row],[Codigo Finca]],Tabla4[Codigo Finca],Tabla4[Nombre Finca],"")</f>
        <v>Damaquiel</v>
      </c>
      <c r="I457" s="277">
        <f>_xlfn.XLOOKUP(Tabla14[[#This Row],[Codigo Finca]],Tabla4[Codigo Finca],Tabla4[Precio Caja],0)</f>
        <v>1800</v>
      </c>
      <c r="J457" s="277">
        <f>_xlfn.XLOOKUP(Tabla14[[#This Row],[Codigo Finca]],Tabla4[Codigo Finca],Tabla4[Precio Caja Segunda],0)</f>
        <v>1150</v>
      </c>
      <c r="K457" s="277">
        <f>_xlfn.XLOOKUP(Tabla14[[#This Row],[Codigo Finca]],Tabla4[Codigo Finca],Tabla4[Precio Rechazo],0)</f>
        <v>575</v>
      </c>
      <c r="L457" s="277">
        <f t="shared" si="439"/>
        <v>0</v>
      </c>
      <c r="M457" s="278">
        <f t="shared" si="440"/>
        <v>0</v>
      </c>
      <c r="N457" s="283"/>
      <c r="O457" s="279"/>
      <c r="P457" s="280">
        <f t="shared" si="441"/>
        <v>0</v>
      </c>
      <c r="Q457" s="281">
        <f t="shared" si="442"/>
        <v>0</v>
      </c>
      <c r="R457" s="282">
        <f t="shared" si="443"/>
        <v>0</v>
      </c>
      <c r="S457" s="338"/>
      <c r="T457" s="275">
        <v>5</v>
      </c>
      <c r="U457" s="280">
        <f t="shared" si="444"/>
        <v>5</v>
      </c>
      <c r="V457" s="281">
        <f t="shared" si="445"/>
        <v>1</v>
      </c>
      <c r="W457" s="282">
        <f t="shared" si="446"/>
        <v>1800</v>
      </c>
      <c r="X457" s="283"/>
      <c r="Y457" s="275"/>
      <c r="Z457" s="280">
        <f>Tabla14[[#This Row],[Cajas Segunda]]</f>
        <v>0</v>
      </c>
      <c r="AA457" s="281">
        <f t="shared" si="447"/>
        <v>0</v>
      </c>
      <c r="AB457" s="284">
        <f t="shared" si="448"/>
        <v>0</v>
      </c>
      <c r="AC457" s="285"/>
      <c r="AD457" s="286">
        <v>1453</v>
      </c>
      <c r="AE457" s="286"/>
      <c r="AF457" s="286"/>
      <c r="AG457" s="286"/>
      <c r="AH457" s="280">
        <f t="shared" si="449"/>
        <v>58.12</v>
      </c>
      <c r="AI457" s="281">
        <f t="shared" si="450"/>
        <v>0</v>
      </c>
      <c r="AJ457" s="282">
        <f t="shared" si="451"/>
        <v>0</v>
      </c>
      <c r="AK457" s="287">
        <f>Tabla14[[#This Row],[Cajas por Personas]]</f>
        <v>0</v>
      </c>
      <c r="AL457" s="288">
        <f>Tabla14[[#This Row],[Valor Precorte Pesona]]</f>
        <v>0</v>
      </c>
      <c r="AM457" s="294">
        <f>Tabla14[[#This Row],[Personas Precorte]]</f>
        <v>0</v>
      </c>
      <c r="AN457" s="308">
        <f>Tabla14[[#This Row],[Valor Precorte Pesona Precorte]]*Tabla14[[#This Row],[Perzonas Precorte]]</f>
        <v>0</v>
      </c>
      <c r="AO457" s="287">
        <f>Tabla14[[#This Row],[Cajas por Personas2]]</f>
        <v>1</v>
      </c>
      <c r="AP457" s="288">
        <f>Tabla14[[#This Row],[Valor Embarque Pesona]]</f>
        <v>1800</v>
      </c>
      <c r="AQ457" s="295">
        <f>Tabla14[[#This Row],[Personas Precorte2]]</f>
        <v>5</v>
      </c>
      <c r="AR457" s="296">
        <f>Tabla14[[#This Row],[Valor Embarque Pesona3]]*Tabla14[[#This Row],[Perzona Primera]]</f>
        <v>9000</v>
      </c>
      <c r="AS457" s="287">
        <f>Tabla14[[#This Row],[Columna2]]</f>
        <v>0</v>
      </c>
      <c r="AT457" s="288">
        <f>Tabla14[[#This Row],[Columna1]]</f>
        <v>0</v>
      </c>
      <c r="AU457" s="302">
        <f>Tabla14[[#This Row],[Personas Intervienen]]</f>
        <v>0</v>
      </c>
      <c r="AV457" s="297">
        <f>Tabla14[[#This Row],[Valor Embarque Pesona5]]*Tabla14[[#This Row],[Presonas Segunda]]</f>
        <v>0</v>
      </c>
      <c r="AW457" s="287">
        <f>Tabla14[[#This Row],[Bolsas Por Personas]]</f>
        <v>0</v>
      </c>
      <c r="AX457" s="288">
        <f>Tabla14[[#This Row],[Valor bolsas Pesona]]</f>
        <v>0</v>
      </c>
      <c r="AY457" s="309">
        <f>Tabla14[[#This Row],[Personas13]]</f>
        <v>0</v>
      </c>
      <c r="AZ457" s="310">
        <f>Tabla14[[#This Row],[Valor bolsas Pesona2]]*Tabla14[[#This Row],[Personas Rechazo]]</f>
        <v>0</v>
      </c>
      <c r="BA457" s="311">
        <f>+Tabla14[[#This Row],[Total Valor Segunda]]+Tabla14[[#This Row],[Total Valor Primera]]+Tabla14[[#This Row],[Total Valor Precorte]]</f>
        <v>9000</v>
      </c>
      <c r="BB457" s="292">
        <f>Tabla14[[#This Row],[Valor bolsas Pesona2]]+Tabla14[[#This Row],[Valor Embarque Pesona3]]</f>
        <v>1800</v>
      </c>
      <c r="BC457" s="332">
        <v>30000</v>
      </c>
      <c r="BD457" s="292">
        <f>Tabla14[[#This Row],[VALOR GANADO]]-Tabla14[[#This Row],[REAJUSTADO]]</f>
        <v>-28200</v>
      </c>
      <c r="BE457" s="250">
        <f>Tabla14[[#This Row],[CUANTO SE REAJUSTA]]*Tabla14[[#This Row],[Personas Rechazo]]</f>
        <v>0</v>
      </c>
      <c r="BF457" s="250">
        <f>Tabla14[[#This Row],[REAJUSTADO]]/25000</f>
        <v>1.2</v>
      </c>
      <c r="BG457" s="302">
        <f>Tabla14[[#This Row],[REAJUSTADO]]*Tabla14[[#This Row],[Personas Rechazo]]</f>
        <v>0</v>
      </c>
      <c r="BH457" s="292" t="str">
        <f>Tabla14[[#This Row],[Finca]]</f>
        <v>Damaquiel</v>
      </c>
      <c r="BJ457" s="332">
        <f>Tabla14[[#This Row],[Numero de Ocacionales]]*Tabla14[[#This Row],[REAJUSTADO]]</f>
        <v>0</v>
      </c>
      <c r="BK457" s="332"/>
      <c r="BL457" s="332"/>
      <c r="BM457" s="332">
        <f>+Tabla14[[#This Row],[CUANTO SE REAJUSTA]]*3</f>
        <v>-84600</v>
      </c>
    </row>
    <row r="458" spans="3:65" x14ac:dyDescent="0.25">
      <c r="C458" s="515">
        <v>45195</v>
      </c>
      <c r="D458" s="549">
        <f>YEAR(Tabla14[[#This Row],[Fecha]])</f>
        <v>2023</v>
      </c>
      <c r="E458" s="516">
        <f>IF(Tabla14[[#This Row],[Fecha]]&gt;0,_xlfn.ISOWEEKNUM(Tabla14[[#This Row],[Fecha]]),0)</f>
        <v>39</v>
      </c>
      <c r="F458" s="283">
        <v>7</v>
      </c>
      <c r="G458" s="275" t="s">
        <v>247</v>
      </c>
      <c r="H458" s="325" t="str">
        <f>_xlfn.XLOOKUP(Tabla14[[#This Row],[Codigo Finca]],Tabla4[Codigo Finca],Tabla4[Nombre Finca],"")</f>
        <v>Uveros</v>
      </c>
      <c r="I458" s="277">
        <f>_xlfn.XLOOKUP(Tabla14[[#This Row],[Codigo Finca]],Tabla4[Codigo Finca],Tabla4[Precio Caja],0)</f>
        <v>1800</v>
      </c>
      <c r="J458" s="277">
        <f>_xlfn.XLOOKUP(Tabla14[[#This Row],[Codigo Finca]],Tabla4[Codigo Finca],Tabla4[Precio Caja Segunda],0)</f>
        <v>1150</v>
      </c>
      <c r="K458" s="277">
        <f>_xlfn.XLOOKUP(Tabla14[[#This Row],[Codigo Finca]],Tabla4[Codigo Finca],Tabla4[Precio Rechazo],0)</f>
        <v>575</v>
      </c>
      <c r="L458" s="277">
        <f t="shared" si="439"/>
        <v>0</v>
      </c>
      <c r="M458" s="278">
        <f t="shared" si="440"/>
        <v>0</v>
      </c>
      <c r="N458" s="283"/>
      <c r="O458" s="279"/>
      <c r="P458" s="280">
        <f t="shared" si="441"/>
        <v>0</v>
      </c>
      <c r="Q458" s="281">
        <f t="shared" si="442"/>
        <v>0</v>
      </c>
      <c r="R458" s="282">
        <f t="shared" si="443"/>
        <v>0</v>
      </c>
      <c r="S458" s="338"/>
      <c r="T458" s="275">
        <v>5</v>
      </c>
      <c r="U458" s="280">
        <f t="shared" si="444"/>
        <v>7</v>
      </c>
      <c r="V458" s="281">
        <f t="shared" si="445"/>
        <v>1.4</v>
      </c>
      <c r="W458" s="282">
        <f t="shared" si="446"/>
        <v>2520</v>
      </c>
      <c r="X458" s="283"/>
      <c r="Y458" s="275"/>
      <c r="Z458" s="280">
        <f>Tabla14[[#This Row],[Cajas Segunda]]</f>
        <v>0</v>
      </c>
      <c r="AA458" s="281">
        <f t="shared" si="447"/>
        <v>0</v>
      </c>
      <c r="AB458" s="284">
        <f t="shared" si="448"/>
        <v>0</v>
      </c>
      <c r="AC458" s="285"/>
      <c r="AD458" s="286">
        <v>1044</v>
      </c>
      <c r="AE458" s="286"/>
      <c r="AF458" s="286"/>
      <c r="AG458" s="286"/>
      <c r="AH458" s="280">
        <f t="shared" si="449"/>
        <v>41.76</v>
      </c>
      <c r="AI458" s="281">
        <f t="shared" si="450"/>
        <v>0</v>
      </c>
      <c r="AJ458" s="282">
        <f t="shared" si="451"/>
        <v>0</v>
      </c>
      <c r="AK458" s="287">
        <f>Tabla14[[#This Row],[Cajas por Personas]]</f>
        <v>0</v>
      </c>
      <c r="AL458" s="288">
        <f>Tabla14[[#This Row],[Valor Precorte Pesona]]</f>
        <v>0</v>
      </c>
      <c r="AM458" s="294">
        <f>Tabla14[[#This Row],[Personas Precorte]]</f>
        <v>0</v>
      </c>
      <c r="AN458" s="308">
        <f>Tabla14[[#This Row],[Valor Precorte Pesona Precorte]]*Tabla14[[#This Row],[Perzonas Precorte]]</f>
        <v>0</v>
      </c>
      <c r="AO458" s="287">
        <f>Tabla14[[#This Row],[Cajas por Personas2]]</f>
        <v>1.4</v>
      </c>
      <c r="AP458" s="288">
        <f>Tabla14[[#This Row],[Valor Embarque Pesona]]</f>
        <v>2520</v>
      </c>
      <c r="AQ458" s="295">
        <f>Tabla14[[#This Row],[Personas Precorte2]]</f>
        <v>5</v>
      </c>
      <c r="AR458" s="296">
        <f>Tabla14[[#This Row],[Valor Embarque Pesona3]]*Tabla14[[#This Row],[Perzona Primera]]</f>
        <v>12600</v>
      </c>
      <c r="AS458" s="287">
        <f>Tabla14[[#This Row],[Columna2]]</f>
        <v>0</v>
      </c>
      <c r="AT458" s="288">
        <f>Tabla14[[#This Row],[Columna1]]</f>
        <v>0</v>
      </c>
      <c r="AU458" s="302">
        <f>Tabla14[[#This Row],[Personas Intervienen]]</f>
        <v>0</v>
      </c>
      <c r="AV458" s="297">
        <f>Tabla14[[#This Row],[Valor Embarque Pesona5]]*Tabla14[[#This Row],[Presonas Segunda]]</f>
        <v>0</v>
      </c>
      <c r="AW458" s="287">
        <f>Tabla14[[#This Row],[Bolsas Por Personas]]</f>
        <v>0</v>
      </c>
      <c r="AX458" s="288">
        <f>Tabla14[[#This Row],[Valor bolsas Pesona]]</f>
        <v>0</v>
      </c>
      <c r="AY458" s="309">
        <f>Tabla14[[#This Row],[Personas13]]</f>
        <v>0</v>
      </c>
      <c r="AZ458" s="310">
        <f>Tabla14[[#This Row],[Valor bolsas Pesona2]]*Tabla14[[#This Row],[Personas Rechazo]]</f>
        <v>0</v>
      </c>
      <c r="BA458" s="311">
        <f>+Tabla14[[#This Row],[Total Valor Segunda]]+Tabla14[[#This Row],[Total Valor Primera]]+Tabla14[[#This Row],[Total Valor Precorte]]</f>
        <v>12600</v>
      </c>
      <c r="BB458" s="292">
        <f>Tabla14[[#This Row],[Valor bolsas Pesona2]]+Tabla14[[#This Row],[Valor Embarque Pesona3]]</f>
        <v>2520</v>
      </c>
      <c r="BC458" s="332">
        <v>30000</v>
      </c>
      <c r="BD458" s="292">
        <f>Tabla14[[#This Row],[VALOR GANADO]]-Tabla14[[#This Row],[REAJUSTADO]]</f>
        <v>-27480</v>
      </c>
      <c r="BE458" s="250">
        <f>Tabla14[[#This Row],[CUANTO SE REAJUSTA]]*Tabla14[[#This Row],[Personas Rechazo]]</f>
        <v>0</v>
      </c>
      <c r="BF458" s="250">
        <f>Tabla14[[#This Row],[REAJUSTADO]]/25000</f>
        <v>1.2</v>
      </c>
      <c r="BG458" s="302">
        <f>Tabla14[[#This Row],[REAJUSTADO]]*Tabla14[[#This Row],[Personas Rechazo]]</f>
        <v>0</v>
      </c>
      <c r="BH458" s="292" t="str">
        <f>Tabla14[[#This Row],[Finca]]</f>
        <v>Uveros</v>
      </c>
      <c r="BJ458" s="332">
        <f>Tabla14[[#This Row],[Numero de Ocacionales]]*Tabla14[[#This Row],[REAJUSTADO]]</f>
        <v>0</v>
      </c>
      <c r="BK458" s="332"/>
      <c r="BL458" s="332"/>
      <c r="BM458" s="332">
        <f>+Tabla14[[#This Row],[CUANTO SE REAJUSTA]]*3</f>
        <v>-82440</v>
      </c>
    </row>
    <row r="459" spans="3:65" x14ac:dyDescent="0.25">
      <c r="C459" s="515">
        <v>45196</v>
      </c>
      <c r="D459" s="549">
        <f>YEAR(Tabla14[[#This Row],[Fecha]])</f>
        <v>2023</v>
      </c>
      <c r="E459" s="516">
        <f>IF(Tabla14[[#This Row],[Fecha]]&gt;0,_xlfn.ISOWEEKNUM(Tabla14[[#This Row],[Fecha]]),0)</f>
        <v>39</v>
      </c>
      <c r="F459" s="283">
        <v>40</v>
      </c>
      <c r="G459" s="275" t="s">
        <v>249</v>
      </c>
      <c r="H459" s="325" t="str">
        <f>_xlfn.XLOOKUP(Tabla14[[#This Row],[Codigo Finca]],Tabla4[Codigo Finca],Tabla4[Nombre Finca],"")</f>
        <v>San Pedro</v>
      </c>
      <c r="I459" s="277">
        <f>_xlfn.XLOOKUP(Tabla14[[#This Row],[Codigo Finca]],Tabla4[Codigo Finca],Tabla4[Precio Caja],0)</f>
        <v>2000</v>
      </c>
      <c r="J459" s="277">
        <f>_xlfn.XLOOKUP(Tabla14[[#This Row],[Codigo Finca]],Tabla4[Codigo Finca],Tabla4[Precio Caja Segunda],0)</f>
        <v>1150</v>
      </c>
      <c r="K459" s="277">
        <f>_xlfn.XLOOKUP(Tabla14[[#This Row],[Codigo Finca]],Tabla4[Codigo Finca],Tabla4[Precio Rechazo],0)</f>
        <v>675</v>
      </c>
      <c r="L459" s="277">
        <f t="shared" si="439"/>
        <v>0</v>
      </c>
      <c r="M459" s="278">
        <f t="shared" si="440"/>
        <v>0</v>
      </c>
      <c r="N459" s="283"/>
      <c r="O459" s="279"/>
      <c r="P459" s="280">
        <f t="shared" si="441"/>
        <v>0</v>
      </c>
      <c r="Q459" s="281">
        <f t="shared" si="442"/>
        <v>0</v>
      </c>
      <c r="R459" s="282">
        <f t="shared" si="443"/>
        <v>0</v>
      </c>
      <c r="S459" s="338"/>
      <c r="T459" s="275">
        <v>2</v>
      </c>
      <c r="U459" s="280">
        <f t="shared" si="444"/>
        <v>40</v>
      </c>
      <c r="V459" s="281">
        <f t="shared" si="445"/>
        <v>20</v>
      </c>
      <c r="W459" s="282">
        <f t="shared" si="446"/>
        <v>40000</v>
      </c>
      <c r="X459" s="283"/>
      <c r="Y459" s="275"/>
      <c r="Z459" s="280">
        <f>Tabla14[[#This Row],[Cajas Segunda]]</f>
        <v>0</v>
      </c>
      <c r="AA459" s="281">
        <f t="shared" si="447"/>
        <v>0</v>
      </c>
      <c r="AB459" s="284">
        <f t="shared" si="448"/>
        <v>0</v>
      </c>
      <c r="AC459" s="285"/>
      <c r="AD459" s="286"/>
      <c r="AE459" s="286"/>
      <c r="AF459" s="286"/>
      <c r="AG459" s="286">
        <v>2</v>
      </c>
      <c r="AH459" s="280">
        <f t="shared" si="449"/>
        <v>0</v>
      </c>
      <c r="AI459" s="281">
        <f t="shared" si="450"/>
        <v>0</v>
      </c>
      <c r="AJ459" s="282">
        <f t="shared" si="451"/>
        <v>0</v>
      </c>
      <c r="AK459" s="287">
        <f>Tabla14[[#This Row],[Cajas por Personas]]</f>
        <v>0</v>
      </c>
      <c r="AL459" s="288">
        <f>Tabla14[[#This Row],[Valor Precorte Pesona]]</f>
        <v>0</v>
      </c>
      <c r="AM459" s="294">
        <f>Tabla14[[#This Row],[Personas Precorte]]</f>
        <v>0</v>
      </c>
      <c r="AN459" s="308">
        <f>Tabla14[[#This Row],[Valor Precorte Pesona Precorte]]*Tabla14[[#This Row],[Perzonas Precorte]]</f>
        <v>0</v>
      </c>
      <c r="AO459" s="287">
        <f>Tabla14[[#This Row],[Cajas por Personas2]]</f>
        <v>20</v>
      </c>
      <c r="AP459" s="288">
        <f>Tabla14[[#This Row],[Valor Embarque Pesona]]</f>
        <v>40000</v>
      </c>
      <c r="AQ459" s="295">
        <f>Tabla14[[#This Row],[Personas Precorte2]]</f>
        <v>2</v>
      </c>
      <c r="AR459" s="296">
        <f>Tabla14[[#This Row],[Valor Embarque Pesona3]]*Tabla14[[#This Row],[Perzona Primera]]</f>
        <v>80000</v>
      </c>
      <c r="AS459" s="287">
        <f>Tabla14[[#This Row],[Columna2]]</f>
        <v>0</v>
      </c>
      <c r="AT459" s="288">
        <f>Tabla14[[#This Row],[Columna1]]</f>
        <v>0</v>
      </c>
      <c r="AU459" s="302">
        <f>Tabla14[[#This Row],[Personas Intervienen]]</f>
        <v>0</v>
      </c>
      <c r="AV459" s="297">
        <f>Tabla14[[#This Row],[Valor Embarque Pesona5]]*Tabla14[[#This Row],[Presonas Segunda]]</f>
        <v>0</v>
      </c>
      <c r="AW459" s="287">
        <f>Tabla14[[#This Row],[Bolsas Por Personas]]</f>
        <v>0</v>
      </c>
      <c r="AX459" s="288">
        <f>Tabla14[[#This Row],[Valor bolsas Pesona]]</f>
        <v>0</v>
      </c>
      <c r="AY459" s="309">
        <f>Tabla14[[#This Row],[Personas13]]</f>
        <v>2</v>
      </c>
      <c r="AZ459" s="310">
        <f>Tabla14[[#This Row],[Valor bolsas Pesona2]]*Tabla14[[#This Row],[Personas Rechazo]]</f>
        <v>0</v>
      </c>
      <c r="BA459" s="311">
        <f>+Tabla14[[#This Row],[Total Valor Segunda]]+Tabla14[[#This Row],[Total Valor Primera]]+Tabla14[[#This Row],[Total Valor Precorte]]</f>
        <v>80000</v>
      </c>
      <c r="BB459" s="292">
        <f>Tabla14[[#This Row],[Valor bolsas Pesona2]]+Tabla14[[#This Row],[Valor Embarque Pesona3]]</f>
        <v>40000</v>
      </c>
      <c r="BC459" s="332">
        <v>41800</v>
      </c>
      <c r="BD459" s="292">
        <f>Tabla14[[#This Row],[VALOR GANADO]]-Tabla14[[#This Row],[REAJUSTADO]]</f>
        <v>-1800</v>
      </c>
      <c r="BE459" s="250">
        <f>Tabla14[[#This Row],[CUANTO SE REAJUSTA]]*Tabla14[[#This Row],[Personas Rechazo]]</f>
        <v>-3600</v>
      </c>
      <c r="BF459" s="250">
        <f>Tabla14[[#This Row],[REAJUSTADO]]/25000</f>
        <v>1.6719999999999999</v>
      </c>
      <c r="BG459" s="302">
        <f>Tabla14[[#This Row],[REAJUSTADO]]*Tabla14[[#This Row],[Personas Rechazo]]</f>
        <v>83600</v>
      </c>
      <c r="BH459" s="292" t="str">
        <f>Tabla14[[#This Row],[Finca]]</f>
        <v>San Pedro</v>
      </c>
      <c r="BJ459" s="332">
        <f>Tabla14[[#This Row],[Numero de Ocacionales]]*Tabla14[[#This Row],[REAJUSTADO]]</f>
        <v>0</v>
      </c>
      <c r="BK459" s="332"/>
      <c r="BL459" s="332"/>
      <c r="BM459" s="332">
        <f>+Tabla14[[#This Row],[CUANTO SE REAJUSTA]]*3</f>
        <v>-5400</v>
      </c>
    </row>
    <row r="460" spans="3:65" x14ac:dyDescent="0.25">
      <c r="C460" s="515">
        <v>45196</v>
      </c>
      <c r="D460" s="549">
        <f>YEAR(Tabla14[[#This Row],[Fecha]])</f>
        <v>2023</v>
      </c>
      <c r="E460" s="516">
        <f>IF(Tabla14[[#This Row],[Fecha]]&gt;0,_xlfn.ISOWEEKNUM(Tabla14[[#This Row],[Fecha]]),0)</f>
        <v>39</v>
      </c>
      <c r="F460" s="283">
        <v>2</v>
      </c>
      <c r="G460" s="275" t="s">
        <v>250</v>
      </c>
      <c r="H460" s="325" t="str">
        <f>_xlfn.XLOOKUP(Tabla14[[#This Row],[Codigo Finca]],Tabla4[Codigo Finca],Tabla4[Nombre Finca],"")</f>
        <v>San Pedro</v>
      </c>
      <c r="I460" s="277">
        <f>_xlfn.XLOOKUP(Tabla14[[#This Row],[Codigo Finca]],Tabla4[Codigo Finca],Tabla4[Precio Caja],0)</f>
        <v>1800</v>
      </c>
      <c r="J460" s="277">
        <f>_xlfn.XLOOKUP(Tabla14[[#This Row],[Codigo Finca]],Tabla4[Codigo Finca],Tabla4[Precio Caja Segunda],0)</f>
        <v>1150</v>
      </c>
      <c r="K460" s="277">
        <f>_xlfn.XLOOKUP(Tabla14[[#This Row],[Codigo Finca]],Tabla4[Codigo Finca],Tabla4[Precio Rechazo],0)</f>
        <v>575</v>
      </c>
      <c r="L460" s="277">
        <f t="shared" si="439"/>
        <v>0</v>
      </c>
      <c r="M460" s="278">
        <f t="shared" si="440"/>
        <v>0</v>
      </c>
      <c r="N460" s="283"/>
      <c r="O460" s="279"/>
      <c r="P460" s="280">
        <f t="shared" si="441"/>
        <v>0</v>
      </c>
      <c r="Q460" s="281">
        <f t="shared" si="442"/>
        <v>0</v>
      </c>
      <c r="R460" s="282">
        <f t="shared" si="443"/>
        <v>0</v>
      </c>
      <c r="S460" s="338"/>
      <c r="T460" s="275">
        <v>2</v>
      </c>
      <c r="U460" s="280">
        <f t="shared" si="444"/>
        <v>2</v>
      </c>
      <c r="V460" s="281">
        <f t="shared" si="445"/>
        <v>1</v>
      </c>
      <c r="W460" s="282">
        <f t="shared" si="446"/>
        <v>1800</v>
      </c>
      <c r="X460" s="283"/>
      <c r="Y460" s="275"/>
      <c r="Z460" s="280">
        <f>Tabla14[[#This Row],[Cajas Segunda]]</f>
        <v>0</v>
      </c>
      <c r="AA460" s="281">
        <f t="shared" si="447"/>
        <v>0</v>
      </c>
      <c r="AB460" s="284">
        <f t="shared" si="448"/>
        <v>0</v>
      </c>
      <c r="AC460" s="285"/>
      <c r="AD460" s="286"/>
      <c r="AE460" s="286"/>
      <c r="AF460" s="286"/>
      <c r="AG460" s="286">
        <v>2</v>
      </c>
      <c r="AH460" s="280">
        <f t="shared" si="449"/>
        <v>0</v>
      </c>
      <c r="AI460" s="281">
        <f t="shared" si="450"/>
        <v>0</v>
      </c>
      <c r="AJ460" s="282">
        <f t="shared" si="451"/>
        <v>0</v>
      </c>
      <c r="AK460" s="287">
        <f>Tabla14[[#This Row],[Cajas por Personas]]</f>
        <v>0</v>
      </c>
      <c r="AL460" s="288">
        <f>Tabla14[[#This Row],[Valor Precorte Pesona]]</f>
        <v>0</v>
      </c>
      <c r="AM460" s="294">
        <f>Tabla14[[#This Row],[Personas Precorte]]</f>
        <v>0</v>
      </c>
      <c r="AN460" s="308">
        <f>Tabla14[[#This Row],[Valor Precorte Pesona Precorte]]*Tabla14[[#This Row],[Perzonas Precorte]]</f>
        <v>0</v>
      </c>
      <c r="AO460" s="287">
        <f>Tabla14[[#This Row],[Cajas por Personas2]]</f>
        <v>1</v>
      </c>
      <c r="AP460" s="288">
        <f>Tabla14[[#This Row],[Valor Embarque Pesona]]</f>
        <v>1800</v>
      </c>
      <c r="AQ460" s="295">
        <f>Tabla14[[#This Row],[Personas Precorte2]]</f>
        <v>2</v>
      </c>
      <c r="AR460" s="296">
        <f>Tabla14[[#This Row],[Valor Embarque Pesona3]]*Tabla14[[#This Row],[Perzona Primera]]</f>
        <v>3600</v>
      </c>
      <c r="AS460" s="287">
        <f>Tabla14[[#This Row],[Columna2]]</f>
        <v>0</v>
      </c>
      <c r="AT460" s="288">
        <f>Tabla14[[#This Row],[Columna1]]</f>
        <v>0</v>
      </c>
      <c r="AU460" s="302">
        <f>Tabla14[[#This Row],[Personas Intervienen]]</f>
        <v>0</v>
      </c>
      <c r="AV460" s="297">
        <f>Tabla14[[#This Row],[Valor Embarque Pesona5]]*Tabla14[[#This Row],[Presonas Segunda]]</f>
        <v>0</v>
      </c>
      <c r="AW460" s="287">
        <f>Tabla14[[#This Row],[Bolsas Por Personas]]</f>
        <v>0</v>
      </c>
      <c r="AX460" s="288">
        <f>Tabla14[[#This Row],[Valor bolsas Pesona]]</f>
        <v>0</v>
      </c>
      <c r="AY460" s="309">
        <f>Tabla14[[#This Row],[Personas13]]</f>
        <v>2</v>
      </c>
      <c r="AZ460" s="310">
        <f>Tabla14[[#This Row],[Valor bolsas Pesona2]]*Tabla14[[#This Row],[Personas Rechazo]]</f>
        <v>0</v>
      </c>
      <c r="BA460" s="311">
        <f>+Tabla14[[#This Row],[Total Valor Segunda]]+Tabla14[[#This Row],[Total Valor Primera]]+Tabla14[[#This Row],[Total Valor Precorte]]</f>
        <v>3600</v>
      </c>
      <c r="BB460" s="292">
        <f>Tabla14[[#This Row],[Valor bolsas Pesona2]]+Tabla14[[#This Row],[Valor Embarque Pesona3]]</f>
        <v>1800</v>
      </c>
      <c r="BD460" s="292">
        <f>Tabla14[[#This Row],[VALOR GANADO]]-Tabla14[[#This Row],[REAJUSTADO]]</f>
        <v>1800</v>
      </c>
      <c r="BE460" s="250">
        <f>Tabla14[[#This Row],[CUANTO SE REAJUSTA]]*Tabla14[[#This Row],[Personas Rechazo]]</f>
        <v>3600</v>
      </c>
      <c r="BF460" s="250">
        <f>Tabla14[[#This Row],[REAJUSTADO]]/25000</f>
        <v>0</v>
      </c>
      <c r="BG460" s="302">
        <f>Tabla14[[#This Row],[REAJUSTADO]]*Tabla14[[#This Row],[Personas Rechazo]]</f>
        <v>0</v>
      </c>
      <c r="BH460" s="292" t="str">
        <f>Tabla14[[#This Row],[Finca]]</f>
        <v>San Pedro</v>
      </c>
      <c r="BJ460" s="332">
        <f>Tabla14[[#This Row],[Numero de Ocacionales]]*Tabla14[[#This Row],[REAJUSTADO]]</f>
        <v>0</v>
      </c>
      <c r="BK460" s="332"/>
      <c r="BL460" s="332"/>
      <c r="BM460" s="332">
        <f>+Tabla14[[#This Row],[CUANTO SE REAJUSTA]]*3</f>
        <v>5400</v>
      </c>
    </row>
    <row r="461" spans="3:65" x14ac:dyDescent="0.25">
      <c r="C461" s="515">
        <v>45196</v>
      </c>
      <c r="D461" s="549">
        <f>YEAR(Tabla14[[#This Row],[Fecha]])</f>
        <v>2023</v>
      </c>
      <c r="E461" s="516">
        <f>IF(Tabla14[[#This Row],[Fecha]]&gt;0,_xlfn.ISOWEEKNUM(Tabla14[[#This Row],[Fecha]]),0)</f>
        <v>39</v>
      </c>
      <c r="F461" s="283">
        <v>97</v>
      </c>
      <c r="G461" s="275" t="s">
        <v>251</v>
      </c>
      <c r="H461" s="325" t="str">
        <f>_xlfn.XLOOKUP(Tabla14[[#This Row],[Codigo Finca]],Tabla4[Codigo Finca],Tabla4[Nombre Finca],"")</f>
        <v>Pedrito</v>
      </c>
      <c r="I461" s="277">
        <f>_xlfn.XLOOKUP(Tabla14[[#This Row],[Codigo Finca]],Tabla4[Codigo Finca],Tabla4[Precio Caja],0)</f>
        <v>1800</v>
      </c>
      <c r="J461" s="277">
        <f>_xlfn.XLOOKUP(Tabla14[[#This Row],[Codigo Finca]],Tabla4[Codigo Finca],Tabla4[Precio Caja Segunda],0)</f>
        <v>1150</v>
      </c>
      <c r="K461" s="277">
        <f>_xlfn.XLOOKUP(Tabla14[[#This Row],[Codigo Finca]],Tabla4[Codigo Finca],Tabla4[Precio Rechazo],0)</f>
        <v>575</v>
      </c>
      <c r="L461" s="277">
        <f t="shared" si="439"/>
        <v>586</v>
      </c>
      <c r="M461" s="278">
        <f t="shared" si="440"/>
        <v>6.0412371134020617</v>
      </c>
      <c r="N461" s="283"/>
      <c r="O461" s="279"/>
      <c r="P461" s="280">
        <f t="shared" si="441"/>
        <v>0</v>
      </c>
      <c r="Q461" s="281">
        <f t="shared" si="442"/>
        <v>0</v>
      </c>
      <c r="R461" s="282">
        <f t="shared" si="443"/>
        <v>0</v>
      </c>
      <c r="S461" s="283">
        <v>586</v>
      </c>
      <c r="T461" s="275">
        <v>10</v>
      </c>
      <c r="U461" s="280">
        <f t="shared" si="444"/>
        <v>97</v>
      </c>
      <c r="V461" s="281">
        <f t="shared" si="445"/>
        <v>9.6999999999999993</v>
      </c>
      <c r="W461" s="282">
        <f t="shared" si="446"/>
        <v>17460</v>
      </c>
      <c r="X461" s="283"/>
      <c r="Y461" s="275"/>
      <c r="Z461" s="280">
        <f>Tabla14[[#This Row],[Cajas Segunda]]</f>
        <v>0</v>
      </c>
      <c r="AA461" s="281">
        <f t="shared" si="447"/>
        <v>0</v>
      </c>
      <c r="AB461" s="284">
        <f t="shared" si="448"/>
        <v>0</v>
      </c>
      <c r="AC461" s="285"/>
      <c r="AD461" s="286">
        <v>2040</v>
      </c>
      <c r="AE461" s="286"/>
      <c r="AF461" s="286"/>
      <c r="AG461" s="286">
        <v>10</v>
      </c>
      <c r="AH461" s="280">
        <f t="shared" si="449"/>
        <v>81.599999999999994</v>
      </c>
      <c r="AI461" s="281">
        <f t="shared" si="450"/>
        <v>8.16</v>
      </c>
      <c r="AJ461" s="282">
        <f t="shared" si="451"/>
        <v>4692</v>
      </c>
      <c r="AK461" s="287">
        <f>Tabla14[[#This Row],[Cajas por Personas]]</f>
        <v>0</v>
      </c>
      <c r="AL461" s="288">
        <f>Tabla14[[#This Row],[Valor Precorte Pesona]]</f>
        <v>0</v>
      </c>
      <c r="AM461" s="294">
        <f>Tabla14[[#This Row],[Personas Precorte]]</f>
        <v>0</v>
      </c>
      <c r="AN461" s="308">
        <f>Tabla14[[#This Row],[Valor Precorte Pesona Precorte]]*Tabla14[[#This Row],[Perzonas Precorte]]</f>
        <v>0</v>
      </c>
      <c r="AO461" s="287">
        <f>Tabla14[[#This Row],[Cajas por Personas2]]</f>
        <v>9.6999999999999993</v>
      </c>
      <c r="AP461" s="288">
        <f>Tabla14[[#This Row],[Valor Embarque Pesona]]</f>
        <v>17460</v>
      </c>
      <c r="AQ461" s="295">
        <f>Tabla14[[#This Row],[Personas Precorte2]]</f>
        <v>10</v>
      </c>
      <c r="AR461" s="296">
        <f>Tabla14[[#This Row],[Valor Embarque Pesona3]]*Tabla14[[#This Row],[Perzona Primera]]</f>
        <v>174600</v>
      </c>
      <c r="AS461" s="287">
        <f>Tabla14[[#This Row],[Columna2]]</f>
        <v>0</v>
      </c>
      <c r="AT461" s="288">
        <f>Tabla14[[#This Row],[Columna1]]</f>
        <v>0</v>
      </c>
      <c r="AU461" s="302">
        <f>Tabla14[[#This Row],[Personas Intervienen]]</f>
        <v>0</v>
      </c>
      <c r="AV461" s="297">
        <f>Tabla14[[#This Row],[Valor Embarque Pesona5]]*Tabla14[[#This Row],[Presonas Segunda]]</f>
        <v>0</v>
      </c>
      <c r="AW461" s="287">
        <f>Tabla14[[#This Row],[Bolsas Por Personas]]</f>
        <v>8.16</v>
      </c>
      <c r="AX461" s="288">
        <f>Tabla14[[#This Row],[Valor bolsas Pesona]]</f>
        <v>4692</v>
      </c>
      <c r="AY461" s="309">
        <f>Tabla14[[#This Row],[Personas13]]</f>
        <v>10</v>
      </c>
      <c r="AZ461" s="310">
        <f>Tabla14[[#This Row],[Valor bolsas Pesona2]]*Tabla14[[#This Row],[Personas Rechazo]]</f>
        <v>46920</v>
      </c>
      <c r="BA461" s="311">
        <f>+Tabla14[[#This Row],[Total Valor Segunda]]+Tabla14[[#This Row],[Total Valor Primera]]+Tabla14[[#This Row],[Total Valor Precorte]]</f>
        <v>174600</v>
      </c>
      <c r="BB461" s="292">
        <f>Tabla14[[#This Row],[Valor bolsas Pesona2]]+Tabla14[[#This Row],[Valor Embarque Pesona3]]</f>
        <v>22152</v>
      </c>
      <c r="BC461" s="332">
        <v>30000</v>
      </c>
      <c r="BD461" s="292">
        <f>Tabla14[[#This Row],[VALOR GANADO]]-Tabla14[[#This Row],[REAJUSTADO]]</f>
        <v>-7848</v>
      </c>
      <c r="BE461" s="250">
        <f>Tabla14[[#This Row],[CUANTO SE REAJUSTA]]*Tabla14[[#This Row],[Personas Rechazo]]</f>
        <v>-78480</v>
      </c>
      <c r="BF461" s="250">
        <f>Tabla14[[#This Row],[REAJUSTADO]]/25000</f>
        <v>1.2</v>
      </c>
      <c r="BG461" s="302">
        <f>Tabla14[[#This Row],[REAJUSTADO]]*Tabla14[[#This Row],[Personas Rechazo]]</f>
        <v>300000</v>
      </c>
      <c r="BH461" s="292" t="str">
        <f>Tabla14[[#This Row],[Finca]]</f>
        <v>Pedrito</v>
      </c>
      <c r="BJ461" s="332">
        <f>Tabla14[[#This Row],[Numero de Ocacionales]]*Tabla14[[#This Row],[REAJUSTADO]]</f>
        <v>0</v>
      </c>
      <c r="BK461" s="332"/>
      <c r="BL461" s="332"/>
      <c r="BM461" s="332">
        <f>+Tabla14[[#This Row],[CUANTO SE REAJUSTA]]*3</f>
        <v>-23544</v>
      </c>
    </row>
    <row r="462" spans="3:65" x14ac:dyDescent="0.25">
      <c r="C462" s="515">
        <v>45202</v>
      </c>
      <c r="D462" s="549">
        <f>YEAR(Tabla14[[#This Row],[Fecha]])</f>
        <v>2023</v>
      </c>
      <c r="E462" s="516">
        <f>IF(Tabla14[[#This Row],[Fecha]]&gt;0,_xlfn.ISOWEEKNUM(Tabla14[[#This Row],[Fecha]]),0)</f>
        <v>40</v>
      </c>
      <c r="F462" s="283">
        <f>152+125+50+136</f>
        <v>463</v>
      </c>
      <c r="G462" s="275" t="s">
        <v>250</v>
      </c>
      <c r="H462" s="325" t="str">
        <f>_xlfn.XLOOKUP(Tabla14[[#This Row],[Codigo Finca]],Tabla4[Codigo Finca],Tabla4[Nombre Finca],"")</f>
        <v>San Pedro</v>
      </c>
      <c r="I462" s="277">
        <f>_xlfn.XLOOKUP(Tabla14[[#This Row],[Codigo Finca]],Tabla4[Codigo Finca],Tabla4[Precio Caja],0)</f>
        <v>1800</v>
      </c>
      <c r="J462" s="277">
        <f>_xlfn.XLOOKUP(Tabla14[[#This Row],[Codigo Finca]],Tabla4[Codigo Finca],Tabla4[Precio Caja Segunda],0)</f>
        <v>1150</v>
      </c>
      <c r="K462" s="277">
        <f>_xlfn.XLOOKUP(Tabla14[[#This Row],[Codigo Finca]],Tabla4[Codigo Finca],Tabla4[Precio Rechazo],0)</f>
        <v>575</v>
      </c>
      <c r="L462" s="277">
        <f t="shared" si="439"/>
        <v>1217</v>
      </c>
      <c r="M462" s="278">
        <f t="shared" si="440"/>
        <v>2.6285097192224622</v>
      </c>
      <c r="N462" s="283"/>
      <c r="O462" s="279"/>
      <c r="P462" s="280">
        <f t="shared" si="441"/>
        <v>0</v>
      </c>
      <c r="Q462" s="281">
        <f t="shared" si="442"/>
        <v>0</v>
      </c>
      <c r="R462" s="282">
        <f t="shared" si="443"/>
        <v>0</v>
      </c>
      <c r="S462" s="283">
        <v>1217</v>
      </c>
      <c r="T462" s="275">
        <v>15</v>
      </c>
      <c r="U462" s="280">
        <f t="shared" si="444"/>
        <v>463</v>
      </c>
      <c r="V462" s="281">
        <f t="shared" si="445"/>
        <v>30.866666666666667</v>
      </c>
      <c r="W462" s="282">
        <f t="shared" si="446"/>
        <v>55560</v>
      </c>
      <c r="X462" s="283"/>
      <c r="Y462" s="275"/>
      <c r="Z462" s="280">
        <f>Tabla14[[#This Row],[Cajas Segunda]]</f>
        <v>0</v>
      </c>
      <c r="AA462" s="281">
        <f t="shared" si="447"/>
        <v>0</v>
      </c>
      <c r="AB462" s="284">
        <f t="shared" si="448"/>
        <v>0</v>
      </c>
      <c r="AC462" s="285"/>
      <c r="AD462" s="286">
        <v>2257</v>
      </c>
      <c r="AE462" s="286"/>
      <c r="AF462" s="286"/>
      <c r="AG462" s="275">
        <v>15</v>
      </c>
      <c r="AH462" s="280">
        <f t="shared" si="449"/>
        <v>90.28</v>
      </c>
      <c r="AI462" s="281">
        <f t="shared" si="450"/>
        <v>6.0186666666666664</v>
      </c>
      <c r="AJ462" s="282">
        <f t="shared" si="451"/>
        <v>3460.7333333333331</v>
      </c>
      <c r="AK462" s="287">
        <f>Tabla14[[#This Row],[Cajas por Personas]]</f>
        <v>0</v>
      </c>
      <c r="AL462" s="288">
        <f>Tabla14[[#This Row],[Valor Precorte Pesona]]</f>
        <v>0</v>
      </c>
      <c r="AM462" s="294">
        <f>Tabla14[[#This Row],[Personas Precorte]]</f>
        <v>0</v>
      </c>
      <c r="AN462" s="308">
        <f>Tabla14[[#This Row],[Valor Precorte Pesona Precorte]]*Tabla14[[#This Row],[Perzonas Precorte]]</f>
        <v>0</v>
      </c>
      <c r="AO462" s="287">
        <f>Tabla14[[#This Row],[Cajas por Personas2]]</f>
        <v>30.866666666666667</v>
      </c>
      <c r="AP462" s="288">
        <f>Tabla14[[#This Row],[Valor Embarque Pesona]]</f>
        <v>55560</v>
      </c>
      <c r="AQ462" s="295">
        <f>Tabla14[[#This Row],[Personas Precorte2]]</f>
        <v>15</v>
      </c>
      <c r="AR462" s="296">
        <f>Tabla14[[#This Row],[Valor Embarque Pesona3]]*Tabla14[[#This Row],[Perzona Primera]]</f>
        <v>833400</v>
      </c>
      <c r="AS462" s="287">
        <f>Tabla14[[#This Row],[Columna2]]</f>
        <v>0</v>
      </c>
      <c r="AT462" s="288">
        <f>Tabla14[[#This Row],[Columna1]]</f>
        <v>0</v>
      </c>
      <c r="AU462" s="302">
        <f>Tabla14[[#This Row],[Personas Intervienen]]</f>
        <v>0</v>
      </c>
      <c r="AV462" s="297">
        <f>Tabla14[[#This Row],[Valor Embarque Pesona5]]*Tabla14[[#This Row],[Presonas Segunda]]</f>
        <v>0</v>
      </c>
      <c r="AW462" s="287">
        <f>Tabla14[[#This Row],[Bolsas Por Personas]]</f>
        <v>6.0186666666666664</v>
      </c>
      <c r="AX462" s="288">
        <f>Tabla14[[#This Row],[Valor bolsas Pesona]]</f>
        <v>3460.7333333333331</v>
      </c>
      <c r="AY462" s="309">
        <f>Tabla14[[#This Row],[Personas13]]</f>
        <v>15</v>
      </c>
      <c r="AZ462" s="310">
        <f>Tabla14[[#This Row],[Valor bolsas Pesona2]]*Tabla14[[#This Row],[Personas Rechazo]]</f>
        <v>51911</v>
      </c>
      <c r="BA462" s="311">
        <f>+Tabla14[[#This Row],[Total Valor Segunda]]+Tabla14[[#This Row],[Total Valor Primera]]+Tabla14[[#This Row],[Total Valor Precorte]]</f>
        <v>833400</v>
      </c>
      <c r="BB462" s="292">
        <f>Tabla14[[#This Row],[Valor bolsas Pesona2]]+Tabla14[[#This Row],[Valor Embarque Pesona3]]</f>
        <v>59020.73333333333</v>
      </c>
      <c r="BC462" s="332">
        <v>59000</v>
      </c>
      <c r="BD462" s="292">
        <f>Tabla14[[#This Row],[VALOR GANADO]]-Tabla14[[#This Row],[REAJUSTADO]]</f>
        <v>20.733333333329938</v>
      </c>
      <c r="BE462" s="250">
        <f>Tabla14[[#This Row],[CUANTO SE REAJUSTA]]*Tabla14[[#This Row],[Personas Rechazo]]</f>
        <v>310.99999999994907</v>
      </c>
      <c r="BF462" s="250">
        <f>Tabla14[[#This Row],[REAJUSTADO]]/25000</f>
        <v>2.36</v>
      </c>
      <c r="BG462" s="302">
        <f>Tabla14[[#This Row],[REAJUSTADO]]*Tabla14[[#This Row],[Personas Rechazo]]</f>
        <v>885000</v>
      </c>
      <c r="BH462" s="292" t="str">
        <f>Tabla14[[#This Row],[Finca]]</f>
        <v>San Pedro</v>
      </c>
      <c r="BJ462" s="332">
        <f>Tabla14[[#This Row],[Numero de Ocacionales]]*Tabla14[[#This Row],[REAJUSTADO]]</f>
        <v>0</v>
      </c>
      <c r="BK462" s="332"/>
      <c r="BL462" s="332"/>
      <c r="BM462" s="332">
        <f>+Tabla14[[#This Row],[CUANTO SE REAJUSTA]]*3</f>
        <v>62.199999999989814</v>
      </c>
    </row>
    <row r="463" spans="3:65" x14ac:dyDescent="0.25">
      <c r="C463" s="515">
        <v>45202</v>
      </c>
      <c r="D463" s="549">
        <f>YEAR(Tabla14[[#This Row],[Fecha]])</f>
        <v>2023</v>
      </c>
      <c r="E463" s="516">
        <f>IF(Tabla14[[#This Row],[Fecha]]&gt;0,_xlfn.ISOWEEKNUM(Tabla14[[#This Row],[Fecha]]),0)</f>
        <v>40</v>
      </c>
      <c r="F463" s="283">
        <v>60</v>
      </c>
      <c r="G463" s="275" t="s">
        <v>153</v>
      </c>
      <c r="H463" s="325" t="str">
        <f>_xlfn.XLOOKUP(Tabla14[[#This Row],[Codigo Finca]],Tabla4[Codigo Finca],Tabla4[Nombre Finca],"")</f>
        <v>Uveros</v>
      </c>
      <c r="I463" s="277">
        <f>_xlfn.XLOOKUP(Tabla14[[#This Row],[Codigo Finca]],Tabla4[Codigo Finca],Tabla4[Precio Caja],0)</f>
        <v>1500</v>
      </c>
      <c r="J463" s="277">
        <f>_xlfn.XLOOKUP(Tabla14[[#This Row],[Codigo Finca]],Tabla4[Codigo Finca],Tabla4[Precio Caja Segunda],0)</f>
        <v>1000</v>
      </c>
      <c r="K463" s="277">
        <f>_xlfn.XLOOKUP(Tabla14[[#This Row],[Codigo Finca]],Tabla4[Codigo Finca],Tabla4[Precio Rechazo],0)</f>
        <v>500</v>
      </c>
      <c r="L463" s="277">
        <f t="shared" si="439"/>
        <v>319</v>
      </c>
      <c r="M463" s="278">
        <f t="shared" si="440"/>
        <v>5.3166666666666664</v>
      </c>
      <c r="N463" s="283"/>
      <c r="O463" s="279"/>
      <c r="P463" s="280">
        <f t="shared" si="441"/>
        <v>0</v>
      </c>
      <c r="Q463" s="281">
        <f t="shared" si="442"/>
        <v>0</v>
      </c>
      <c r="R463" s="282">
        <f t="shared" si="443"/>
        <v>0</v>
      </c>
      <c r="S463" s="283">
        <v>319</v>
      </c>
      <c r="T463" s="275">
        <v>4</v>
      </c>
      <c r="U463" s="280">
        <f t="shared" si="444"/>
        <v>60</v>
      </c>
      <c r="V463" s="281">
        <f t="shared" si="445"/>
        <v>15</v>
      </c>
      <c r="W463" s="282">
        <f t="shared" si="446"/>
        <v>22500</v>
      </c>
      <c r="X463" s="283"/>
      <c r="Y463" s="275"/>
      <c r="Z463" s="280">
        <f>Tabla14[[#This Row],[Cajas Segunda]]</f>
        <v>0</v>
      </c>
      <c r="AA463" s="281">
        <f t="shared" si="447"/>
        <v>0</v>
      </c>
      <c r="AB463" s="284">
        <f t="shared" si="448"/>
        <v>0</v>
      </c>
      <c r="AC463" s="285"/>
      <c r="AD463" s="286">
        <v>1403</v>
      </c>
      <c r="AE463" s="286"/>
      <c r="AF463" s="286"/>
      <c r="AG463" s="275">
        <v>4</v>
      </c>
      <c r="AH463" s="280">
        <f t="shared" si="449"/>
        <v>56.12</v>
      </c>
      <c r="AI463" s="281">
        <f t="shared" si="450"/>
        <v>14.03</v>
      </c>
      <c r="AJ463" s="282">
        <f t="shared" si="451"/>
        <v>7015</v>
      </c>
      <c r="AK463" s="287">
        <f>Tabla14[[#This Row],[Cajas por Personas]]</f>
        <v>0</v>
      </c>
      <c r="AL463" s="288">
        <f>Tabla14[[#This Row],[Valor Precorte Pesona]]</f>
        <v>0</v>
      </c>
      <c r="AM463" s="294">
        <f>Tabla14[[#This Row],[Personas Precorte]]</f>
        <v>0</v>
      </c>
      <c r="AN463" s="308">
        <f>Tabla14[[#This Row],[Valor Precorte Pesona Precorte]]*Tabla14[[#This Row],[Perzonas Precorte]]</f>
        <v>0</v>
      </c>
      <c r="AO463" s="287">
        <f>Tabla14[[#This Row],[Cajas por Personas2]]</f>
        <v>15</v>
      </c>
      <c r="AP463" s="288">
        <f>Tabla14[[#This Row],[Valor Embarque Pesona]]</f>
        <v>22500</v>
      </c>
      <c r="AQ463" s="295">
        <f>Tabla14[[#This Row],[Personas Precorte2]]</f>
        <v>4</v>
      </c>
      <c r="AR463" s="296">
        <f>Tabla14[[#This Row],[Valor Embarque Pesona3]]*Tabla14[[#This Row],[Perzona Primera]]</f>
        <v>90000</v>
      </c>
      <c r="AS463" s="287">
        <f>Tabla14[[#This Row],[Columna2]]</f>
        <v>0</v>
      </c>
      <c r="AT463" s="288">
        <f>Tabla14[[#This Row],[Columna1]]</f>
        <v>0</v>
      </c>
      <c r="AU463" s="302">
        <f>Tabla14[[#This Row],[Personas Intervienen]]</f>
        <v>0</v>
      </c>
      <c r="AV463" s="297">
        <f>Tabla14[[#This Row],[Valor Embarque Pesona5]]*Tabla14[[#This Row],[Presonas Segunda]]</f>
        <v>0</v>
      </c>
      <c r="AW463" s="287">
        <f>Tabla14[[#This Row],[Bolsas Por Personas]]</f>
        <v>14.03</v>
      </c>
      <c r="AX463" s="288">
        <f>Tabla14[[#This Row],[Valor bolsas Pesona]]</f>
        <v>7015</v>
      </c>
      <c r="AY463" s="309">
        <f>Tabla14[[#This Row],[Personas13]]</f>
        <v>4</v>
      </c>
      <c r="AZ463" s="310">
        <f>Tabla14[[#This Row],[Valor bolsas Pesona2]]*Tabla14[[#This Row],[Personas Rechazo]]</f>
        <v>28060</v>
      </c>
      <c r="BA463" s="311">
        <f>+Tabla14[[#This Row],[Total Valor Segunda]]+Tabla14[[#This Row],[Total Valor Primera]]+Tabla14[[#This Row],[Total Valor Precorte]]</f>
        <v>90000</v>
      </c>
      <c r="BB463" s="292">
        <f>Tabla14[[#This Row],[Valor bolsas Pesona2]]+Tabla14[[#This Row],[Valor Embarque Pesona3]]</f>
        <v>29515</v>
      </c>
      <c r="BC463" s="332">
        <v>30000</v>
      </c>
      <c r="BD463" s="292">
        <f>Tabla14[[#This Row],[VALOR GANADO]]-Tabla14[[#This Row],[REAJUSTADO]]</f>
        <v>-485</v>
      </c>
      <c r="BE463" s="250">
        <f>Tabla14[[#This Row],[CUANTO SE REAJUSTA]]*Tabla14[[#This Row],[Personas Rechazo]]</f>
        <v>-1940</v>
      </c>
      <c r="BF463" s="250">
        <f>Tabla14[[#This Row],[REAJUSTADO]]/25000</f>
        <v>1.2</v>
      </c>
      <c r="BG463" s="302">
        <f>Tabla14[[#This Row],[REAJUSTADO]]*Tabla14[[#This Row],[Personas Rechazo]]</f>
        <v>120000</v>
      </c>
      <c r="BH463" s="292" t="str">
        <f>Tabla14[[#This Row],[Finca]]</f>
        <v>Uveros</v>
      </c>
      <c r="BJ463" s="332">
        <f>Tabla14[[#This Row],[Numero de Ocacionales]]*Tabla14[[#This Row],[REAJUSTADO]]</f>
        <v>0</v>
      </c>
      <c r="BK463" s="332"/>
      <c r="BL463" s="332"/>
      <c r="BM463" s="332">
        <f>+Tabla14[[#This Row],[CUANTO SE REAJUSTA]]*3</f>
        <v>-1455</v>
      </c>
    </row>
    <row r="464" spans="3:65" x14ac:dyDescent="0.25">
      <c r="C464" s="515">
        <v>45204</v>
      </c>
      <c r="D464" s="549">
        <f>YEAR(Tabla14[[#This Row],[Fecha]])</f>
        <v>2023</v>
      </c>
      <c r="E464" s="516">
        <f>IF(Tabla14[[#This Row],[Fecha]]&gt;0,_xlfn.ISOWEEKNUM(Tabla14[[#This Row],[Fecha]]),0)</f>
        <v>40</v>
      </c>
      <c r="F464" s="283">
        <v>124</v>
      </c>
      <c r="G464" s="275" t="s">
        <v>250</v>
      </c>
      <c r="H464" s="325" t="str">
        <f>_xlfn.XLOOKUP(Tabla14[[#This Row],[Codigo Finca]],Tabla4[Codigo Finca],Tabla4[Nombre Finca],"")</f>
        <v>San Pedro</v>
      </c>
      <c r="I464" s="277">
        <f>_xlfn.XLOOKUP(Tabla14[[#This Row],[Codigo Finca]],Tabla4[Codigo Finca],Tabla4[Precio Caja],0)</f>
        <v>1800</v>
      </c>
      <c r="J464" s="277">
        <f>_xlfn.XLOOKUP(Tabla14[[#This Row],[Codigo Finca]],Tabla4[Codigo Finca],Tabla4[Precio Caja Segunda],0)</f>
        <v>1150</v>
      </c>
      <c r="K464" s="277">
        <f>_xlfn.XLOOKUP(Tabla14[[#This Row],[Codigo Finca]],Tabla4[Codigo Finca],Tabla4[Precio Rechazo],0)</f>
        <v>575</v>
      </c>
      <c r="L464" s="277">
        <f t="shared" si="439"/>
        <v>373</v>
      </c>
      <c r="M464" s="278">
        <f t="shared" si="440"/>
        <v>3.0080645161290325</v>
      </c>
      <c r="N464" s="283"/>
      <c r="O464" s="279"/>
      <c r="P464" s="280">
        <f t="shared" si="441"/>
        <v>0</v>
      </c>
      <c r="Q464" s="281">
        <f t="shared" si="442"/>
        <v>0</v>
      </c>
      <c r="R464" s="282">
        <f t="shared" si="443"/>
        <v>0</v>
      </c>
      <c r="S464" s="283">
        <v>373</v>
      </c>
      <c r="T464" s="275">
        <v>5</v>
      </c>
      <c r="U464" s="280">
        <f t="shared" si="444"/>
        <v>124</v>
      </c>
      <c r="V464" s="281">
        <f t="shared" si="445"/>
        <v>24.8</v>
      </c>
      <c r="W464" s="282">
        <f t="shared" si="446"/>
        <v>44640</v>
      </c>
      <c r="X464" s="283"/>
      <c r="Y464" s="275"/>
      <c r="Z464" s="280">
        <f>Tabla14[[#This Row],[Cajas Segunda]]</f>
        <v>0</v>
      </c>
      <c r="AA464" s="281">
        <f t="shared" si="447"/>
        <v>0</v>
      </c>
      <c r="AB464" s="284">
        <f t="shared" si="448"/>
        <v>0</v>
      </c>
      <c r="AC464" s="285"/>
      <c r="AD464" s="286"/>
      <c r="AE464" s="286"/>
      <c r="AF464" s="286"/>
      <c r="AG464" s="275">
        <v>5</v>
      </c>
      <c r="AH464" s="280">
        <f t="shared" si="449"/>
        <v>0</v>
      </c>
      <c r="AI464" s="281">
        <f t="shared" si="450"/>
        <v>0</v>
      </c>
      <c r="AJ464" s="282">
        <f t="shared" si="451"/>
        <v>0</v>
      </c>
      <c r="AK464" s="287">
        <f>Tabla14[[#This Row],[Cajas por Personas]]</f>
        <v>0</v>
      </c>
      <c r="AL464" s="288">
        <f>Tabla14[[#This Row],[Valor Precorte Pesona]]</f>
        <v>0</v>
      </c>
      <c r="AM464" s="294">
        <f>Tabla14[[#This Row],[Personas Precorte]]</f>
        <v>0</v>
      </c>
      <c r="AN464" s="308">
        <f>Tabla14[[#This Row],[Valor Precorte Pesona Precorte]]*Tabla14[[#This Row],[Perzonas Precorte]]</f>
        <v>0</v>
      </c>
      <c r="AO464" s="287">
        <f>Tabla14[[#This Row],[Cajas por Personas2]]</f>
        <v>24.8</v>
      </c>
      <c r="AP464" s="288">
        <f>Tabla14[[#This Row],[Valor Embarque Pesona]]</f>
        <v>44640</v>
      </c>
      <c r="AQ464" s="295">
        <f>Tabla14[[#This Row],[Personas Precorte2]]</f>
        <v>5</v>
      </c>
      <c r="AR464" s="296">
        <f>Tabla14[[#This Row],[Valor Embarque Pesona3]]*Tabla14[[#This Row],[Perzona Primera]]</f>
        <v>223200</v>
      </c>
      <c r="AS464" s="287">
        <f>Tabla14[[#This Row],[Columna2]]</f>
        <v>0</v>
      </c>
      <c r="AT464" s="288">
        <f>Tabla14[[#This Row],[Columna1]]</f>
        <v>0</v>
      </c>
      <c r="AU464" s="302">
        <f>Tabla14[[#This Row],[Personas Intervienen]]</f>
        <v>0</v>
      </c>
      <c r="AV464" s="297">
        <f>Tabla14[[#This Row],[Valor Embarque Pesona5]]*Tabla14[[#This Row],[Presonas Segunda]]</f>
        <v>0</v>
      </c>
      <c r="AW464" s="287">
        <f>Tabla14[[#This Row],[Bolsas Por Personas]]</f>
        <v>0</v>
      </c>
      <c r="AX464" s="288">
        <f>Tabla14[[#This Row],[Valor bolsas Pesona]]</f>
        <v>0</v>
      </c>
      <c r="AY464" s="309">
        <f>Tabla14[[#This Row],[Personas13]]</f>
        <v>5</v>
      </c>
      <c r="AZ464" s="310">
        <f>Tabla14[[#This Row],[Valor bolsas Pesona2]]*Tabla14[[#This Row],[Personas Rechazo]]</f>
        <v>0</v>
      </c>
      <c r="BA464" s="311">
        <f>+Tabla14[[#This Row],[Total Valor Segunda]]+Tabla14[[#This Row],[Total Valor Primera]]+Tabla14[[#This Row],[Total Valor Precorte]]</f>
        <v>223200</v>
      </c>
      <c r="BB464" s="292">
        <f>Tabla14[[#This Row],[Valor bolsas Pesona2]]+Tabla14[[#This Row],[Valor Embarque Pesona3]]</f>
        <v>44640</v>
      </c>
      <c r="BC464" s="332">
        <v>44650</v>
      </c>
      <c r="BD464" s="292">
        <f>Tabla14[[#This Row],[VALOR GANADO]]-Tabla14[[#This Row],[REAJUSTADO]]</f>
        <v>-10</v>
      </c>
      <c r="BE464" s="250">
        <f>Tabla14[[#This Row],[CUANTO SE REAJUSTA]]*Tabla14[[#This Row],[Personas Rechazo]]</f>
        <v>-50</v>
      </c>
      <c r="BF464" s="250">
        <f>Tabla14[[#This Row],[REAJUSTADO]]/25000</f>
        <v>1.786</v>
      </c>
      <c r="BG464" s="302">
        <f>Tabla14[[#This Row],[REAJUSTADO]]*Tabla14[[#This Row],[Personas Rechazo]]</f>
        <v>223250</v>
      </c>
      <c r="BH464" s="292" t="str">
        <f>Tabla14[[#This Row],[Finca]]</f>
        <v>San Pedro</v>
      </c>
      <c r="BJ464" s="332">
        <f>Tabla14[[#This Row],[Numero de Ocacionales]]*Tabla14[[#This Row],[REAJUSTADO]]</f>
        <v>0</v>
      </c>
      <c r="BK464" s="332"/>
      <c r="BL464" s="332"/>
      <c r="BM464" s="332">
        <f>+Tabla14[[#This Row],[CUANTO SE REAJUSTA]]*3</f>
        <v>-30</v>
      </c>
    </row>
    <row r="465" spans="3:65" x14ac:dyDescent="0.25">
      <c r="C465" s="515">
        <v>45204</v>
      </c>
      <c r="D465" s="549">
        <f>YEAR(Tabla14[[#This Row],[Fecha]])</f>
        <v>2023</v>
      </c>
      <c r="E465" s="516">
        <f>IF(Tabla14[[#This Row],[Fecha]]&gt;0,_xlfn.ISOWEEKNUM(Tabla14[[#This Row],[Fecha]]),0)</f>
        <v>40</v>
      </c>
      <c r="F465" s="283">
        <v>153</v>
      </c>
      <c r="G465" s="275" t="s">
        <v>251</v>
      </c>
      <c r="H465" s="325" t="str">
        <f>_xlfn.XLOOKUP(Tabla14[[#This Row],[Codigo Finca]],Tabla4[Codigo Finca],Tabla4[Nombre Finca],"")</f>
        <v>Pedrito</v>
      </c>
      <c r="I465" s="277">
        <f>_xlfn.XLOOKUP(Tabla14[[#This Row],[Codigo Finca]],Tabla4[Codigo Finca],Tabla4[Precio Caja],0)</f>
        <v>1800</v>
      </c>
      <c r="J465" s="277">
        <f>_xlfn.XLOOKUP(Tabla14[[#This Row],[Codigo Finca]],Tabla4[Codigo Finca],Tabla4[Precio Caja Segunda],0)</f>
        <v>1150</v>
      </c>
      <c r="K465" s="277">
        <f>_xlfn.XLOOKUP(Tabla14[[#This Row],[Codigo Finca]],Tabla4[Codigo Finca],Tabla4[Precio Rechazo],0)</f>
        <v>575</v>
      </c>
      <c r="L465" s="277">
        <f t="shared" si="439"/>
        <v>706</v>
      </c>
      <c r="M465" s="278">
        <f t="shared" si="440"/>
        <v>4.6143790849673199</v>
      </c>
      <c r="N465" s="283"/>
      <c r="O465" s="279"/>
      <c r="P465" s="280">
        <f t="shared" si="441"/>
        <v>0</v>
      </c>
      <c r="Q465" s="281">
        <f t="shared" si="442"/>
        <v>0</v>
      </c>
      <c r="R465" s="282">
        <f t="shared" si="443"/>
        <v>0</v>
      </c>
      <c r="S465" s="283">
        <f>394+312</f>
        <v>706</v>
      </c>
      <c r="T465" s="275">
        <v>12</v>
      </c>
      <c r="U465" s="280">
        <f t="shared" si="444"/>
        <v>153</v>
      </c>
      <c r="V465" s="281">
        <f t="shared" si="445"/>
        <v>12.75</v>
      </c>
      <c r="W465" s="282">
        <f t="shared" si="446"/>
        <v>22950</v>
      </c>
      <c r="X465" s="283"/>
      <c r="Y465" s="275"/>
      <c r="Z465" s="280">
        <f>Tabla14[[#This Row],[Cajas Segunda]]</f>
        <v>0</v>
      </c>
      <c r="AA465" s="281">
        <f t="shared" si="447"/>
        <v>0</v>
      </c>
      <c r="AB465" s="284">
        <f t="shared" si="448"/>
        <v>0</v>
      </c>
      <c r="AC465" s="285"/>
      <c r="AD465" s="286">
        <v>2206</v>
      </c>
      <c r="AE465" s="286"/>
      <c r="AF465" s="286"/>
      <c r="AG465" s="275">
        <v>12</v>
      </c>
      <c r="AH465" s="280">
        <f t="shared" si="449"/>
        <v>88.24</v>
      </c>
      <c r="AI465" s="281">
        <f t="shared" si="450"/>
        <v>7.3533333333333326</v>
      </c>
      <c r="AJ465" s="282">
        <f t="shared" si="451"/>
        <v>4228.1666666666661</v>
      </c>
      <c r="AK465" s="287">
        <f>Tabla14[[#This Row],[Cajas por Personas]]</f>
        <v>0</v>
      </c>
      <c r="AL465" s="288">
        <f>Tabla14[[#This Row],[Valor Precorte Pesona]]</f>
        <v>0</v>
      </c>
      <c r="AM465" s="294">
        <f>Tabla14[[#This Row],[Personas Precorte]]</f>
        <v>0</v>
      </c>
      <c r="AN465" s="308">
        <f>Tabla14[[#This Row],[Valor Precorte Pesona Precorte]]*Tabla14[[#This Row],[Perzonas Precorte]]</f>
        <v>0</v>
      </c>
      <c r="AO465" s="287">
        <f>Tabla14[[#This Row],[Cajas por Personas2]]</f>
        <v>12.75</v>
      </c>
      <c r="AP465" s="288">
        <f>Tabla14[[#This Row],[Valor Embarque Pesona]]</f>
        <v>22950</v>
      </c>
      <c r="AQ465" s="295">
        <f>Tabla14[[#This Row],[Personas Precorte2]]</f>
        <v>12</v>
      </c>
      <c r="AR465" s="296">
        <f>Tabla14[[#This Row],[Valor Embarque Pesona3]]*Tabla14[[#This Row],[Perzona Primera]]</f>
        <v>275400</v>
      </c>
      <c r="AS465" s="287">
        <f>Tabla14[[#This Row],[Columna2]]</f>
        <v>0</v>
      </c>
      <c r="AT465" s="288">
        <f>Tabla14[[#This Row],[Columna1]]</f>
        <v>0</v>
      </c>
      <c r="AU465" s="302">
        <f>Tabla14[[#This Row],[Personas Intervienen]]</f>
        <v>0</v>
      </c>
      <c r="AV465" s="297">
        <f>Tabla14[[#This Row],[Valor Embarque Pesona5]]*Tabla14[[#This Row],[Presonas Segunda]]</f>
        <v>0</v>
      </c>
      <c r="AW465" s="287">
        <f>Tabla14[[#This Row],[Bolsas Por Personas]]</f>
        <v>7.3533333333333326</v>
      </c>
      <c r="AX465" s="288">
        <f>Tabla14[[#This Row],[Valor bolsas Pesona]]</f>
        <v>4228.1666666666661</v>
      </c>
      <c r="AY465" s="309">
        <f>Tabla14[[#This Row],[Personas13]]</f>
        <v>12</v>
      </c>
      <c r="AZ465" s="310">
        <f>Tabla14[[#This Row],[Valor bolsas Pesona2]]*Tabla14[[#This Row],[Personas Rechazo]]</f>
        <v>50737.999999999993</v>
      </c>
      <c r="BA465" s="311">
        <f>+Tabla14[[#This Row],[Total Valor Segunda]]+Tabla14[[#This Row],[Total Valor Primera]]+Tabla14[[#This Row],[Total Valor Precorte]]</f>
        <v>275400</v>
      </c>
      <c r="BB465" s="292">
        <f>Tabla14[[#This Row],[Valor bolsas Pesona2]]+Tabla14[[#This Row],[Valor Embarque Pesona3]]</f>
        <v>27178.166666666664</v>
      </c>
      <c r="BC465" s="332">
        <v>30000</v>
      </c>
      <c r="BD465" s="292">
        <f>Tabla14[[#This Row],[VALOR GANADO]]-Tabla14[[#This Row],[REAJUSTADO]]</f>
        <v>-2821.8333333333358</v>
      </c>
      <c r="BE465" s="250">
        <f>Tabla14[[#This Row],[CUANTO SE REAJUSTA]]*Tabla14[[#This Row],[Personas Rechazo]]</f>
        <v>-33862.000000000029</v>
      </c>
      <c r="BF465" s="250">
        <f>Tabla14[[#This Row],[REAJUSTADO]]/25000</f>
        <v>1.2</v>
      </c>
      <c r="BG465" s="302">
        <f>Tabla14[[#This Row],[REAJUSTADO]]*Tabla14[[#This Row],[Personas Rechazo]]</f>
        <v>360000</v>
      </c>
      <c r="BH465" s="292" t="str">
        <f>Tabla14[[#This Row],[Finca]]</f>
        <v>Pedrito</v>
      </c>
      <c r="BJ465" s="332">
        <f>Tabla14[[#This Row],[Numero de Ocacionales]]*Tabla14[[#This Row],[REAJUSTADO]]</f>
        <v>0</v>
      </c>
      <c r="BK465" s="332"/>
      <c r="BL465" s="332"/>
      <c r="BM465" s="332">
        <f>+Tabla14[[#This Row],[CUANTO SE REAJUSTA]]*3</f>
        <v>-8465.5000000000073</v>
      </c>
    </row>
    <row r="466" spans="3:65" x14ac:dyDescent="0.25">
      <c r="C466" s="515">
        <v>45204</v>
      </c>
      <c r="D466" s="549">
        <f>YEAR(Tabla14[[#This Row],[Fecha]])</f>
        <v>2023</v>
      </c>
      <c r="E466" s="516">
        <f>IF(Tabla14[[#This Row],[Fecha]]&gt;0,_xlfn.ISOWEEKNUM(Tabla14[[#This Row],[Fecha]]),0)</f>
        <v>40</v>
      </c>
      <c r="F466" s="283">
        <v>19</v>
      </c>
      <c r="G466" s="275" t="s">
        <v>248</v>
      </c>
      <c r="H466" s="325" t="str">
        <f>_xlfn.XLOOKUP(Tabla14[[#This Row],[Codigo Finca]],Tabla4[Codigo Finca],Tabla4[Nombre Finca],"")</f>
        <v>Damaquiel</v>
      </c>
      <c r="I466" s="277">
        <f>_xlfn.XLOOKUP(Tabla14[[#This Row],[Codigo Finca]],Tabla4[Codigo Finca],Tabla4[Precio Caja],0)</f>
        <v>1800</v>
      </c>
      <c r="J466" s="277">
        <f>_xlfn.XLOOKUP(Tabla14[[#This Row],[Codigo Finca]],Tabla4[Codigo Finca],Tabla4[Precio Caja Segunda],0)</f>
        <v>1150</v>
      </c>
      <c r="K466" s="277">
        <f>_xlfn.XLOOKUP(Tabla14[[#This Row],[Codigo Finca]],Tabla4[Codigo Finca],Tabla4[Precio Rechazo],0)</f>
        <v>575</v>
      </c>
      <c r="L466" s="277">
        <f t="shared" si="439"/>
        <v>0</v>
      </c>
      <c r="M466" s="278">
        <f t="shared" si="440"/>
        <v>0</v>
      </c>
      <c r="N466" s="283"/>
      <c r="O466" s="279"/>
      <c r="P466" s="280">
        <f t="shared" si="441"/>
        <v>0</v>
      </c>
      <c r="Q466" s="281">
        <f t="shared" si="442"/>
        <v>0</v>
      </c>
      <c r="R466" s="282">
        <f t="shared" si="443"/>
        <v>0</v>
      </c>
      <c r="S466" s="283"/>
      <c r="T466" s="275">
        <v>7</v>
      </c>
      <c r="U466" s="280">
        <f t="shared" si="444"/>
        <v>19</v>
      </c>
      <c r="V466" s="281">
        <f t="shared" si="445"/>
        <v>2.7142857142857144</v>
      </c>
      <c r="W466" s="282">
        <f t="shared" si="446"/>
        <v>4885.7142857142853</v>
      </c>
      <c r="X466" s="283"/>
      <c r="Y466" s="275"/>
      <c r="Z466" s="280">
        <f>Tabla14[[#This Row],[Cajas Segunda]]</f>
        <v>0</v>
      </c>
      <c r="AA466" s="281">
        <f t="shared" si="447"/>
        <v>0</v>
      </c>
      <c r="AB466" s="284">
        <f t="shared" si="448"/>
        <v>0</v>
      </c>
      <c r="AC466" s="285"/>
      <c r="AD466" s="286">
        <v>960</v>
      </c>
      <c r="AE466" s="286"/>
      <c r="AF466" s="286"/>
      <c r="AG466" s="275">
        <v>7</v>
      </c>
      <c r="AH466" s="280">
        <f t="shared" si="449"/>
        <v>38.4</v>
      </c>
      <c r="AI466" s="281">
        <f t="shared" si="450"/>
        <v>5.4857142857142858</v>
      </c>
      <c r="AJ466" s="282">
        <f t="shared" si="451"/>
        <v>3154.2857142857142</v>
      </c>
      <c r="AK466" s="287">
        <f>Tabla14[[#This Row],[Cajas por Personas]]</f>
        <v>0</v>
      </c>
      <c r="AL466" s="288">
        <f>Tabla14[[#This Row],[Valor Precorte Pesona]]</f>
        <v>0</v>
      </c>
      <c r="AM466" s="294">
        <f>Tabla14[[#This Row],[Personas Precorte]]</f>
        <v>0</v>
      </c>
      <c r="AN466" s="308">
        <f>Tabla14[[#This Row],[Valor Precorte Pesona Precorte]]*Tabla14[[#This Row],[Perzonas Precorte]]</f>
        <v>0</v>
      </c>
      <c r="AO466" s="287">
        <f>Tabla14[[#This Row],[Cajas por Personas2]]</f>
        <v>2.7142857142857144</v>
      </c>
      <c r="AP466" s="288">
        <f>Tabla14[[#This Row],[Valor Embarque Pesona]]</f>
        <v>4885.7142857142853</v>
      </c>
      <c r="AQ466" s="295">
        <f>Tabla14[[#This Row],[Personas Precorte2]]</f>
        <v>7</v>
      </c>
      <c r="AR466" s="296">
        <f>Tabla14[[#This Row],[Valor Embarque Pesona3]]*Tabla14[[#This Row],[Perzona Primera]]</f>
        <v>34200</v>
      </c>
      <c r="AS466" s="287">
        <f>Tabla14[[#This Row],[Columna2]]</f>
        <v>0</v>
      </c>
      <c r="AT466" s="288">
        <f>Tabla14[[#This Row],[Columna1]]</f>
        <v>0</v>
      </c>
      <c r="AU466" s="302">
        <f>Tabla14[[#This Row],[Personas Intervienen]]</f>
        <v>0</v>
      </c>
      <c r="AV466" s="297">
        <f>Tabla14[[#This Row],[Valor Embarque Pesona5]]*Tabla14[[#This Row],[Presonas Segunda]]</f>
        <v>0</v>
      </c>
      <c r="AW466" s="287">
        <f>Tabla14[[#This Row],[Bolsas Por Personas]]</f>
        <v>5.4857142857142858</v>
      </c>
      <c r="AX466" s="288">
        <f>Tabla14[[#This Row],[Valor bolsas Pesona]]</f>
        <v>3154.2857142857142</v>
      </c>
      <c r="AY466" s="309">
        <f>Tabla14[[#This Row],[Personas13]]</f>
        <v>7</v>
      </c>
      <c r="AZ466" s="310">
        <f>Tabla14[[#This Row],[Valor bolsas Pesona2]]*Tabla14[[#This Row],[Personas Rechazo]]</f>
        <v>22080</v>
      </c>
      <c r="BA466" s="311">
        <f>+Tabla14[[#This Row],[Total Valor Segunda]]+Tabla14[[#This Row],[Total Valor Primera]]+Tabla14[[#This Row],[Total Valor Precorte]]</f>
        <v>34200</v>
      </c>
      <c r="BB466" s="292">
        <f>Tabla14[[#This Row],[Valor bolsas Pesona2]]+Tabla14[[#This Row],[Valor Embarque Pesona3]]</f>
        <v>8040</v>
      </c>
      <c r="BC466" s="332">
        <v>30000</v>
      </c>
      <c r="BD466" s="292">
        <f>Tabla14[[#This Row],[VALOR GANADO]]-Tabla14[[#This Row],[REAJUSTADO]]</f>
        <v>-21960</v>
      </c>
      <c r="BE466" s="250">
        <f>Tabla14[[#This Row],[CUANTO SE REAJUSTA]]*Tabla14[[#This Row],[Personas Rechazo]]</f>
        <v>-153720</v>
      </c>
      <c r="BF466" s="250">
        <f>Tabla14[[#This Row],[REAJUSTADO]]/25000</f>
        <v>1.2</v>
      </c>
      <c r="BG466" s="302">
        <f>Tabla14[[#This Row],[REAJUSTADO]]*Tabla14[[#This Row],[Personas Rechazo]]</f>
        <v>210000</v>
      </c>
      <c r="BH466" s="292" t="str">
        <f>Tabla14[[#This Row],[Finca]]</f>
        <v>Damaquiel</v>
      </c>
      <c r="BJ466" s="332">
        <f>Tabla14[[#This Row],[Numero de Ocacionales]]*Tabla14[[#This Row],[REAJUSTADO]]</f>
        <v>0</v>
      </c>
      <c r="BK466" s="332"/>
      <c r="BL466" s="332"/>
      <c r="BM466" s="332">
        <f>+Tabla14[[#This Row],[CUANTO SE REAJUSTA]]*3</f>
        <v>-65880</v>
      </c>
    </row>
    <row r="467" spans="3:65" x14ac:dyDescent="0.25">
      <c r="C467" s="515">
        <v>45210</v>
      </c>
      <c r="D467" s="549">
        <f>YEAR(Tabla14[[#This Row],[Fecha]])</f>
        <v>2023</v>
      </c>
      <c r="E467" s="516">
        <f>IF(Tabla14[[#This Row],[Fecha]]&gt;0,_xlfn.ISOWEEKNUM(Tabla14[[#This Row],[Fecha]]),0)</f>
        <v>41</v>
      </c>
      <c r="F467" s="283">
        <f>242+399</f>
        <v>641</v>
      </c>
      <c r="G467" s="275" t="s">
        <v>250</v>
      </c>
      <c r="H467" s="325" t="str">
        <f>_xlfn.XLOOKUP(Tabla14[[#This Row],[Codigo Finca]],Tabla4[Codigo Finca],Tabla4[Nombre Finca],"")</f>
        <v>San Pedro</v>
      </c>
      <c r="I467" s="277">
        <f>_xlfn.XLOOKUP(Tabla14[[#This Row],[Codigo Finca]],Tabla4[Codigo Finca],Tabla4[Precio Caja],0)</f>
        <v>1800</v>
      </c>
      <c r="J467" s="277">
        <f>_xlfn.XLOOKUP(Tabla14[[#This Row],[Codigo Finca]],Tabla4[Codigo Finca],Tabla4[Precio Caja Segunda],0)</f>
        <v>1150</v>
      </c>
      <c r="K467" s="277">
        <f>_xlfn.XLOOKUP(Tabla14[[#This Row],[Codigo Finca]],Tabla4[Codigo Finca],Tabla4[Precio Rechazo],0)</f>
        <v>575</v>
      </c>
      <c r="L467" s="277">
        <f t="shared" ref="L467:L472" si="452">S467+N467</f>
        <v>1788</v>
      </c>
      <c r="M467" s="278">
        <f t="shared" ref="M467:M472" si="453">IF(F467&gt;0,L467/F467,0)</f>
        <v>2.7893915756630263</v>
      </c>
      <c r="N467" s="283"/>
      <c r="O467" s="279"/>
      <c r="P467" s="280">
        <f t="shared" ref="P467:P472" si="454">IF(N467&gt;0,(N467/M467)/2,0)</f>
        <v>0</v>
      </c>
      <c r="Q467" s="281">
        <f t="shared" ref="Q467:Q472" si="455">IF(O467&gt;0,P467/O467,0)</f>
        <v>0</v>
      </c>
      <c r="R467" s="282">
        <f t="shared" ref="R467:R472" si="456">IF(I467&gt;0,Q467*I467,)</f>
        <v>0</v>
      </c>
      <c r="S467" s="283">
        <f>233+144+235+364+223+301+288</f>
        <v>1788</v>
      </c>
      <c r="T467" s="275">
        <v>23</v>
      </c>
      <c r="U467" s="280">
        <f t="shared" ref="U467:U472" si="457">F467-P467</f>
        <v>641</v>
      </c>
      <c r="V467" s="281">
        <f t="shared" ref="V467:V472" si="458">IF(T467&gt;0,U467/T467,0)</f>
        <v>27.869565217391305</v>
      </c>
      <c r="W467" s="282">
        <f t="shared" ref="W467:W472" si="459">IF(T467&gt;0,(U467*I467)/T467,0)</f>
        <v>50165.217391304344</v>
      </c>
      <c r="X467" s="283"/>
      <c r="Y467" s="275"/>
      <c r="Z467" s="280">
        <f>Tabla14[[#This Row],[Cajas Segunda]]</f>
        <v>0</v>
      </c>
      <c r="AA467" s="281">
        <f t="shared" ref="AA467:AA472" si="460">IF(Y467&gt;0,Z467/Y467,0)</f>
        <v>0</v>
      </c>
      <c r="AB467" s="284">
        <f t="shared" ref="AB467:AB472" si="461">IF(Y467&gt;0,(Z467*J467)/Y467,0)</f>
        <v>0</v>
      </c>
      <c r="AC467" s="285"/>
      <c r="AD467" s="286">
        <v>2474.84</v>
      </c>
      <c r="AE467" s="286"/>
      <c r="AF467" s="286"/>
      <c r="AG467" s="544"/>
      <c r="AH467" s="280">
        <f t="shared" ref="AH467:AH472" si="462">IF(AND(AC467&gt;0,AE467=0,AF467=0,AD467=0),AC467,IF(AND(AC467=0,AE467&gt;0,AF467&gt;0,AD467=0),AE467*AF467/25,IF(AND(AC467=0,AE467=0,AF467=0,AD467&gt;0),AD467/25,0)))</f>
        <v>98.993600000000001</v>
      </c>
      <c r="AI467" s="281">
        <f t="shared" ref="AI467:AI472" si="463">IF(AG467&gt;0,AH467/AG467,0)</f>
        <v>0</v>
      </c>
      <c r="AJ467" s="282">
        <f t="shared" ref="AJ467:AJ472" si="464">AI467*K467</f>
        <v>0</v>
      </c>
      <c r="AK467" s="287">
        <f>Tabla14[[#This Row],[Cajas por Personas]]</f>
        <v>0</v>
      </c>
      <c r="AL467" s="288">
        <f>Tabla14[[#This Row],[Valor Precorte Pesona]]</f>
        <v>0</v>
      </c>
      <c r="AM467" s="294">
        <f>Tabla14[[#This Row],[Personas Precorte]]</f>
        <v>0</v>
      </c>
      <c r="AN467" s="308">
        <f>Tabla14[[#This Row],[Valor Precorte Pesona Precorte]]*Tabla14[[#This Row],[Perzonas Precorte]]</f>
        <v>0</v>
      </c>
      <c r="AO467" s="287">
        <f>Tabla14[[#This Row],[Cajas por Personas2]]</f>
        <v>27.869565217391305</v>
      </c>
      <c r="AP467" s="288">
        <f>Tabla14[[#This Row],[Valor Embarque Pesona]]</f>
        <v>50165.217391304344</v>
      </c>
      <c r="AQ467" s="295">
        <f>Tabla14[[#This Row],[Personas Precorte2]]</f>
        <v>23</v>
      </c>
      <c r="AR467" s="296">
        <f>Tabla14[[#This Row],[Valor Embarque Pesona3]]*Tabla14[[#This Row],[Perzona Primera]]</f>
        <v>1153800</v>
      </c>
      <c r="AS467" s="287">
        <f>Tabla14[[#This Row],[Columna2]]</f>
        <v>0</v>
      </c>
      <c r="AT467" s="288">
        <f>Tabla14[[#This Row],[Columna1]]</f>
        <v>0</v>
      </c>
      <c r="AU467" s="302">
        <f>Tabla14[[#This Row],[Personas Intervienen]]</f>
        <v>0</v>
      </c>
      <c r="AV467" s="297">
        <f>Tabla14[[#This Row],[Valor Embarque Pesona5]]*Tabla14[[#This Row],[Presonas Segunda]]</f>
        <v>0</v>
      </c>
      <c r="AW467" s="287">
        <f>Tabla14[[#This Row],[Bolsas Por Personas]]</f>
        <v>0</v>
      </c>
      <c r="AX467" s="288">
        <f>Tabla14[[#This Row],[Valor bolsas Pesona]]</f>
        <v>0</v>
      </c>
      <c r="AY467" s="309">
        <f>Tabla14[[#This Row],[Personas13]]</f>
        <v>0</v>
      </c>
      <c r="AZ467" s="310">
        <f>Tabla14[[#This Row],[Valor bolsas Pesona2]]*Tabla14[[#This Row],[Personas Rechazo]]</f>
        <v>0</v>
      </c>
      <c r="BA467" s="311">
        <f>+Tabla14[[#This Row],[Total Valor Segunda]]+Tabla14[[#This Row],[Total Valor Primera]]+Tabla14[[#This Row],[Total Valor Precorte]]</f>
        <v>1153800</v>
      </c>
      <c r="BB467" s="292">
        <f>Tabla14[[#This Row],[Valor bolsas Pesona2]]+Tabla14[[#This Row],[Valor Embarque Pesona3]]</f>
        <v>50165.217391304344</v>
      </c>
      <c r="BC467" s="332">
        <f>Tabla14[[#This Row],[VALOR GANADO]]+BB468</f>
        <v>56252.173913043473</v>
      </c>
      <c r="BD467" s="292">
        <f>Tabla14[[#This Row],[VALOR GANADO]]-Tabla14[[#This Row],[REAJUSTADO]]</f>
        <v>-6086.9565217391282</v>
      </c>
      <c r="BE467" s="250">
        <f>Tabla14[[#This Row],[CUANTO SE REAJUSTA]]*Tabla14[[#This Row],[Personas Rechazo]]</f>
        <v>0</v>
      </c>
      <c r="BF467" s="250">
        <f>Tabla14[[#This Row],[REAJUSTADO]]/25000</f>
        <v>2.2500869565217387</v>
      </c>
      <c r="BG467" s="302">
        <f>Tabla14[[#This Row],[REAJUSTADO]]*Tabla14[[#This Row],[Personas Rechazo]]</f>
        <v>0</v>
      </c>
      <c r="BH467" s="292" t="str">
        <f>Tabla14[[#This Row],[Finca]]</f>
        <v>San Pedro</v>
      </c>
      <c r="BJ467" s="332">
        <f>Tabla14[[#This Row],[Numero de Ocacionales]]*Tabla14[[#This Row],[REAJUSTADO]]</f>
        <v>0</v>
      </c>
      <c r="BK467" s="332"/>
      <c r="BL467" s="332"/>
      <c r="BM467" s="332">
        <f>+Tabla14[[#This Row],[CUANTO SE REAJUSTA]]*3</f>
        <v>-18260.869565217385</v>
      </c>
    </row>
    <row r="468" spans="3:65" x14ac:dyDescent="0.25">
      <c r="C468" s="515">
        <v>45210</v>
      </c>
      <c r="D468" s="549">
        <f>YEAR(Tabla14[[#This Row],[Fecha]])</f>
        <v>2023</v>
      </c>
      <c r="E468" s="516">
        <f>IF(Tabla14[[#This Row],[Fecha]]&gt;0,_xlfn.ISOWEEKNUM(Tabla14[[#This Row],[Fecha]]),0)</f>
        <v>41</v>
      </c>
      <c r="F468" s="283">
        <v>70</v>
      </c>
      <c r="G468" s="275" t="s">
        <v>249</v>
      </c>
      <c r="H468" s="325" t="str">
        <f>_xlfn.XLOOKUP(Tabla14[[#This Row],[Codigo Finca]],Tabla4[Codigo Finca],Tabla4[Nombre Finca],"")</f>
        <v>San Pedro</v>
      </c>
      <c r="I468" s="277">
        <f>_xlfn.XLOOKUP(Tabla14[[#This Row],[Codigo Finca]],Tabla4[Codigo Finca],Tabla4[Precio Caja],0)</f>
        <v>2000</v>
      </c>
      <c r="J468" s="277">
        <f>_xlfn.XLOOKUP(Tabla14[[#This Row],[Codigo Finca]],Tabla4[Codigo Finca],Tabla4[Precio Caja Segunda],0)</f>
        <v>1150</v>
      </c>
      <c r="K468" s="277">
        <f>_xlfn.XLOOKUP(Tabla14[[#This Row],[Codigo Finca]],Tabla4[Codigo Finca],Tabla4[Precio Rechazo],0)</f>
        <v>675</v>
      </c>
      <c r="L468" s="277">
        <f t="shared" si="452"/>
        <v>193</v>
      </c>
      <c r="M468" s="278">
        <f t="shared" si="453"/>
        <v>2.7571428571428571</v>
      </c>
      <c r="N468" s="283"/>
      <c r="O468" s="279"/>
      <c r="P468" s="280">
        <f t="shared" si="454"/>
        <v>0</v>
      </c>
      <c r="Q468" s="281">
        <f t="shared" si="455"/>
        <v>0</v>
      </c>
      <c r="R468" s="282">
        <f t="shared" si="456"/>
        <v>0</v>
      </c>
      <c r="S468" s="283">
        <v>193</v>
      </c>
      <c r="T468" s="275">
        <v>23</v>
      </c>
      <c r="U468" s="280">
        <f t="shared" si="457"/>
        <v>70</v>
      </c>
      <c r="V468" s="281">
        <f t="shared" si="458"/>
        <v>3.0434782608695654</v>
      </c>
      <c r="W468" s="282">
        <f t="shared" si="459"/>
        <v>6086.95652173913</v>
      </c>
      <c r="X468" s="283"/>
      <c r="Y468" s="275"/>
      <c r="Z468" s="280">
        <f>Tabla14[[#This Row],[Cajas Segunda]]</f>
        <v>0</v>
      </c>
      <c r="AA468" s="281">
        <f t="shared" si="460"/>
        <v>0</v>
      </c>
      <c r="AB468" s="284">
        <f t="shared" si="461"/>
        <v>0</v>
      </c>
      <c r="AC468" s="285"/>
      <c r="AD468" s="286">
        <v>156.4</v>
      </c>
      <c r="AE468" s="286"/>
      <c r="AF468" s="286"/>
      <c r="AG468" s="544"/>
      <c r="AH468" s="280">
        <f t="shared" si="462"/>
        <v>6.2560000000000002</v>
      </c>
      <c r="AI468" s="281">
        <f t="shared" si="463"/>
        <v>0</v>
      </c>
      <c r="AJ468" s="282">
        <f t="shared" si="464"/>
        <v>0</v>
      </c>
      <c r="AK468" s="287">
        <f>Tabla14[[#This Row],[Cajas por Personas]]</f>
        <v>0</v>
      </c>
      <c r="AL468" s="288">
        <f>Tabla14[[#This Row],[Valor Precorte Pesona]]</f>
        <v>0</v>
      </c>
      <c r="AM468" s="294">
        <f>Tabla14[[#This Row],[Personas Precorte]]</f>
        <v>0</v>
      </c>
      <c r="AN468" s="308">
        <f>Tabla14[[#This Row],[Valor Precorte Pesona Precorte]]*Tabla14[[#This Row],[Perzonas Precorte]]</f>
        <v>0</v>
      </c>
      <c r="AO468" s="287">
        <f>Tabla14[[#This Row],[Cajas por Personas2]]</f>
        <v>3.0434782608695654</v>
      </c>
      <c r="AP468" s="288">
        <f>Tabla14[[#This Row],[Valor Embarque Pesona]]</f>
        <v>6086.95652173913</v>
      </c>
      <c r="AQ468" s="295">
        <f>Tabla14[[#This Row],[Personas Precorte2]]</f>
        <v>23</v>
      </c>
      <c r="AR468" s="296">
        <f>Tabla14[[#This Row],[Valor Embarque Pesona3]]*Tabla14[[#This Row],[Perzona Primera]]</f>
        <v>140000</v>
      </c>
      <c r="AS468" s="287">
        <f>Tabla14[[#This Row],[Columna2]]</f>
        <v>0</v>
      </c>
      <c r="AT468" s="288">
        <f>Tabla14[[#This Row],[Columna1]]</f>
        <v>0</v>
      </c>
      <c r="AU468" s="302">
        <f>Tabla14[[#This Row],[Personas Intervienen]]</f>
        <v>0</v>
      </c>
      <c r="AV468" s="297">
        <f>Tabla14[[#This Row],[Valor Embarque Pesona5]]*Tabla14[[#This Row],[Presonas Segunda]]</f>
        <v>0</v>
      </c>
      <c r="AW468" s="287">
        <f>Tabla14[[#This Row],[Bolsas Por Personas]]</f>
        <v>0</v>
      </c>
      <c r="AX468" s="288">
        <f>Tabla14[[#This Row],[Valor bolsas Pesona]]</f>
        <v>0</v>
      </c>
      <c r="AY468" s="309">
        <f>Tabla14[[#This Row],[Personas13]]</f>
        <v>0</v>
      </c>
      <c r="AZ468" s="310">
        <f>Tabla14[[#This Row],[Valor bolsas Pesona2]]*Tabla14[[#This Row],[Personas Rechazo]]</f>
        <v>0</v>
      </c>
      <c r="BA468" s="311">
        <f>+Tabla14[[#This Row],[Total Valor Segunda]]+Tabla14[[#This Row],[Total Valor Primera]]+Tabla14[[#This Row],[Total Valor Precorte]]</f>
        <v>140000</v>
      </c>
      <c r="BB468" s="292">
        <f>Tabla14[[#This Row],[Valor bolsas Pesona2]]+Tabla14[[#This Row],[Valor Embarque Pesona3]]</f>
        <v>6086.95652173913</v>
      </c>
      <c r="BD468" s="292">
        <f>Tabla14[[#This Row],[VALOR GANADO]]-Tabla14[[#This Row],[REAJUSTADO]]</f>
        <v>6086.95652173913</v>
      </c>
      <c r="BE468" s="250">
        <f>Tabla14[[#This Row],[CUANTO SE REAJUSTA]]*Tabla14[[#This Row],[Personas Rechazo]]</f>
        <v>0</v>
      </c>
      <c r="BF468" s="250">
        <f>Tabla14[[#This Row],[REAJUSTADO]]/25000</f>
        <v>0</v>
      </c>
      <c r="BG468" s="302">
        <f>Tabla14[[#This Row],[REAJUSTADO]]*Tabla14[[#This Row],[Personas Rechazo]]</f>
        <v>0</v>
      </c>
      <c r="BH468" s="292" t="str">
        <f>Tabla14[[#This Row],[Finca]]</f>
        <v>San Pedro</v>
      </c>
      <c r="BJ468" s="332">
        <f>Tabla14[[#This Row],[Numero de Ocacionales]]*Tabla14[[#This Row],[REAJUSTADO]]</f>
        <v>0</v>
      </c>
      <c r="BK468" s="332"/>
      <c r="BL468" s="332"/>
      <c r="BM468" s="332">
        <f>+Tabla14[[#This Row],[CUANTO SE REAJUSTA]]*3</f>
        <v>18260.869565217392</v>
      </c>
    </row>
    <row r="469" spans="3:65" x14ac:dyDescent="0.25">
      <c r="C469" s="515">
        <v>45212</v>
      </c>
      <c r="D469" s="549">
        <f>YEAR(Tabla14[[#This Row],[Fecha]])</f>
        <v>2023</v>
      </c>
      <c r="E469" s="516">
        <f>IF(Tabla14[[#This Row],[Fecha]]&gt;0,_xlfn.ISOWEEKNUM(Tabla14[[#This Row],[Fecha]]),0)</f>
        <v>41</v>
      </c>
      <c r="F469" s="283">
        <v>41</v>
      </c>
      <c r="G469" s="275" t="s">
        <v>250</v>
      </c>
      <c r="H469" s="325" t="str">
        <f>_xlfn.XLOOKUP(Tabla14[[#This Row],[Codigo Finca]],Tabla4[Codigo Finca],Tabla4[Nombre Finca],"")</f>
        <v>San Pedro</v>
      </c>
      <c r="I469" s="277">
        <f>_xlfn.XLOOKUP(Tabla14[[#This Row],[Codigo Finca]],Tabla4[Codigo Finca],Tabla4[Precio Caja],0)</f>
        <v>1800</v>
      </c>
      <c r="J469" s="277">
        <f>_xlfn.XLOOKUP(Tabla14[[#This Row],[Codigo Finca]],Tabla4[Codigo Finca],Tabla4[Precio Caja Segunda],0)</f>
        <v>1150</v>
      </c>
      <c r="K469" s="277">
        <f>_xlfn.XLOOKUP(Tabla14[[#This Row],[Codigo Finca]],Tabla4[Codigo Finca],Tabla4[Precio Rechazo],0)</f>
        <v>575</v>
      </c>
      <c r="L469" s="277">
        <f t="shared" si="452"/>
        <v>142</v>
      </c>
      <c r="M469" s="278">
        <f t="shared" si="453"/>
        <v>3.4634146341463414</v>
      </c>
      <c r="N469" s="283"/>
      <c r="O469" s="279"/>
      <c r="P469" s="280">
        <f t="shared" si="454"/>
        <v>0</v>
      </c>
      <c r="Q469" s="281">
        <f t="shared" si="455"/>
        <v>0</v>
      </c>
      <c r="R469" s="282">
        <f t="shared" si="456"/>
        <v>0</v>
      </c>
      <c r="S469" s="283">
        <v>142</v>
      </c>
      <c r="T469" s="275">
        <v>4</v>
      </c>
      <c r="U469" s="280">
        <f t="shared" si="457"/>
        <v>41</v>
      </c>
      <c r="V469" s="281">
        <f t="shared" si="458"/>
        <v>10.25</v>
      </c>
      <c r="W469" s="282">
        <f t="shared" si="459"/>
        <v>18450</v>
      </c>
      <c r="X469" s="283"/>
      <c r="Y469" s="275"/>
      <c r="Z469" s="280">
        <f>Tabla14[[#This Row],[Cajas Segunda]]</f>
        <v>0</v>
      </c>
      <c r="AA469" s="281">
        <f t="shared" si="460"/>
        <v>0</v>
      </c>
      <c r="AB469" s="284">
        <f t="shared" si="461"/>
        <v>0</v>
      </c>
      <c r="AC469" s="285"/>
      <c r="AD469" s="286">
        <v>490</v>
      </c>
      <c r="AE469" s="286"/>
      <c r="AF469" s="286"/>
      <c r="AG469" s="286">
        <v>4</v>
      </c>
      <c r="AH469" s="280">
        <f t="shared" si="462"/>
        <v>19.600000000000001</v>
      </c>
      <c r="AI469" s="281">
        <f t="shared" si="463"/>
        <v>4.9000000000000004</v>
      </c>
      <c r="AJ469" s="282">
        <f t="shared" si="464"/>
        <v>2817.5</v>
      </c>
      <c r="AK469" s="287">
        <f>Tabla14[[#This Row],[Cajas por Personas]]</f>
        <v>0</v>
      </c>
      <c r="AL469" s="288">
        <f>Tabla14[[#This Row],[Valor Precorte Pesona]]</f>
        <v>0</v>
      </c>
      <c r="AM469" s="294">
        <f>Tabla14[[#This Row],[Personas Precorte]]</f>
        <v>0</v>
      </c>
      <c r="AN469" s="308">
        <f>Tabla14[[#This Row],[Valor Precorte Pesona Precorte]]*Tabla14[[#This Row],[Perzonas Precorte]]</f>
        <v>0</v>
      </c>
      <c r="AO469" s="287">
        <f>Tabla14[[#This Row],[Cajas por Personas2]]</f>
        <v>10.25</v>
      </c>
      <c r="AP469" s="288">
        <f>Tabla14[[#This Row],[Valor Embarque Pesona]]</f>
        <v>18450</v>
      </c>
      <c r="AQ469" s="295">
        <f>Tabla14[[#This Row],[Personas Precorte2]]</f>
        <v>4</v>
      </c>
      <c r="AR469" s="296">
        <f>Tabla14[[#This Row],[Valor Embarque Pesona3]]*Tabla14[[#This Row],[Perzona Primera]]</f>
        <v>73800</v>
      </c>
      <c r="AS469" s="287">
        <f>Tabla14[[#This Row],[Columna2]]</f>
        <v>0</v>
      </c>
      <c r="AT469" s="288">
        <f>Tabla14[[#This Row],[Columna1]]</f>
        <v>0</v>
      </c>
      <c r="AU469" s="302">
        <f>Tabla14[[#This Row],[Personas Intervienen]]</f>
        <v>0</v>
      </c>
      <c r="AV469" s="297">
        <f>Tabla14[[#This Row],[Valor Embarque Pesona5]]*Tabla14[[#This Row],[Presonas Segunda]]</f>
        <v>0</v>
      </c>
      <c r="AW469" s="287">
        <f>Tabla14[[#This Row],[Bolsas Por Personas]]</f>
        <v>4.9000000000000004</v>
      </c>
      <c r="AX469" s="288">
        <f>Tabla14[[#This Row],[Valor bolsas Pesona]]</f>
        <v>2817.5</v>
      </c>
      <c r="AY469" s="309">
        <f>Tabla14[[#This Row],[Personas13]]</f>
        <v>4</v>
      </c>
      <c r="AZ469" s="310">
        <f>Tabla14[[#This Row],[Valor bolsas Pesona2]]*Tabla14[[#This Row],[Personas Rechazo]]</f>
        <v>11270</v>
      </c>
      <c r="BA469" s="311">
        <f>+Tabla14[[#This Row],[Total Valor Segunda]]+Tabla14[[#This Row],[Total Valor Primera]]+Tabla14[[#This Row],[Total Valor Precorte]]</f>
        <v>73800</v>
      </c>
      <c r="BB469" s="292">
        <f>Tabla14[[#This Row],[Valor bolsas Pesona2]]+Tabla14[[#This Row],[Valor Embarque Pesona3]]</f>
        <v>21267.5</v>
      </c>
      <c r="BC469" s="332">
        <v>30000</v>
      </c>
      <c r="BD469" s="292">
        <f>Tabla14[[#This Row],[VALOR GANADO]]-Tabla14[[#This Row],[REAJUSTADO]]</f>
        <v>-8732.5</v>
      </c>
      <c r="BE469" s="250">
        <f>Tabla14[[#This Row],[CUANTO SE REAJUSTA]]*Tabla14[[#This Row],[Personas Rechazo]]</f>
        <v>-34930</v>
      </c>
      <c r="BF469" s="250">
        <f>Tabla14[[#This Row],[REAJUSTADO]]/25000</f>
        <v>1.2</v>
      </c>
      <c r="BG469" s="302">
        <f>Tabla14[[#This Row],[REAJUSTADO]]*Tabla14[[#This Row],[Personas Rechazo]]</f>
        <v>120000</v>
      </c>
      <c r="BH469" s="292" t="str">
        <f>Tabla14[[#This Row],[Finca]]</f>
        <v>San Pedro</v>
      </c>
      <c r="BJ469" s="332">
        <f>Tabla14[[#This Row],[Numero de Ocacionales]]*Tabla14[[#This Row],[REAJUSTADO]]</f>
        <v>0</v>
      </c>
      <c r="BK469" s="332"/>
      <c r="BL469" s="332"/>
      <c r="BM469" s="332">
        <f>+Tabla14[[#This Row],[CUANTO SE REAJUSTA]]*3</f>
        <v>-26197.5</v>
      </c>
    </row>
    <row r="470" spans="3:65" x14ac:dyDescent="0.25">
      <c r="C470" s="515">
        <v>45212</v>
      </c>
      <c r="D470" s="549">
        <f>YEAR(Tabla14[[#This Row],[Fecha]])</f>
        <v>2023</v>
      </c>
      <c r="E470" s="516">
        <f>IF(Tabla14[[#This Row],[Fecha]]&gt;0,_xlfn.ISOWEEKNUM(Tabla14[[#This Row],[Fecha]]),0)</f>
        <v>41</v>
      </c>
      <c r="F470" s="283">
        <v>127</v>
      </c>
      <c r="G470" s="275" t="s">
        <v>251</v>
      </c>
      <c r="H470" s="325" t="str">
        <f>_xlfn.XLOOKUP(Tabla14[[#This Row],[Codigo Finca]],Tabla4[Codigo Finca],Tabla4[Nombre Finca],"")</f>
        <v>Pedrito</v>
      </c>
      <c r="I470" s="277">
        <f>_xlfn.XLOOKUP(Tabla14[[#This Row],[Codigo Finca]],Tabla4[Codigo Finca],Tabla4[Precio Caja],0)</f>
        <v>1800</v>
      </c>
      <c r="J470" s="277">
        <f>_xlfn.XLOOKUP(Tabla14[[#This Row],[Codigo Finca]],Tabla4[Codigo Finca],Tabla4[Precio Caja Segunda],0)</f>
        <v>1150</v>
      </c>
      <c r="K470" s="277">
        <f>_xlfn.XLOOKUP(Tabla14[[#This Row],[Codigo Finca]],Tabla4[Codigo Finca],Tabla4[Precio Rechazo],0)</f>
        <v>575</v>
      </c>
      <c r="L470" s="277">
        <f t="shared" si="452"/>
        <v>836</v>
      </c>
      <c r="M470" s="278">
        <f t="shared" si="453"/>
        <v>6.5826771653543306</v>
      </c>
      <c r="N470" s="283"/>
      <c r="O470" s="279"/>
      <c r="P470" s="280">
        <f t="shared" si="454"/>
        <v>0</v>
      </c>
      <c r="Q470" s="281">
        <f t="shared" si="455"/>
        <v>0</v>
      </c>
      <c r="R470" s="282">
        <f t="shared" si="456"/>
        <v>0</v>
      </c>
      <c r="S470" s="283">
        <v>836</v>
      </c>
      <c r="T470" s="275">
        <v>14</v>
      </c>
      <c r="U470" s="280">
        <f t="shared" si="457"/>
        <v>127</v>
      </c>
      <c r="V470" s="281">
        <f t="shared" si="458"/>
        <v>9.0714285714285712</v>
      </c>
      <c r="W470" s="282">
        <f t="shared" si="459"/>
        <v>16328.571428571429</v>
      </c>
      <c r="X470" s="283"/>
      <c r="Y470" s="275"/>
      <c r="Z470" s="280">
        <f>Tabla14[[#This Row],[Cajas Segunda]]</f>
        <v>0</v>
      </c>
      <c r="AA470" s="281">
        <f t="shared" si="460"/>
        <v>0</v>
      </c>
      <c r="AB470" s="284">
        <f t="shared" si="461"/>
        <v>0</v>
      </c>
      <c r="AC470" s="285"/>
      <c r="AD470" s="286">
        <v>3168</v>
      </c>
      <c r="AE470" s="286"/>
      <c r="AF470" s="286"/>
      <c r="AG470" s="286"/>
      <c r="AH470" s="280">
        <f t="shared" si="462"/>
        <v>126.72</v>
      </c>
      <c r="AI470" s="281">
        <f t="shared" si="463"/>
        <v>0</v>
      </c>
      <c r="AJ470" s="282">
        <f t="shared" si="464"/>
        <v>0</v>
      </c>
      <c r="AK470" s="287">
        <f>Tabla14[[#This Row],[Cajas por Personas]]</f>
        <v>0</v>
      </c>
      <c r="AL470" s="288">
        <f>Tabla14[[#This Row],[Valor Precorte Pesona]]</f>
        <v>0</v>
      </c>
      <c r="AM470" s="294">
        <f>Tabla14[[#This Row],[Personas Precorte]]</f>
        <v>0</v>
      </c>
      <c r="AN470" s="308">
        <f>Tabla14[[#This Row],[Valor Precorte Pesona Precorte]]*Tabla14[[#This Row],[Perzonas Precorte]]</f>
        <v>0</v>
      </c>
      <c r="AO470" s="287">
        <f>Tabla14[[#This Row],[Cajas por Personas2]]</f>
        <v>9.0714285714285712</v>
      </c>
      <c r="AP470" s="288">
        <f>Tabla14[[#This Row],[Valor Embarque Pesona]]</f>
        <v>16328.571428571429</v>
      </c>
      <c r="AQ470" s="295">
        <f>Tabla14[[#This Row],[Personas Precorte2]]</f>
        <v>14</v>
      </c>
      <c r="AR470" s="296">
        <f>Tabla14[[#This Row],[Valor Embarque Pesona3]]*Tabla14[[#This Row],[Perzona Primera]]</f>
        <v>228600</v>
      </c>
      <c r="AS470" s="287">
        <f>Tabla14[[#This Row],[Columna2]]</f>
        <v>0</v>
      </c>
      <c r="AT470" s="288">
        <f>Tabla14[[#This Row],[Columna1]]</f>
        <v>0</v>
      </c>
      <c r="AU470" s="302">
        <f>Tabla14[[#This Row],[Personas Intervienen]]</f>
        <v>0</v>
      </c>
      <c r="AV470" s="297">
        <f>Tabla14[[#This Row],[Valor Embarque Pesona5]]*Tabla14[[#This Row],[Presonas Segunda]]</f>
        <v>0</v>
      </c>
      <c r="AW470" s="287">
        <f>Tabla14[[#This Row],[Bolsas Por Personas]]</f>
        <v>0</v>
      </c>
      <c r="AX470" s="288">
        <f>Tabla14[[#This Row],[Valor bolsas Pesona]]</f>
        <v>0</v>
      </c>
      <c r="AY470" s="309">
        <f>Tabla14[[#This Row],[Personas13]]</f>
        <v>0</v>
      </c>
      <c r="AZ470" s="310">
        <f>Tabla14[[#This Row],[Valor bolsas Pesona2]]*Tabla14[[#This Row],[Personas Rechazo]]</f>
        <v>0</v>
      </c>
      <c r="BA470" s="311">
        <f>+Tabla14[[#This Row],[Total Valor Segunda]]+Tabla14[[#This Row],[Total Valor Primera]]+Tabla14[[#This Row],[Total Valor Precorte]]</f>
        <v>228600</v>
      </c>
      <c r="BB470" s="292">
        <f>Tabla14[[#This Row],[Valor bolsas Pesona2]]+Tabla14[[#This Row],[Valor Embarque Pesona3]]</f>
        <v>16328.571428571429</v>
      </c>
      <c r="BD470" s="292">
        <f>Tabla14[[#This Row],[VALOR GANADO]]-Tabla14[[#This Row],[REAJUSTADO]]</f>
        <v>16328.571428571429</v>
      </c>
      <c r="BE470" s="250">
        <f>Tabla14[[#This Row],[CUANTO SE REAJUSTA]]*Tabla14[[#This Row],[Personas Rechazo]]</f>
        <v>0</v>
      </c>
      <c r="BF470" s="250">
        <f>Tabla14[[#This Row],[REAJUSTADO]]/25000</f>
        <v>0</v>
      </c>
      <c r="BG470" s="302">
        <f>Tabla14[[#This Row],[REAJUSTADO]]*Tabla14[[#This Row],[Personas Rechazo]]</f>
        <v>0</v>
      </c>
      <c r="BH470" s="292" t="str">
        <f>Tabla14[[#This Row],[Finca]]</f>
        <v>Pedrito</v>
      </c>
      <c r="BJ470" s="332">
        <f>Tabla14[[#This Row],[Numero de Ocacionales]]*Tabla14[[#This Row],[REAJUSTADO]]</f>
        <v>0</v>
      </c>
      <c r="BK470" s="332"/>
      <c r="BL470" s="332"/>
      <c r="BM470" s="332">
        <f>+Tabla14[[#This Row],[CUANTO SE REAJUSTA]]*3</f>
        <v>48985.71428571429</v>
      </c>
    </row>
    <row r="471" spans="3:65" x14ac:dyDescent="0.25">
      <c r="C471" s="515">
        <v>45212</v>
      </c>
      <c r="D471" s="549">
        <f>YEAR(Tabla14[[#This Row],[Fecha]])</f>
        <v>2023</v>
      </c>
      <c r="E471" s="516">
        <f>IF(Tabla14[[#This Row],[Fecha]]&gt;0,_xlfn.ISOWEEKNUM(Tabla14[[#This Row],[Fecha]]),0)</f>
        <v>41</v>
      </c>
      <c r="F471" s="283">
        <v>16</v>
      </c>
      <c r="G471" s="275" t="s">
        <v>248</v>
      </c>
      <c r="H471" s="325" t="str">
        <f>_xlfn.XLOOKUP(Tabla14[[#This Row],[Codigo Finca]],Tabla4[Codigo Finca],Tabla4[Nombre Finca],"")</f>
        <v>Damaquiel</v>
      </c>
      <c r="I471" s="277">
        <f>_xlfn.XLOOKUP(Tabla14[[#This Row],[Codigo Finca]],Tabla4[Codigo Finca],Tabla4[Precio Caja],0)</f>
        <v>1800</v>
      </c>
      <c r="J471" s="277">
        <f>_xlfn.XLOOKUP(Tabla14[[#This Row],[Codigo Finca]],Tabla4[Codigo Finca],Tabla4[Precio Caja Segunda],0)</f>
        <v>1150</v>
      </c>
      <c r="K471" s="277">
        <f>_xlfn.XLOOKUP(Tabla14[[#This Row],[Codigo Finca]],Tabla4[Codigo Finca],Tabla4[Precio Rechazo],0)</f>
        <v>575</v>
      </c>
      <c r="L471" s="277">
        <f t="shared" si="452"/>
        <v>0</v>
      </c>
      <c r="M471" s="278">
        <f t="shared" si="453"/>
        <v>0</v>
      </c>
      <c r="N471" s="283"/>
      <c r="O471" s="279"/>
      <c r="P471" s="280">
        <f t="shared" si="454"/>
        <v>0</v>
      </c>
      <c r="Q471" s="281">
        <f t="shared" si="455"/>
        <v>0</v>
      </c>
      <c r="R471" s="282">
        <f t="shared" si="456"/>
        <v>0</v>
      </c>
      <c r="S471" s="283"/>
      <c r="T471" s="275">
        <v>6</v>
      </c>
      <c r="U471" s="280">
        <f t="shared" si="457"/>
        <v>16</v>
      </c>
      <c r="V471" s="281">
        <f t="shared" si="458"/>
        <v>2.6666666666666665</v>
      </c>
      <c r="W471" s="282">
        <f t="shared" si="459"/>
        <v>4800</v>
      </c>
      <c r="X471" s="283"/>
      <c r="Y471" s="275"/>
      <c r="Z471" s="280">
        <f>Tabla14[[#This Row],[Cajas Segunda]]</f>
        <v>0</v>
      </c>
      <c r="AA471" s="281">
        <f t="shared" si="460"/>
        <v>0</v>
      </c>
      <c r="AB471" s="284">
        <f t="shared" si="461"/>
        <v>0</v>
      </c>
      <c r="AC471" s="285"/>
      <c r="AD471" s="286">
        <v>850</v>
      </c>
      <c r="AE471" s="286"/>
      <c r="AF471" s="286"/>
      <c r="AG471" s="286">
        <v>6</v>
      </c>
      <c r="AH471" s="280">
        <f t="shared" si="462"/>
        <v>34</v>
      </c>
      <c r="AI471" s="281">
        <f t="shared" si="463"/>
        <v>5.666666666666667</v>
      </c>
      <c r="AJ471" s="282">
        <f t="shared" si="464"/>
        <v>3258.3333333333335</v>
      </c>
      <c r="AK471" s="287">
        <f>Tabla14[[#This Row],[Cajas por Personas]]</f>
        <v>0</v>
      </c>
      <c r="AL471" s="288">
        <f>Tabla14[[#This Row],[Valor Precorte Pesona]]</f>
        <v>0</v>
      </c>
      <c r="AM471" s="294">
        <f>Tabla14[[#This Row],[Personas Precorte]]</f>
        <v>0</v>
      </c>
      <c r="AN471" s="308">
        <f>Tabla14[[#This Row],[Valor Precorte Pesona Precorte]]*Tabla14[[#This Row],[Perzonas Precorte]]</f>
        <v>0</v>
      </c>
      <c r="AO471" s="287">
        <f>Tabla14[[#This Row],[Cajas por Personas2]]</f>
        <v>2.6666666666666665</v>
      </c>
      <c r="AP471" s="288">
        <f>Tabla14[[#This Row],[Valor Embarque Pesona]]</f>
        <v>4800</v>
      </c>
      <c r="AQ471" s="295">
        <f>Tabla14[[#This Row],[Personas Precorte2]]</f>
        <v>6</v>
      </c>
      <c r="AR471" s="296">
        <f>Tabla14[[#This Row],[Valor Embarque Pesona3]]*Tabla14[[#This Row],[Perzona Primera]]</f>
        <v>28800</v>
      </c>
      <c r="AS471" s="287">
        <f>Tabla14[[#This Row],[Columna2]]</f>
        <v>0</v>
      </c>
      <c r="AT471" s="288">
        <f>Tabla14[[#This Row],[Columna1]]</f>
        <v>0</v>
      </c>
      <c r="AU471" s="302">
        <f>Tabla14[[#This Row],[Personas Intervienen]]</f>
        <v>0</v>
      </c>
      <c r="AV471" s="297">
        <f>Tabla14[[#This Row],[Valor Embarque Pesona5]]*Tabla14[[#This Row],[Presonas Segunda]]</f>
        <v>0</v>
      </c>
      <c r="AW471" s="287">
        <f>Tabla14[[#This Row],[Bolsas Por Personas]]</f>
        <v>5.666666666666667</v>
      </c>
      <c r="AX471" s="288">
        <f>Tabla14[[#This Row],[Valor bolsas Pesona]]</f>
        <v>3258.3333333333335</v>
      </c>
      <c r="AY471" s="309">
        <f>Tabla14[[#This Row],[Personas13]]</f>
        <v>6</v>
      </c>
      <c r="AZ471" s="310">
        <f>Tabla14[[#This Row],[Valor bolsas Pesona2]]*Tabla14[[#This Row],[Personas Rechazo]]</f>
        <v>19550</v>
      </c>
      <c r="BA471" s="311">
        <f>+Tabla14[[#This Row],[Total Valor Segunda]]+Tabla14[[#This Row],[Total Valor Primera]]+Tabla14[[#This Row],[Total Valor Precorte]]</f>
        <v>28800</v>
      </c>
      <c r="BB471" s="292">
        <f>Tabla14[[#This Row],[Valor bolsas Pesona2]]+Tabla14[[#This Row],[Valor Embarque Pesona3]]</f>
        <v>8058.3333333333339</v>
      </c>
      <c r="BC471" s="332">
        <v>30000</v>
      </c>
      <c r="BD471" s="292">
        <f>Tabla14[[#This Row],[VALOR GANADO]]-Tabla14[[#This Row],[REAJUSTADO]]</f>
        <v>-21941.666666666664</v>
      </c>
      <c r="BE471" s="250">
        <f>Tabla14[[#This Row],[CUANTO SE REAJUSTA]]*Tabla14[[#This Row],[Personas Rechazo]]</f>
        <v>-131650</v>
      </c>
      <c r="BF471" s="250">
        <f>Tabla14[[#This Row],[REAJUSTADO]]/25000</f>
        <v>1.2</v>
      </c>
      <c r="BG471" s="302">
        <f>Tabla14[[#This Row],[REAJUSTADO]]*Tabla14[[#This Row],[Personas Rechazo]]</f>
        <v>180000</v>
      </c>
      <c r="BH471" s="292" t="str">
        <f>Tabla14[[#This Row],[Finca]]</f>
        <v>Damaquiel</v>
      </c>
      <c r="BJ471" s="332">
        <f>Tabla14[[#This Row],[Numero de Ocacionales]]*Tabla14[[#This Row],[REAJUSTADO]]</f>
        <v>0</v>
      </c>
      <c r="BK471" s="332"/>
      <c r="BL471" s="332"/>
      <c r="BM471" s="332">
        <f>+Tabla14[[#This Row],[CUANTO SE REAJUSTA]]*3</f>
        <v>-65825</v>
      </c>
    </row>
    <row r="472" spans="3:65" x14ac:dyDescent="0.25">
      <c r="C472" s="515">
        <v>45213</v>
      </c>
      <c r="D472" s="549">
        <f>YEAR(Tabla14[[#This Row],[Fecha]])</f>
        <v>2023</v>
      </c>
      <c r="E472" s="516">
        <f>IF(Tabla14[[#This Row],[Fecha]]&gt;0,_xlfn.ISOWEEKNUM(Tabla14[[#This Row],[Fecha]]),0)</f>
        <v>41</v>
      </c>
      <c r="F472" s="283">
        <v>44</v>
      </c>
      <c r="G472" s="275" t="s">
        <v>247</v>
      </c>
      <c r="H472" s="325" t="str">
        <f>_xlfn.XLOOKUP(Tabla14[[#This Row],[Codigo Finca]],Tabla4[Codigo Finca],Tabla4[Nombre Finca],"")</f>
        <v>Uveros</v>
      </c>
      <c r="I472" s="277">
        <f>_xlfn.XLOOKUP(Tabla14[[#This Row],[Codigo Finca]],Tabla4[Codigo Finca],Tabla4[Precio Caja],0)</f>
        <v>1800</v>
      </c>
      <c r="J472" s="277">
        <f>_xlfn.XLOOKUP(Tabla14[[#This Row],[Codigo Finca]],Tabla4[Codigo Finca],Tabla4[Precio Caja Segunda],0)</f>
        <v>1150</v>
      </c>
      <c r="K472" s="277">
        <f>_xlfn.XLOOKUP(Tabla14[[#This Row],[Codigo Finca]],Tabla4[Codigo Finca],Tabla4[Precio Rechazo],0)</f>
        <v>575</v>
      </c>
      <c r="L472" s="277">
        <f t="shared" si="452"/>
        <v>0</v>
      </c>
      <c r="M472" s="278">
        <f t="shared" si="453"/>
        <v>0</v>
      </c>
      <c r="N472" s="283"/>
      <c r="O472" s="279"/>
      <c r="P472" s="280">
        <f t="shared" si="454"/>
        <v>0</v>
      </c>
      <c r="Q472" s="281">
        <f t="shared" si="455"/>
        <v>0</v>
      </c>
      <c r="R472" s="282">
        <f t="shared" si="456"/>
        <v>0</v>
      </c>
      <c r="S472" s="283"/>
      <c r="T472" s="275">
        <v>3</v>
      </c>
      <c r="U472" s="280">
        <f t="shared" si="457"/>
        <v>44</v>
      </c>
      <c r="V472" s="281">
        <f t="shared" si="458"/>
        <v>14.666666666666666</v>
      </c>
      <c r="W472" s="282">
        <f t="shared" si="459"/>
        <v>26400</v>
      </c>
      <c r="X472" s="283"/>
      <c r="Y472" s="275"/>
      <c r="Z472" s="280">
        <f>Tabla14[[#This Row],[Cajas Segunda]]</f>
        <v>0</v>
      </c>
      <c r="AA472" s="281">
        <f t="shared" si="460"/>
        <v>0</v>
      </c>
      <c r="AB472" s="284">
        <f t="shared" si="461"/>
        <v>0</v>
      </c>
      <c r="AC472" s="285"/>
      <c r="AD472" s="286">
        <v>444</v>
      </c>
      <c r="AE472" s="286"/>
      <c r="AF472" s="286"/>
      <c r="AG472" s="286">
        <v>3</v>
      </c>
      <c r="AH472" s="280">
        <f t="shared" si="462"/>
        <v>17.760000000000002</v>
      </c>
      <c r="AI472" s="281">
        <f t="shared" si="463"/>
        <v>5.9200000000000008</v>
      </c>
      <c r="AJ472" s="282">
        <f t="shared" si="464"/>
        <v>3404.0000000000005</v>
      </c>
      <c r="AK472" s="287">
        <f>Tabla14[[#This Row],[Cajas por Personas]]</f>
        <v>0</v>
      </c>
      <c r="AL472" s="288">
        <f>Tabla14[[#This Row],[Valor Precorte Pesona]]</f>
        <v>0</v>
      </c>
      <c r="AM472" s="294">
        <f>Tabla14[[#This Row],[Personas Precorte]]</f>
        <v>0</v>
      </c>
      <c r="AN472" s="308">
        <f>Tabla14[[#This Row],[Valor Precorte Pesona Precorte]]*Tabla14[[#This Row],[Perzonas Precorte]]</f>
        <v>0</v>
      </c>
      <c r="AO472" s="287">
        <f>Tabla14[[#This Row],[Cajas por Personas2]]</f>
        <v>14.666666666666666</v>
      </c>
      <c r="AP472" s="288">
        <f>Tabla14[[#This Row],[Valor Embarque Pesona]]</f>
        <v>26400</v>
      </c>
      <c r="AQ472" s="295">
        <f>Tabla14[[#This Row],[Personas Precorte2]]</f>
        <v>3</v>
      </c>
      <c r="AR472" s="296">
        <f>Tabla14[[#This Row],[Valor Embarque Pesona3]]*Tabla14[[#This Row],[Perzona Primera]]</f>
        <v>79200</v>
      </c>
      <c r="AS472" s="287">
        <f>Tabla14[[#This Row],[Columna2]]</f>
        <v>0</v>
      </c>
      <c r="AT472" s="288">
        <f>Tabla14[[#This Row],[Columna1]]</f>
        <v>0</v>
      </c>
      <c r="AU472" s="302">
        <f>Tabla14[[#This Row],[Personas Intervienen]]</f>
        <v>0</v>
      </c>
      <c r="AV472" s="297">
        <f>Tabla14[[#This Row],[Valor Embarque Pesona5]]*Tabla14[[#This Row],[Presonas Segunda]]</f>
        <v>0</v>
      </c>
      <c r="AW472" s="287">
        <f>Tabla14[[#This Row],[Bolsas Por Personas]]</f>
        <v>5.9200000000000008</v>
      </c>
      <c r="AX472" s="288">
        <f>Tabla14[[#This Row],[Valor bolsas Pesona]]</f>
        <v>3404.0000000000005</v>
      </c>
      <c r="AY472" s="309">
        <f>Tabla14[[#This Row],[Personas13]]</f>
        <v>3</v>
      </c>
      <c r="AZ472" s="310">
        <f>Tabla14[[#This Row],[Valor bolsas Pesona2]]*Tabla14[[#This Row],[Personas Rechazo]]</f>
        <v>10212.000000000002</v>
      </c>
      <c r="BA472" s="311">
        <f>+Tabla14[[#This Row],[Total Valor Segunda]]+Tabla14[[#This Row],[Total Valor Primera]]+Tabla14[[#This Row],[Total Valor Precorte]]</f>
        <v>79200</v>
      </c>
      <c r="BB472" s="292">
        <f>Tabla14[[#This Row],[Valor bolsas Pesona2]]+Tabla14[[#This Row],[Valor Embarque Pesona3]]</f>
        <v>29804</v>
      </c>
      <c r="BC472" s="332">
        <v>30000</v>
      </c>
      <c r="BD472" s="292">
        <f>Tabla14[[#This Row],[VALOR GANADO]]-Tabla14[[#This Row],[REAJUSTADO]]</f>
        <v>-196</v>
      </c>
      <c r="BE472" s="250">
        <f>Tabla14[[#This Row],[CUANTO SE REAJUSTA]]*Tabla14[[#This Row],[Personas Rechazo]]</f>
        <v>-588</v>
      </c>
      <c r="BF472" s="250">
        <f>Tabla14[[#This Row],[REAJUSTADO]]/25000</f>
        <v>1.2</v>
      </c>
      <c r="BG472" s="302">
        <f>Tabla14[[#This Row],[REAJUSTADO]]*Tabla14[[#This Row],[Personas Rechazo]]</f>
        <v>90000</v>
      </c>
      <c r="BH472" s="292" t="str">
        <f>Tabla14[[#This Row],[Finca]]</f>
        <v>Uveros</v>
      </c>
      <c r="BJ472" s="332">
        <f>Tabla14[[#This Row],[Numero de Ocacionales]]*Tabla14[[#This Row],[REAJUSTADO]]</f>
        <v>0</v>
      </c>
      <c r="BK472" s="332"/>
      <c r="BL472" s="332"/>
      <c r="BM472" s="332">
        <f>+Tabla14[[#This Row],[CUANTO SE REAJUSTA]]*3</f>
        <v>-588</v>
      </c>
    </row>
    <row r="473" spans="3:65" x14ac:dyDescent="0.25">
      <c r="C473" s="515">
        <v>45216</v>
      </c>
      <c r="D473" s="549">
        <f>YEAR(Tabla14[[#This Row],[Fecha]])</f>
        <v>2023</v>
      </c>
      <c r="E473" s="516">
        <f>IF(Tabla14[[#This Row],[Fecha]]&gt;0,_xlfn.ISOWEEKNUM(Tabla14[[#This Row],[Fecha]]),0)</f>
        <v>42</v>
      </c>
      <c r="F473" s="283">
        <v>428</v>
      </c>
      <c r="G473" s="275" t="s">
        <v>250</v>
      </c>
      <c r="H473" s="325" t="str">
        <f>_xlfn.XLOOKUP(Tabla14[[#This Row],[Codigo Finca]],Tabla4[Codigo Finca],Tabla4[Nombre Finca],"")</f>
        <v>San Pedro</v>
      </c>
      <c r="I473" s="277">
        <f>_xlfn.XLOOKUP(Tabla14[[#This Row],[Codigo Finca]],Tabla4[Codigo Finca],Tabla4[Precio Caja],0)</f>
        <v>1800</v>
      </c>
      <c r="J473" s="277">
        <f>_xlfn.XLOOKUP(Tabla14[[#This Row],[Codigo Finca]],Tabla4[Codigo Finca],Tabla4[Precio Caja Segunda],0)</f>
        <v>1150</v>
      </c>
      <c r="K473" s="277">
        <f>_xlfn.XLOOKUP(Tabla14[[#This Row],[Codigo Finca]],Tabla4[Codigo Finca],Tabla4[Precio Rechazo],0)</f>
        <v>575</v>
      </c>
      <c r="L473" s="277">
        <f t="shared" ref="L473:L480" si="465">S473+N473</f>
        <v>1215</v>
      </c>
      <c r="M473" s="278">
        <f t="shared" ref="M473:M480" si="466">IF(F473&gt;0,L473/F473,0)</f>
        <v>2.8387850467289719</v>
      </c>
      <c r="N473" s="283"/>
      <c r="O473" s="279"/>
      <c r="P473" s="280">
        <f t="shared" ref="P473:P480" si="467">IF(N473&gt;0,(N473/M473)/2,0)</f>
        <v>0</v>
      </c>
      <c r="Q473" s="281">
        <f t="shared" ref="Q473:Q480" si="468">IF(O473&gt;0,P473/O473,0)</f>
        <v>0</v>
      </c>
      <c r="R473" s="282">
        <f t="shared" ref="R473:R480" si="469">IF(I473&gt;0,Q473*I473,)</f>
        <v>0</v>
      </c>
      <c r="S473" s="283">
        <f>1383-168</f>
        <v>1215</v>
      </c>
      <c r="T473" s="275">
        <v>21</v>
      </c>
      <c r="U473" s="280">
        <f t="shared" ref="U473:U480" si="470">F473-P473</f>
        <v>428</v>
      </c>
      <c r="V473" s="281">
        <f t="shared" ref="V473:V480" si="471">IF(T473&gt;0,U473/T473,0)</f>
        <v>20.38095238095238</v>
      </c>
      <c r="W473" s="282">
        <f t="shared" ref="W473:W480" si="472">IF(T473&gt;0,(U473*I473)/T473,0)</f>
        <v>36685.714285714283</v>
      </c>
      <c r="X473" s="283"/>
      <c r="Y473" s="275"/>
      <c r="Z473" s="280">
        <f>Tabla14[[#This Row],[Cajas Segunda]]</f>
        <v>0</v>
      </c>
      <c r="AA473" s="281">
        <f t="shared" ref="AA473:AA480" si="473">IF(Y473&gt;0,Z473/Y473,0)</f>
        <v>0</v>
      </c>
      <c r="AB473" s="284">
        <f t="shared" ref="AB473:AB480" si="474">IF(Y473&gt;0,(Z473*J473)/Y473,0)</f>
        <v>0</v>
      </c>
      <c r="AC473" s="285"/>
      <c r="AD473" s="286">
        <v>1691.08</v>
      </c>
      <c r="AE473" s="286"/>
      <c r="AF473" s="286"/>
      <c r="AG473" s="286"/>
      <c r="AH473" s="280">
        <f t="shared" ref="AH473:AH480" si="475">IF(AND(AC473&gt;0,AE473=0,AF473=0,AD473=0),AC473,IF(AND(AC473=0,AE473&gt;0,AF473&gt;0,AD473=0),AE473*AF473/25,IF(AND(AC473=0,AE473=0,AF473=0,AD473&gt;0),AD473/25,0)))</f>
        <v>67.643199999999993</v>
      </c>
      <c r="AI473" s="281">
        <f t="shared" ref="AI473:AI480" si="476">IF(AG473&gt;0,AH473/AG473,0)</f>
        <v>0</v>
      </c>
      <c r="AJ473" s="282">
        <f t="shared" ref="AJ473:AJ480" si="477">AI473*K473</f>
        <v>0</v>
      </c>
      <c r="AK473" s="287">
        <f>Tabla14[[#This Row],[Cajas por Personas]]</f>
        <v>0</v>
      </c>
      <c r="AL473" s="288">
        <f>Tabla14[[#This Row],[Valor Precorte Pesona]]</f>
        <v>0</v>
      </c>
      <c r="AM473" s="294">
        <f>Tabla14[[#This Row],[Personas Precorte]]</f>
        <v>0</v>
      </c>
      <c r="AN473" s="308">
        <f>Tabla14[[#This Row],[Valor Precorte Pesona Precorte]]*Tabla14[[#This Row],[Perzonas Precorte]]</f>
        <v>0</v>
      </c>
      <c r="AO473" s="287">
        <f>Tabla14[[#This Row],[Cajas por Personas2]]</f>
        <v>20.38095238095238</v>
      </c>
      <c r="AP473" s="288">
        <f>Tabla14[[#This Row],[Valor Embarque Pesona]]</f>
        <v>36685.714285714283</v>
      </c>
      <c r="AQ473" s="295">
        <f>Tabla14[[#This Row],[Personas Precorte2]]</f>
        <v>21</v>
      </c>
      <c r="AR473" s="296">
        <f>Tabla14[[#This Row],[Valor Embarque Pesona3]]*Tabla14[[#This Row],[Perzona Primera]]</f>
        <v>770399.99999999988</v>
      </c>
      <c r="AS473" s="287">
        <f>Tabla14[[#This Row],[Columna2]]</f>
        <v>0</v>
      </c>
      <c r="AT473" s="288">
        <f>Tabla14[[#This Row],[Columna1]]</f>
        <v>0</v>
      </c>
      <c r="AU473" s="302">
        <f>Tabla14[[#This Row],[Personas Intervienen]]</f>
        <v>0</v>
      </c>
      <c r="AV473" s="297">
        <f>Tabla14[[#This Row],[Valor Embarque Pesona5]]*Tabla14[[#This Row],[Presonas Segunda]]</f>
        <v>0</v>
      </c>
      <c r="AW473" s="287">
        <f>Tabla14[[#This Row],[Bolsas Por Personas]]</f>
        <v>0</v>
      </c>
      <c r="AX473" s="288">
        <f>Tabla14[[#This Row],[Valor bolsas Pesona]]</f>
        <v>0</v>
      </c>
      <c r="AY473" s="309">
        <f>Tabla14[[#This Row],[Personas13]]</f>
        <v>0</v>
      </c>
      <c r="AZ473" s="310">
        <f>Tabla14[[#This Row],[Valor bolsas Pesona2]]*Tabla14[[#This Row],[Personas Rechazo]]</f>
        <v>0</v>
      </c>
      <c r="BA473" s="311">
        <f>+Tabla14[[#This Row],[Total Valor Segunda]]+Tabla14[[#This Row],[Total Valor Primera]]+Tabla14[[#This Row],[Total Valor Precorte]]</f>
        <v>770399.99999999988</v>
      </c>
      <c r="BB473" s="292">
        <f>Tabla14[[#This Row],[Valor bolsas Pesona2]]+Tabla14[[#This Row],[Valor Embarque Pesona3]]</f>
        <v>36685.714285714283</v>
      </c>
      <c r="BC473" s="332">
        <v>41700</v>
      </c>
      <c r="BD473" s="292">
        <f>Tabla14[[#This Row],[VALOR GANADO]]-Tabla14[[#This Row],[REAJUSTADO]]</f>
        <v>-5014.2857142857174</v>
      </c>
      <c r="BE473" s="250">
        <f>Tabla14[[#This Row],[CUANTO SE REAJUSTA]]*Tabla14[[#This Row],[Personas Rechazo]]</f>
        <v>0</v>
      </c>
      <c r="BF473" s="250">
        <f>Tabla14[[#This Row],[REAJUSTADO]]/25000</f>
        <v>1.6679999999999999</v>
      </c>
      <c r="BG473" s="302">
        <f>Tabla14[[#This Row],[REAJUSTADO]]*Tabla14[[#This Row],[Personas Rechazo]]</f>
        <v>0</v>
      </c>
      <c r="BH473" s="292" t="str">
        <f>Tabla14[[#This Row],[Finca]]</f>
        <v>San Pedro</v>
      </c>
      <c r="BJ473" s="332">
        <f>Tabla14[[#This Row],[Numero de Ocacionales]]*Tabla14[[#This Row],[REAJUSTADO]]</f>
        <v>0</v>
      </c>
      <c r="BK473" s="332"/>
      <c r="BL473" s="332"/>
      <c r="BM473" s="332">
        <f>+Tabla14[[#This Row],[CUANTO SE REAJUSTA]]*3</f>
        <v>-15042.857142857152</v>
      </c>
    </row>
    <row r="474" spans="3:65" x14ac:dyDescent="0.25">
      <c r="C474" s="515">
        <v>45216</v>
      </c>
      <c r="D474" s="549">
        <f>YEAR(Tabla14[[#This Row],[Fecha]])</f>
        <v>2023</v>
      </c>
      <c r="E474" s="516">
        <f>IF(Tabla14[[#This Row],[Fecha]]&gt;0,_xlfn.ISOWEEKNUM(Tabla14[[#This Row],[Fecha]]),0)</f>
        <v>42</v>
      </c>
      <c r="F474" s="283">
        <v>53</v>
      </c>
      <c r="G474" s="275" t="s">
        <v>249</v>
      </c>
      <c r="H474" s="325" t="str">
        <f>_xlfn.XLOOKUP(Tabla14[[#This Row],[Codigo Finca]],Tabla4[Codigo Finca],Tabla4[Nombre Finca],"")</f>
        <v>San Pedro</v>
      </c>
      <c r="I474" s="277">
        <f>_xlfn.XLOOKUP(Tabla14[[#This Row],[Codigo Finca]],Tabla4[Codigo Finca],Tabla4[Precio Caja],0)</f>
        <v>2000</v>
      </c>
      <c r="J474" s="277">
        <f>_xlfn.XLOOKUP(Tabla14[[#This Row],[Codigo Finca]],Tabla4[Codigo Finca],Tabla4[Precio Caja Segunda],0)</f>
        <v>1150</v>
      </c>
      <c r="K474" s="277">
        <f>_xlfn.XLOOKUP(Tabla14[[#This Row],[Codigo Finca]],Tabla4[Codigo Finca],Tabla4[Precio Rechazo],0)</f>
        <v>675</v>
      </c>
      <c r="L474" s="277">
        <f t="shared" si="465"/>
        <v>168</v>
      </c>
      <c r="M474" s="278">
        <f t="shared" si="466"/>
        <v>3.1698113207547172</v>
      </c>
      <c r="N474" s="283"/>
      <c r="O474" s="279"/>
      <c r="P474" s="280">
        <f t="shared" si="467"/>
        <v>0</v>
      </c>
      <c r="Q474" s="281">
        <f t="shared" si="468"/>
        <v>0</v>
      </c>
      <c r="R474" s="282">
        <f t="shared" si="469"/>
        <v>0</v>
      </c>
      <c r="S474" s="283">
        <v>168</v>
      </c>
      <c r="T474" s="275">
        <v>21</v>
      </c>
      <c r="U474" s="280">
        <f t="shared" si="470"/>
        <v>53</v>
      </c>
      <c r="V474" s="281">
        <f t="shared" si="471"/>
        <v>2.5238095238095237</v>
      </c>
      <c r="W474" s="282">
        <f t="shared" si="472"/>
        <v>5047.6190476190477</v>
      </c>
      <c r="X474" s="283"/>
      <c r="Y474" s="275"/>
      <c r="Z474" s="280">
        <f>Tabla14[[#This Row],[Cajas Segunda]]</f>
        <v>0</v>
      </c>
      <c r="AA474" s="281">
        <f t="shared" si="473"/>
        <v>0</v>
      </c>
      <c r="AB474" s="284">
        <f t="shared" si="474"/>
        <v>0</v>
      </c>
      <c r="AC474" s="285"/>
      <c r="AD474" s="286">
        <v>611.48</v>
      </c>
      <c r="AE474" s="286"/>
      <c r="AF474" s="286"/>
      <c r="AG474" s="286"/>
      <c r="AH474" s="280">
        <f t="shared" si="475"/>
        <v>24.459199999999999</v>
      </c>
      <c r="AI474" s="281">
        <f t="shared" si="476"/>
        <v>0</v>
      </c>
      <c r="AJ474" s="282">
        <f t="shared" si="477"/>
        <v>0</v>
      </c>
      <c r="AK474" s="287">
        <f>Tabla14[[#This Row],[Cajas por Personas]]</f>
        <v>0</v>
      </c>
      <c r="AL474" s="288">
        <f>Tabla14[[#This Row],[Valor Precorte Pesona]]</f>
        <v>0</v>
      </c>
      <c r="AM474" s="294">
        <f>Tabla14[[#This Row],[Personas Precorte]]</f>
        <v>0</v>
      </c>
      <c r="AN474" s="308">
        <f>Tabla14[[#This Row],[Valor Precorte Pesona Precorte]]*Tabla14[[#This Row],[Perzonas Precorte]]</f>
        <v>0</v>
      </c>
      <c r="AO474" s="287">
        <f>Tabla14[[#This Row],[Cajas por Personas2]]</f>
        <v>2.5238095238095237</v>
      </c>
      <c r="AP474" s="288">
        <f>Tabla14[[#This Row],[Valor Embarque Pesona]]</f>
        <v>5047.6190476190477</v>
      </c>
      <c r="AQ474" s="295">
        <f>Tabla14[[#This Row],[Personas Precorte2]]</f>
        <v>21</v>
      </c>
      <c r="AR474" s="296">
        <f>Tabla14[[#This Row],[Valor Embarque Pesona3]]*Tabla14[[#This Row],[Perzona Primera]]</f>
        <v>106000</v>
      </c>
      <c r="AS474" s="287">
        <f>Tabla14[[#This Row],[Columna2]]</f>
        <v>0</v>
      </c>
      <c r="AT474" s="288">
        <f>Tabla14[[#This Row],[Columna1]]</f>
        <v>0</v>
      </c>
      <c r="AU474" s="302">
        <f>Tabla14[[#This Row],[Personas Intervienen]]</f>
        <v>0</v>
      </c>
      <c r="AV474" s="297">
        <f>Tabla14[[#This Row],[Valor Embarque Pesona5]]*Tabla14[[#This Row],[Presonas Segunda]]</f>
        <v>0</v>
      </c>
      <c r="AW474" s="287">
        <f>Tabla14[[#This Row],[Bolsas Por Personas]]</f>
        <v>0</v>
      </c>
      <c r="AX474" s="288">
        <f>Tabla14[[#This Row],[Valor bolsas Pesona]]</f>
        <v>0</v>
      </c>
      <c r="AY474" s="309">
        <f>Tabla14[[#This Row],[Personas13]]</f>
        <v>0</v>
      </c>
      <c r="AZ474" s="310">
        <f>Tabla14[[#This Row],[Valor bolsas Pesona2]]*Tabla14[[#This Row],[Personas Rechazo]]</f>
        <v>0</v>
      </c>
      <c r="BA474" s="311">
        <f>+Tabla14[[#This Row],[Total Valor Segunda]]+Tabla14[[#This Row],[Total Valor Primera]]+Tabla14[[#This Row],[Total Valor Precorte]]</f>
        <v>106000</v>
      </c>
      <c r="BB474" s="292">
        <f>Tabla14[[#This Row],[Valor bolsas Pesona2]]+Tabla14[[#This Row],[Valor Embarque Pesona3]]</f>
        <v>5047.6190476190477</v>
      </c>
      <c r="BD474" s="292">
        <f>Tabla14[[#This Row],[VALOR GANADO]]-Tabla14[[#This Row],[REAJUSTADO]]</f>
        <v>5047.6190476190477</v>
      </c>
      <c r="BE474" s="250">
        <f>Tabla14[[#This Row],[CUANTO SE REAJUSTA]]*Tabla14[[#This Row],[Personas Rechazo]]</f>
        <v>0</v>
      </c>
      <c r="BF474" s="250">
        <f>Tabla14[[#This Row],[REAJUSTADO]]/25000</f>
        <v>0</v>
      </c>
      <c r="BG474" s="302">
        <f>Tabla14[[#This Row],[REAJUSTADO]]*Tabla14[[#This Row],[Personas Rechazo]]</f>
        <v>0</v>
      </c>
      <c r="BH474" s="292" t="str">
        <f>Tabla14[[#This Row],[Finca]]</f>
        <v>San Pedro</v>
      </c>
      <c r="BJ474" s="332">
        <f>Tabla14[[#This Row],[Numero de Ocacionales]]*Tabla14[[#This Row],[REAJUSTADO]]</f>
        <v>0</v>
      </c>
      <c r="BK474" s="332"/>
      <c r="BL474" s="332"/>
      <c r="BM474" s="332">
        <f>+Tabla14[[#This Row],[CUANTO SE REAJUSTA]]*3</f>
        <v>15142.857142857143</v>
      </c>
    </row>
    <row r="475" spans="3:65" x14ac:dyDescent="0.25">
      <c r="C475" s="515">
        <v>45216</v>
      </c>
      <c r="D475" s="549">
        <f>YEAR(Tabla14[[#This Row],[Fecha]])</f>
        <v>2023</v>
      </c>
      <c r="E475" s="516">
        <f>IF(Tabla14[[#This Row],[Fecha]]&gt;0,_xlfn.ISOWEEKNUM(Tabla14[[#This Row],[Fecha]]),0)</f>
        <v>42</v>
      </c>
      <c r="F475" s="283">
        <v>40</v>
      </c>
      <c r="G475" s="275" t="s">
        <v>247</v>
      </c>
      <c r="H475" s="325" t="str">
        <f>_xlfn.XLOOKUP(Tabla14[[#This Row],[Codigo Finca]],Tabla4[Codigo Finca],Tabla4[Nombre Finca],"")</f>
        <v>Uveros</v>
      </c>
      <c r="I475" s="277">
        <f>_xlfn.XLOOKUP(Tabla14[[#This Row],[Codigo Finca]],Tabla4[Codigo Finca],Tabla4[Precio Caja],0)</f>
        <v>1800</v>
      </c>
      <c r="J475" s="277">
        <f>_xlfn.XLOOKUP(Tabla14[[#This Row],[Codigo Finca]],Tabla4[Codigo Finca],Tabla4[Precio Caja Segunda],0)</f>
        <v>1150</v>
      </c>
      <c r="K475" s="277">
        <f>_xlfn.XLOOKUP(Tabla14[[#This Row],[Codigo Finca]],Tabla4[Codigo Finca],Tabla4[Precio Rechazo],0)</f>
        <v>575</v>
      </c>
      <c r="L475" s="277">
        <f t="shared" si="465"/>
        <v>0</v>
      </c>
      <c r="M475" s="278">
        <f t="shared" si="466"/>
        <v>0</v>
      </c>
      <c r="N475" s="283"/>
      <c r="O475" s="279"/>
      <c r="P475" s="280">
        <f t="shared" si="467"/>
        <v>0</v>
      </c>
      <c r="Q475" s="281">
        <f t="shared" si="468"/>
        <v>0</v>
      </c>
      <c r="R475" s="282">
        <f t="shared" si="469"/>
        <v>0</v>
      </c>
      <c r="S475" s="283"/>
      <c r="T475" s="275">
        <v>4</v>
      </c>
      <c r="U475" s="280">
        <f t="shared" si="470"/>
        <v>40</v>
      </c>
      <c r="V475" s="281">
        <f t="shared" si="471"/>
        <v>10</v>
      </c>
      <c r="W475" s="282">
        <f t="shared" si="472"/>
        <v>18000</v>
      </c>
      <c r="X475" s="283"/>
      <c r="Y475" s="275"/>
      <c r="Z475" s="280">
        <f>Tabla14[[#This Row],[Cajas Segunda]]</f>
        <v>0</v>
      </c>
      <c r="AA475" s="281">
        <f t="shared" si="473"/>
        <v>0</v>
      </c>
      <c r="AB475" s="284">
        <f t="shared" si="474"/>
        <v>0</v>
      </c>
      <c r="AC475" s="285"/>
      <c r="AD475" s="286"/>
      <c r="AE475" s="286"/>
      <c r="AF475" s="286"/>
      <c r="AG475" s="286"/>
      <c r="AH475" s="280">
        <f t="shared" si="475"/>
        <v>0</v>
      </c>
      <c r="AI475" s="281">
        <f t="shared" si="476"/>
        <v>0</v>
      </c>
      <c r="AJ475" s="282">
        <f t="shared" si="477"/>
        <v>0</v>
      </c>
      <c r="AK475" s="287">
        <f>Tabla14[[#This Row],[Cajas por Personas]]</f>
        <v>0</v>
      </c>
      <c r="AL475" s="288">
        <f>Tabla14[[#This Row],[Valor Precorte Pesona]]</f>
        <v>0</v>
      </c>
      <c r="AM475" s="294">
        <f>Tabla14[[#This Row],[Personas Precorte]]</f>
        <v>0</v>
      </c>
      <c r="AN475" s="308">
        <f>Tabla14[[#This Row],[Valor Precorte Pesona Precorte]]*Tabla14[[#This Row],[Perzonas Precorte]]</f>
        <v>0</v>
      </c>
      <c r="AO475" s="287">
        <f>Tabla14[[#This Row],[Cajas por Personas2]]</f>
        <v>10</v>
      </c>
      <c r="AP475" s="288">
        <f>Tabla14[[#This Row],[Valor Embarque Pesona]]</f>
        <v>18000</v>
      </c>
      <c r="AQ475" s="295">
        <f>Tabla14[[#This Row],[Personas Precorte2]]</f>
        <v>4</v>
      </c>
      <c r="AR475" s="296">
        <f>Tabla14[[#This Row],[Valor Embarque Pesona3]]*Tabla14[[#This Row],[Perzona Primera]]</f>
        <v>72000</v>
      </c>
      <c r="AS475" s="287">
        <f>Tabla14[[#This Row],[Columna2]]</f>
        <v>0</v>
      </c>
      <c r="AT475" s="288">
        <f>Tabla14[[#This Row],[Columna1]]</f>
        <v>0</v>
      </c>
      <c r="AU475" s="302">
        <f>Tabla14[[#This Row],[Personas Intervienen]]</f>
        <v>0</v>
      </c>
      <c r="AV475" s="297">
        <f>Tabla14[[#This Row],[Valor Embarque Pesona5]]*Tabla14[[#This Row],[Presonas Segunda]]</f>
        <v>0</v>
      </c>
      <c r="AW475" s="287">
        <f>Tabla14[[#This Row],[Bolsas Por Personas]]</f>
        <v>0</v>
      </c>
      <c r="AX475" s="288">
        <f>Tabla14[[#This Row],[Valor bolsas Pesona]]</f>
        <v>0</v>
      </c>
      <c r="AY475" s="309">
        <f>Tabla14[[#This Row],[Personas13]]</f>
        <v>0</v>
      </c>
      <c r="AZ475" s="310">
        <f>Tabla14[[#This Row],[Valor bolsas Pesona2]]*Tabla14[[#This Row],[Personas Rechazo]]</f>
        <v>0</v>
      </c>
      <c r="BA475" s="311">
        <f>+Tabla14[[#This Row],[Total Valor Segunda]]+Tabla14[[#This Row],[Total Valor Primera]]+Tabla14[[#This Row],[Total Valor Precorte]]</f>
        <v>72000</v>
      </c>
      <c r="BB475" s="292">
        <f>Tabla14[[#This Row],[Valor bolsas Pesona2]]+Tabla14[[#This Row],[Valor Embarque Pesona3]]</f>
        <v>18000</v>
      </c>
      <c r="BD475" s="292">
        <f>Tabla14[[#This Row],[VALOR GANADO]]-Tabla14[[#This Row],[REAJUSTADO]]</f>
        <v>18000</v>
      </c>
      <c r="BE475" s="250">
        <f>Tabla14[[#This Row],[CUANTO SE REAJUSTA]]*Tabla14[[#This Row],[Personas Rechazo]]</f>
        <v>0</v>
      </c>
      <c r="BF475" s="250">
        <f>Tabla14[[#This Row],[REAJUSTADO]]/25000</f>
        <v>0</v>
      </c>
      <c r="BG475" s="302">
        <f>Tabla14[[#This Row],[REAJUSTADO]]*Tabla14[[#This Row],[Personas Rechazo]]</f>
        <v>0</v>
      </c>
      <c r="BH475" s="292" t="str">
        <f>Tabla14[[#This Row],[Finca]]</f>
        <v>Uveros</v>
      </c>
      <c r="BJ475" s="332">
        <f>Tabla14[[#This Row],[Numero de Ocacionales]]*Tabla14[[#This Row],[REAJUSTADO]]</f>
        <v>0</v>
      </c>
      <c r="BK475" s="332"/>
      <c r="BL475" s="332"/>
      <c r="BM475" s="332">
        <f>+Tabla14[[#This Row],[CUANTO SE REAJUSTA]]*3</f>
        <v>54000</v>
      </c>
    </row>
    <row r="476" spans="3:65" x14ac:dyDescent="0.25">
      <c r="C476" s="515">
        <v>45217</v>
      </c>
      <c r="D476" s="549">
        <f>YEAR(Tabla14[[#This Row],[Fecha]])</f>
        <v>2023</v>
      </c>
      <c r="E476" s="516">
        <f>IF(Tabla14[[#This Row],[Fecha]]&gt;0,_xlfn.ISOWEEKNUM(Tabla14[[#This Row],[Fecha]]),0)</f>
        <v>42</v>
      </c>
      <c r="F476" s="283">
        <v>46</v>
      </c>
      <c r="G476" s="275" t="s">
        <v>251</v>
      </c>
      <c r="H476" s="325" t="str">
        <f>_xlfn.XLOOKUP(Tabla14[[#This Row],[Codigo Finca]],Tabla4[Codigo Finca],Tabla4[Nombre Finca],"")</f>
        <v>Pedrito</v>
      </c>
      <c r="I476" s="277">
        <f>_xlfn.XLOOKUP(Tabla14[[#This Row],[Codigo Finca]],Tabla4[Codigo Finca],Tabla4[Precio Caja],0)</f>
        <v>1800</v>
      </c>
      <c r="J476" s="277">
        <f>_xlfn.XLOOKUP(Tabla14[[#This Row],[Codigo Finca]],Tabla4[Codigo Finca],Tabla4[Precio Caja Segunda],0)</f>
        <v>1150</v>
      </c>
      <c r="K476" s="277">
        <f>_xlfn.XLOOKUP(Tabla14[[#This Row],[Codigo Finca]],Tabla4[Codigo Finca],Tabla4[Precio Rechazo],0)</f>
        <v>575</v>
      </c>
      <c r="L476" s="277">
        <f t="shared" si="465"/>
        <v>522</v>
      </c>
      <c r="M476" s="278">
        <f t="shared" si="466"/>
        <v>11.347826086956522</v>
      </c>
      <c r="N476" s="283"/>
      <c r="O476" s="279"/>
      <c r="P476" s="280">
        <f t="shared" si="467"/>
        <v>0</v>
      </c>
      <c r="Q476" s="281">
        <f t="shared" si="468"/>
        <v>0</v>
      </c>
      <c r="R476" s="282">
        <f t="shared" si="469"/>
        <v>0</v>
      </c>
      <c r="S476" s="283">
        <v>522</v>
      </c>
      <c r="T476" s="275">
        <v>14</v>
      </c>
      <c r="U476" s="280">
        <f t="shared" si="470"/>
        <v>46</v>
      </c>
      <c r="V476" s="281">
        <f t="shared" si="471"/>
        <v>3.2857142857142856</v>
      </c>
      <c r="W476" s="282">
        <f t="shared" si="472"/>
        <v>5914.2857142857147</v>
      </c>
      <c r="X476" s="283"/>
      <c r="Y476" s="275"/>
      <c r="Z476" s="280">
        <f>Tabla14[[#This Row],[Cajas Segunda]]</f>
        <v>0</v>
      </c>
      <c r="AA476" s="281">
        <f t="shared" si="473"/>
        <v>0</v>
      </c>
      <c r="AB476" s="284">
        <f t="shared" si="474"/>
        <v>0</v>
      </c>
      <c r="AC476" s="285"/>
      <c r="AD476" s="286">
        <v>2556</v>
      </c>
      <c r="AE476" s="286"/>
      <c r="AF476" s="286"/>
      <c r="AG476" s="286">
        <v>14</v>
      </c>
      <c r="AH476" s="280">
        <f t="shared" si="475"/>
        <v>102.24</v>
      </c>
      <c r="AI476" s="281">
        <f t="shared" si="476"/>
        <v>7.3028571428571425</v>
      </c>
      <c r="AJ476" s="282">
        <f t="shared" si="477"/>
        <v>4199.1428571428569</v>
      </c>
      <c r="AK476" s="287">
        <f>Tabla14[[#This Row],[Cajas por Personas]]</f>
        <v>0</v>
      </c>
      <c r="AL476" s="288">
        <f>Tabla14[[#This Row],[Valor Precorte Pesona]]</f>
        <v>0</v>
      </c>
      <c r="AM476" s="294">
        <f>Tabla14[[#This Row],[Personas Precorte]]</f>
        <v>0</v>
      </c>
      <c r="AN476" s="308">
        <f>Tabla14[[#This Row],[Valor Precorte Pesona Precorte]]*Tabla14[[#This Row],[Perzonas Precorte]]</f>
        <v>0</v>
      </c>
      <c r="AO476" s="287">
        <f>Tabla14[[#This Row],[Cajas por Personas2]]</f>
        <v>3.2857142857142856</v>
      </c>
      <c r="AP476" s="288">
        <f>Tabla14[[#This Row],[Valor Embarque Pesona]]</f>
        <v>5914.2857142857147</v>
      </c>
      <c r="AQ476" s="295">
        <f>Tabla14[[#This Row],[Personas Precorte2]]</f>
        <v>14</v>
      </c>
      <c r="AR476" s="296">
        <f>Tabla14[[#This Row],[Valor Embarque Pesona3]]*Tabla14[[#This Row],[Perzona Primera]]</f>
        <v>82800</v>
      </c>
      <c r="AS476" s="287">
        <f>Tabla14[[#This Row],[Columna2]]</f>
        <v>0</v>
      </c>
      <c r="AT476" s="288">
        <f>Tabla14[[#This Row],[Columna1]]</f>
        <v>0</v>
      </c>
      <c r="AU476" s="302">
        <f>Tabla14[[#This Row],[Personas Intervienen]]</f>
        <v>0</v>
      </c>
      <c r="AV476" s="297">
        <f>Tabla14[[#This Row],[Valor Embarque Pesona5]]*Tabla14[[#This Row],[Presonas Segunda]]</f>
        <v>0</v>
      </c>
      <c r="AW476" s="287">
        <f>Tabla14[[#This Row],[Bolsas Por Personas]]</f>
        <v>7.3028571428571425</v>
      </c>
      <c r="AX476" s="288">
        <f>Tabla14[[#This Row],[Valor bolsas Pesona]]</f>
        <v>4199.1428571428569</v>
      </c>
      <c r="AY476" s="309">
        <f>Tabla14[[#This Row],[Personas13]]</f>
        <v>14</v>
      </c>
      <c r="AZ476" s="310">
        <f>Tabla14[[#This Row],[Valor bolsas Pesona2]]*Tabla14[[#This Row],[Personas Rechazo]]</f>
        <v>58788</v>
      </c>
      <c r="BA476" s="311">
        <f>+Tabla14[[#This Row],[Total Valor Segunda]]+Tabla14[[#This Row],[Total Valor Primera]]+Tabla14[[#This Row],[Total Valor Precorte]]</f>
        <v>82800</v>
      </c>
      <c r="BB476" s="292">
        <f>Tabla14[[#This Row],[Valor bolsas Pesona2]]+Tabla14[[#This Row],[Valor Embarque Pesona3]]</f>
        <v>10113.428571428572</v>
      </c>
      <c r="BC476" s="332">
        <v>30000</v>
      </c>
      <c r="BD476" s="292">
        <f>Tabla14[[#This Row],[VALOR GANADO]]-Tabla14[[#This Row],[REAJUSTADO]]</f>
        <v>-19886.571428571428</v>
      </c>
      <c r="BE476" s="250">
        <f>Tabla14[[#This Row],[CUANTO SE REAJUSTA]]*Tabla14[[#This Row],[Personas Rechazo]]</f>
        <v>-278412</v>
      </c>
      <c r="BF476" s="250">
        <f>Tabla14[[#This Row],[REAJUSTADO]]/25000</f>
        <v>1.2</v>
      </c>
      <c r="BG476" s="302">
        <f>Tabla14[[#This Row],[REAJUSTADO]]*Tabla14[[#This Row],[Personas Rechazo]]</f>
        <v>420000</v>
      </c>
      <c r="BH476" s="292" t="str">
        <f>Tabla14[[#This Row],[Finca]]</f>
        <v>Pedrito</v>
      </c>
      <c r="BJ476" s="332">
        <f>Tabla14[[#This Row],[Numero de Ocacionales]]*Tabla14[[#This Row],[REAJUSTADO]]</f>
        <v>0</v>
      </c>
      <c r="BK476" s="332"/>
      <c r="BL476" s="332"/>
      <c r="BM476" s="332">
        <f>+Tabla14[[#This Row],[CUANTO SE REAJUSTA]]*3</f>
        <v>-59659.714285714283</v>
      </c>
    </row>
    <row r="477" spans="3:65" x14ac:dyDescent="0.25">
      <c r="C477" s="515">
        <v>45217</v>
      </c>
      <c r="D477" s="549">
        <f>YEAR(Tabla14[[#This Row],[Fecha]])</f>
        <v>2023</v>
      </c>
      <c r="E477" s="516">
        <f>IF(Tabla14[[#This Row],[Fecha]]&gt;0,_xlfn.ISOWEEKNUM(Tabla14[[#This Row],[Fecha]]),0)</f>
        <v>42</v>
      </c>
      <c r="F477" s="283">
        <v>27</v>
      </c>
      <c r="G477" s="275" t="s">
        <v>248</v>
      </c>
      <c r="H477" s="325" t="str">
        <f>_xlfn.XLOOKUP(Tabla14[[#This Row],[Codigo Finca]],Tabla4[Codigo Finca],Tabla4[Nombre Finca],"")</f>
        <v>Damaquiel</v>
      </c>
      <c r="I477" s="277">
        <f>_xlfn.XLOOKUP(Tabla14[[#This Row],[Codigo Finca]],Tabla4[Codigo Finca],Tabla4[Precio Caja],0)</f>
        <v>1800</v>
      </c>
      <c r="J477" s="277">
        <f>_xlfn.XLOOKUP(Tabla14[[#This Row],[Codigo Finca]],Tabla4[Codigo Finca],Tabla4[Precio Caja Segunda],0)</f>
        <v>1150</v>
      </c>
      <c r="K477" s="277">
        <f>_xlfn.XLOOKUP(Tabla14[[#This Row],[Codigo Finca]],Tabla4[Codigo Finca],Tabla4[Precio Rechazo],0)</f>
        <v>575</v>
      </c>
      <c r="L477" s="277">
        <f t="shared" si="465"/>
        <v>0</v>
      </c>
      <c r="M477" s="278">
        <f t="shared" si="466"/>
        <v>0</v>
      </c>
      <c r="N477" s="283"/>
      <c r="O477" s="279"/>
      <c r="P477" s="280">
        <f t="shared" si="467"/>
        <v>0</v>
      </c>
      <c r="Q477" s="281">
        <f t="shared" si="468"/>
        <v>0</v>
      </c>
      <c r="R477" s="282">
        <f t="shared" si="469"/>
        <v>0</v>
      </c>
      <c r="S477" s="283"/>
      <c r="T477" s="275">
        <v>5</v>
      </c>
      <c r="U477" s="280">
        <f t="shared" si="470"/>
        <v>27</v>
      </c>
      <c r="V477" s="281">
        <f t="shared" si="471"/>
        <v>5.4</v>
      </c>
      <c r="W477" s="282">
        <f t="shared" si="472"/>
        <v>9720</v>
      </c>
      <c r="X477" s="283"/>
      <c r="Y477" s="275"/>
      <c r="Z477" s="280">
        <f>Tabla14[[#This Row],[Cajas Segunda]]</f>
        <v>0</v>
      </c>
      <c r="AA477" s="281">
        <f t="shared" si="473"/>
        <v>0</v>
      </c>
      <c r="AB477" s="284">
        <f t="shared" si="474"/>
        <v>0</v>
      </c>
      <c r="AC477" s="285"/>
      <c r="AD477" s="286">
        <v>1188</v>
      </c>
      <c r="AE477" s="286"/>
      <c r="AF477" s="286"/>
      <c r="AG477" s="286"/>
      <c r="AH477" s="280">
        <f t="shared" si="475"/>
        <v>47.52</v>
      </c>
      <c r="AI477" s="281">
        <f t="shared" si="476"/>
        <v>0</v>
      </c>
      <c r="AJ477" s="282">
        <f t="shared" si="477"/>
        <v>0</v>
      </c>
      <c r="AK477" s="287">
        <f>Tabla14[[#This Row],[Cajas por Personas]]</f>
        <v>0</v>
      </c>
      <c r="AL477" s="288">
        <f>Tabla14[[#This Row],[Valor Precorte Pesona]]</f>
        <v>0</v>
      </c>
      <c r="AM477" s="294">
        <f>Tabla14[[#This Row],[Personas Precorte]]</f>
        <v>0</v>
      </c>
      <c r="AN477" s="308">
        <f>Tabla14[[#This Row],[Valor Precorte Pesona Precorte]]*Tabla14[[#This Row],[Perzonas Precorte]]</f>
        <v>0</v>
      </c>
      <c r="AO477" s="287">
        <f>Tabla14[[#This Row],[Cajas por Personas2]]</f>
        <v>5.4</v>
      </c>
      <c r="AP477" s="288">
        <f>Tabla14[[#This Row],[Valor Embarque Pesona]]</f>
        <v>9720</v>
      </c>
      <c r="AQ477" s="295">
        <f>Tabla14[[#This Row],[Personas Precorte2]]</f>
        <v>5</v>
      </c>
      <c r="AR477" s="296">
        <f>Tabla14[[#This Row],[Valor Embarque Pesona3]]*Tabla14[[#This Row],[Perzona Primera]]</f>
        <v>48600</v>
      </c>
      <c r="AS477" s="287">
        <f>Tabla14[[#This Row],[Columna2]]</f>
        <v>0</v>
      </c>
      <c r="AT477" s="288">
        <f>Tabla14[[#This Row],[Columna1]]</f>
        <v>0</v>
      </c>
      <c r="AU477" s="302">
        <f>Tabla14[[#This Row],[Personas Intervienen]]</f>
        <v>0</v>
      </c>
      <c r="AV477" s="297">
        <f>Tabla14[[#This Row],[Valor Embarque Pesona5]]*Tabla14[[#This Row],[Presonas Segunda]]</f>
        <v>0</v>
      </c>
      <c r="AW477" s="287">
        <f>Tabla14[[#This Row],[Bolsas Por Personas]]</f>
        <v>0</v>
      </c>
      <c r="AX477" s="288">
        <f>Tabla14[[#This Row],[Valor bolsas Pesona]]</f>
        <v>0</v>
      </c>
      <c r="AY477" s="309">
        <f>Tabla14[[#This Row],[Personas13]]</f>
        <v>0</v>
      </c>
      <c r="AZ477" s="310">
        <f>Tabla14[[#This Row],[Valor bolsas Pesona2]]*Tabla14[[#This Row],[Personas Rechazo]]</f>
        <v>0</v>
      </c>
      <c r="BA477" s="311">
        <f>+Tabla14[[#This Row],[Total Valor Segunda]]+Tabla14[[#This Row],[Total Valor Primera]]+Tabla14[[#This Row],[Total Valor Precorte]]</f>
        <v>48600</v>
      </c>
      <c r="BB477" s="292">
        <f>Tabla14[[#This Row],[Valor bolsas Pesona2]]+Tabla14[[#This Row],[Valor Embarque Pesona3]]</f>
        <v>9720</v>
      </c>
      <c r="BC477" s="332">
        <v>30000</v>
      </c>
      <c r="BD477" s="292">
        <f>Tabla14[[#This Row],[VALOR GANADO]]-Tabla14[[#This Row],[REAJUSTADO]]</f>
        <v>-20280</v>
      </c>
      <c r="BE477" s="250">
        <f>Tabla14[[#This Row],[CUANTO SE REAJUSTA]]*Tabla14[[#This Row],[Personas Rechazo]]</f>
        <v>0</v>
      </c>
      <c r="BF477" s="250">
        <f>Tabla14[[#This Row],[REAJUSTADO]]/25000</f>
        <v>1.2</v>
      </c>
      <c r="BG477" s="302">
        <f>Tabla14[[#This Row],[REAJUSTADO]]*Tabla14[[#This Row],[Personas Rechazo]]</f>
        <v>0</v>
      </c>
      <c r="BH477" s="292" t="str">
        <f>Tabla14[[#This Row],[Finca]]</f>
        <v>Damaquiel</v>
      </c>
      <c r="BJ477" s="332">
        <f>Tabla14[[#This Row],[Numero de Ocacionales]]*Tabla14[[#This Row],[REAJUSTADO]]</f>
        <v>0</v>
      </c>
      <c r="BK477" s="332"/>
      <c r="BL477" s="332"/>
      <c r="BM477" s="332">
        <f>+Tabla14[[#This Row],[CUANTO SE REAJUSTA]]*3</f>
        <v>-60840</v>
      </c>
    </row>
    <row r="478" spans="3:65" x14ac:dyDescent="0.25">
      <c r="C478" s="515">
        <v>45223</v>
      </c>
      <c r="D478" s="549">
        <f>YEAR(Tabla14[[#This Row],[Fecha]])</f>
        <v>2023</v>
      </c>
      <c r="E478" s="516">
        <f>IF(Tabla14[[#This Row],[Fecha]]&gt;0,_xlfn.ISOWEEKNUM(Tabla14[[#This Row],[Fecha]]),0)</f>
        <v>43</v>
      </c>
      <c r="F478" s="283">
        <f>200+110+135+76</f>
        <v>521</v>
      </c>
      <c r="G478" s="275" t="s">
        <v>250</v>
      </c>
      <c r="H478" s="325" t="str">
        <f>_xlfn.XLOOKUP(Tabla14[[#This Row],[Codigo Finca]],Tabla4[Codigo Finca],Tabla4[Nombre Finca],"")</f>
        <v>San Pedro</v>
      </c>
      <c r="I478" s="277">
        <f>_xlfn.XLOOKUP(Tabla14[[#This Row],[Codigo Finca]],Tabla4[Codigo Finca],Tabla4[Precio Caja],0)</f>
        <v>1800</v>
      </c>
      <c r="J478" s="277">
        <f>_xlfn.XLOOKUP(Tabla14[[#This Row],[Codigo Finca]],Tabla4[Codigo Finca],Tabla4[Precio Caja Segunda],0)</f>
        <v>1150</v>
      </c>
      <c r="K478" s="277">
        <f>_xlfn.XLOOKUP(Tabla14[[#This Row],[Codigo Finca]],Tabla4[Codigo Finca],Tabla4[Precio Rechazo],0)</f>
        <v>575</v>
      </c>
      <c r="L478" s="277">
        <f t="shared" si="465"/>
        <v>1615</v>
      </c>
      <c r="M478" s="278">
        <f t="shared" si="466"/>
        <v>3.0998080614203456</v>
      </c>
      <c r="N478" s="283"/>
      <c r="O478" s="279"/>
      <c r="P478" s="280">
        <f t="shared" si="467"/>
        <v>0</v>
      </c>
      <c r="Q478" s="281">
        <f t="shared" si="468"/>
        <v>0</v>
      </c>
      <c r="R478" s="282">
        <f t="shared" si="469"/>
        <v>0</v>
      </c>
      <c r="S478" s="283">
        <f>1762-S480</f>
        <v>1615</v>
      </c>
      <c r="T478" s="275">
        <v>21</v>
      </c>
      <c r="U478" s="280">
        <f t="shared" si="470"/>
        <v>521</v>
      </c>
      <c r="V478" s="281">
        <f t="shared" si="471"/>
        <v>24.80952380952381</v>
      </c>
      <c r="W478" s="282">
        <f t="shared" si="472"/>
        <v>44657.142857142855</v>
      </c>
      <c r="X478" s="283"/>
      <c r="Y478" s="275"/>
      <c r="Z478" s="280">
        <f>Tabla14[[#This Row],[Cajas Segunda]]</f>
        <v>0</v>
      </c>
      <c r="AA478" s="281">
        <f t="shared" si="473"/>
        <v>0</v>
      </c>
      <c r="AB478" s="284">
        <f t="shared" si="474"/>
        <v>0</v>
      </c>
      <c r="AC478" s="285"/>
      <c r="AD478" s="286">
        <v>1821</v>
      </c>
      <c r="AE478" s="286"/>
      <c r="AF478" s="286"/>
      <c r="AG478" s="286">
        <v>21</v>
      </c>
      <c r="AH478" s="280">
        <f t="shared" si="475"/>
        <v>72.84</v>
      </c>
      <c r="AI478" s="281">
        <f t="shared" si="476"/>
        <v>3.4685714285714289</v>
      </c>
      <c r="AJ478" s="282">
        <f t="shared" si="477"/>
        <v>1994.4285714285716</v>
      </c>
      <c r="AK478" s="287">
        <f>Tabla14[[#This Row],[Cajas por Personas]]</f>
        <v>0</v>
      </c>
      <c r="AL478" s="288">
        <f>Tabla14[[#This Row],[Valor Precorte Pesona]]</f>
        <v>0</v>
      </c>
      <c r="AM478" s="294">
        <f>Tabla14[[#This Row],[Personas Precorte]]</f>
        <v>0</v>
      </c>
      <c r="AN478" s="308">
        <f>Tabla14[[#This Row],[Valor Precorte Pesona Precorte]]*Tabla14[[#This Row],[Perzonas Precorte]]</f>
        <v>0</v>
      </c>
      <c r="AO478" s="287">
        <f>Tabla14[[#This Row],[Cajas por Personas2]]</f>
        <v>24.80952380952381</v>
      </c>
      <c r="AP478" s="288">
        <f>Tabla14[[#This Row],[Valor Embarque Pesona]]</f>
        <v>44657.142857142855</v>
      </c>
      <c r="AQ478" s="295">
        <f>Tabla14[[#This Row],[Personas Precorte2]]</f>
        <v>21</v>
      </c>
      <c r="AR478" s="296">
        <f>Tabla14[[#This Row],[Valor Embarque Pesona3]]*Tabla14[[#This Row],[Perzona Primera]]</f>
        <v>937800</v>
      </c>
      <c r="AS478" s="287">
        <f>Tabla14[[#This Row],[Columna2]]</f>
        <v>0</v>
      </c>
      <c r="AT478" s="288">
        <f>Tabla14[[#This Row],[Columna1]]</f>
        <v>0</v>
      </c>
      <c r="AU478" s="302">
        <f>Tabla14[[#This Row],[Personas Intervienen]]</f>
        <v>0</v>
      </c>
      <c r="AV478" s="297">
        <f>Tabla14[[#This Row],[Valor Embarque Pesona5]]*Tabla14[[#This Row],[Presonas Segunda]]</f>
        <v>0</v>
      </c>
      <c r="AW478" s="287">
        <f>Tabla14[[#This Row],[Bolsas Por Personas]]</f>
        <v>3.4685714285714289</v>
      </c>
      <c r="AX478" s="288">
        <f>Tabla14[[#This Row],[Valor bolsas Pesona]]</f>
        <v>1994.4285714285716</v>
      </c>
      <c r="AY478" s="309">
        <f>Tabla14[[#This Row],[Personas13]]</f>
        <v>21</v>
      </c>
      <c r="AZ478" s="310">
        <f>Tabla14[[#This Row],[Valor bolsas Pesona2]]*Tabla14[[#This Row],[Personas Rechazo]]</f>
        <v>41883</v>
      </c>
      <c r="BA478" s="311">
        <f>+Tabla14[[#This Row],[Total Valor Segunda]]+Tabla14[[#This Row],[Total Valor Primera]]+Tabla14[[#This Row],[Total Valor Precorte]]</f>
        <v>937800</v>
      </c>
      <c r="BB478" s="292">
        <f>Tabla14[[#This Row],[Valor bolsas Pesona2]]+Tabla14[[#This Row],[Valor Embarque Pesona3]]</f>
        <v>46651.571428571428</v>
      </c>
      <c r="BC478" s="332">
        <v>46650</v>
      </c>
      <c r="BD478" s="292">
        <f>Tabla14[[#This Row],[VALOR GANADO]]-Tabla14[[#This Row],[REAJUSTADO]]</f>
        <v>1.571428571427532</v>
      </c>
      <c r="BE478" s="250">
        <f>Tabla14[[#This Row],[CUANTO SE REAJUSTA]]*Tabla14[[#This Row],[Personas Rechazo]]</f>
        <v>32.999999999978172</v>
      </c>
      <c r="BF478" s="250">
        <f>Tabla14[[#This Row],[REAJUSTADO]]/25000</f>
        <v>1.8660000000000001</v>
      </c>
      <c r="BG478" s="302">
        <f>Tabla14[[#This Row],[REAJUSTADO]]*Tabla14[[#This Row],[Personas Rechazo]]</f>
        <v>979650</v>
      </c>
      <c r="BH478" s="292" t="str">
        <f>Tabla14[[#This Row],[Finca]]</f>
        <v>San Pedro</v>
      </c>
      <c r="BJ478" s="332">
        <f>Tabla14[[#This Row],[Numero de Ocacionales]]*Tabla14[[#This Row],[REAJUSTADO]]</f>
        <v>0</v>
      </c>
      <c r="BK478" s="332"/>
      <c r="BL478" s="332"/>
      <c r="BM478" s="332">
        <f>+Tabla14[[#This Row],[CUANTO SE REAJUSTA]]*3</f>
        <v>4.714285714282596</v>
      </c>
    </row>
    <row r="479" spans="3:65" x14ac:dyDescent="0.25">
      <c r="C479" s="515">
        <v>45224</v>
      </c>
      <c r="D479" s="549">
        <f>YEAR(Tabla14[[#This Row],[Fecha]])</f>
        <v>2023</v>
      </c>
      <c r="E479" s="516">
        <f>IF(Tabla14[[#This Row],[Fecha]]&gt;0,_xlfn.ISOWEEKNUM(Tabla14[[#This Row],[Fecha]]),0)</f>
        <v>43</v>
      </c>
      <c r="F479" s="283">
        <v>76</v>
      </c>
      <c r="G479" s="275" t="s">
        <v>250</v>
      </c>
      <c r="H479" s="325" t="str">
        <f>_xlfn.XLOOKUP(Tabla14[[#This Row],[Codigo Finca]],Tabla4[Codigo Finca],Tabla4[Nombre Finca],"")</f>
        <v>San Pedro</v>
      </c>
      <c r="I479" s="277">
        <f>_xlfn.XLOOKUP(Tabla14[[#This Row],[Codigo Finca]],Tabla4[Codigo Finca],Tabla4[Precio Caja],0)</f>
        <v>1800</v>
      </c>
      <c r="J479" s="277">
        <f>_xlfn.XLOOKUP(Tabla14[[#This Row],[Codigo Finca]],Tabla4[Codigo Finca],Tabla4[Precio Caja Segunda],0)</f>
        <v>1150</v>
      </c>
      <c r="K479" s="277">
        <f>_xlfn.XLOOKUP(Tabla14[[#This Row],[Codigo Finca]],Tabla4[Codigo Finca],Tabla4[Precio Rechazo],0)</f>
        <v>575</v>
      </c>
      <c r="L479" s="277">
        <f t="shared" si="465"/>
        <v>0</v>
      </c>
      <c r="M479" s="278">
        <f t="shared" si="466"/>
        <v>0</v>
      </c>
      <c r="N479" s="283"/>
      <c r="O479" s="279"/>
      <c r="P479" s="280">
        <f t="shared" si="467"/>
        <v>0</v>
      </c>
      <c r="Q479" s="281">
        <f t="shared" si="468"/>
        <v>0</v>
      </c>
      <c r="R479" s="282">
        <f t="shared" si="469"/>
        <v>0</v>
      </c>
      <c r="S479" s="283"/>
      <c r="T479" s="275">
        <v>5</v>
      </c>
      <c r="U479" s="280">
        <f t="shared" si="470"/>
        <v>76</v>
      </c>
      <c r="V479" s="281">
        <f t="shared" si="471"/>
        <v>15.2</v>
      </c>
      <c r="W479" s="282">
        <f t="shared" si="472"/>
        <v>27360</v>
      </c>
      <c r="X479" s="283"/>
      <c r="Y479" s="275"/>
      <c r="Z479" s="280">
        <f>Tabla14[[#This Row],[Cajas Segunda]]</f>
        <v>0</v>
      </c>
      <c r="AA479" s="281">
        <f t="shared" si="473"/>
        <v>0</v>
      </c>
      <c r="AB479" s="284">
        <f t="shared" si="474"/>
        <v>0</v>
      </c>
      <c r="AC479" s="285"/>
      <c r="AD479" s="286">
        <f>664.3-319.58</f>
        <v>344.71999999999997</v>
      </c>
      <c r="AE479" s="286"/>
      <c r="AF479" s="286"/>
      <c r="AG479" s="286">
        <v>21</v>
      </c>
      <c r="AH479" s="280">
        <f t="shared" si="475"/>
        <v>13.788799999999998</v>
      </c>
      <c r="AI479" s="281">
        <f t="shared" si="476"/>
        <v>0.65660952380952375</v>
      </c>
      <c r="AJ479" s="282">
        <f t="shared" si="477"/>
        <v>377.55047619047616</v>
      </c>
      <c r="AK479" s="287">
        <f>Tabla14[[#This Row],[Cajas por Personas]]</f>
        <v>0</v>
      </c>
      <c r="AL479" s="288">
        <f>Tabla14[[#This Row],[Valor Precorte Pesona]]</f>
        <v>0</v>
      </c>
      <c r="AM479" s="294">
        <f>Tabla14[[#This Row],[Personas Precorte]]</f>
        <v>0</v>
      </c>
      <c r="AN479" s="308">
        <f>Tabla14[[#This Row],[Valor Precorte Pesona Precorte]]*Tabla14[[#This Row],[Perzonas Precorte]]</f>
        <v>0</v>
      </c>
      <c r="AO479" s="287">
        <f>Tabla14[[#This Row],[Cajas por Personas2]]</f>
        <v>15.2</v>
      </c>
      <c r="AP479" s="288">
        <f>Tabla14[[#This Row],[Valor Embarque Pesona]]</f>
        <v>27360</v>
      </c>
      <c r="AQ479" s="295">
        <f>Tabla14[[#This Row],[Personas Precorte2]]</f>
        <v>5</v>
      </c>
      <c r="AR479" s="296">
        <f>Tabla14[[#This Row],[Valor Embarque Pesona3]]*Tabla14[[#This Row],[Perzona Primera]]</f>
        <v>136800</v>
      </c>
      <c r="AS479" s="287">
        <f>Tabla14[[#This Row],[Columna2]]</f>
        <v>0</v>
      </c>
      <c r="AT479" s="288">
        <f>Tabla14[[#This Row],[Columna1]]</f>
        <v>0</v>
      </c>
      <c r="AU479" s="302">
        <f>Tabla14[[#This Row],[Personas Intervienen]]</f>
        <v>0</v>
      </c>
      <c r="AV479" s="297">
        <f>Tabla14[[#This Row],[Valor Embarque Pesona5]]*Tabla14[[#This Row],[Presonas Segunda]]</f>
        <v>0</v>
      </c>
      <c r="AW479" s="287">
        <f>Tabla14[[#This Row],[Bolsas Por Personas]]</f>
        <v>0.65660952380952375</v>
      </c>
      <c r="AX479" s="288">
        <f>Tabla14[[#This Row],[Valor bolsas Pesona]]</f>
        <v>377.55047619047616</v>
      </c>
      <c r="AY479" s="309">
        <f>Tabla14[[#This Row],[Personas13]]</f>
        <v>21</v>
      </c>
      <c r="AZ479" s="310">
        <f>Tabla14[[#This Row],[Valor bolsas Pesona2]]*Tabla14[[#This Row],[Personas Rechazo]]</f>
        <v>7928.5599999999995</v>
      </c>
      <c r="BA479" s="311">
        <f>+Tabla14[[#This Row],[Total Valor Segunda]]+Tabla14[[#This Row],[Total Valor Primera]]+Tabla14[[#This Row],[Total Valor Precorte]]</f>
        <v>136800</v>
      </c>
      <c r="BB479" s="292">
        <f>Tabla14[[#This Row],[Valor bolsas Pesona2]]+Tabla14[[#This Row],[Valor Embarque Pesona3]]</f>
        <v>27737.550476190478</v>
      </c>
      <c r="BC479" s="332">
        <f>+Tabla14[[#This Row],[VALOR GANADO]]+BB480</f>
        <v>48263.282476190478</v>
      </c>
      <c r="BD479" s="292">
        <f>Tabla14[[#This Row],[VALOR GANADO]]-Tabla14[[#This Row],[REAJUSTADO]]</f>
        <v>-20525.732</v>
      </c>
      <c r="BE479" s="250">
        <f>Tabla14[[#This Row],[CUANTO SE REAJUSTA]]*Tabla14[[#This Row],[Personas Rechazo]]</f>
        <v>-431040.37199999997</v>
      </c>
      <c r="BF479" s="250">
        <f>Tabla14[[#This Row],[REAJUSTADO]]/25000</f>
        <v>1.9305312990476191</v>
      </c>
      <c r="BG479" s="302">
        <f>Tabla14[[#This Row],[REAJUSTADO]]*Tabla14[[#This Row],[Personas Rechazo]]</f>
        <v>1013528.932</v>
      </c>
      <c r="BH479" s="292" t="str">
        <f>Tabla14[[#This Row],[Finca]]</f>
        <v>San Pedro</v>
      </c>
      <c r="BJ479" s="332">
        <f>Tabla14[[#This Row],[Numero de Ocacionales]]*Tabla14[[#This Row],[REAJUSTADO]]</f>
        <v>0</v>
      </c>
      <c r="BK479" s="332"/>
      <c r="BL479" s="332"/>
      <c r="BM479" s="332">
        <f>+Tabla14[[#This Row],[CUANTO SE REAJUSTA]]*3</f>
        <v>-61577.195999999996</v>
      </c>
    </row>
    <row r="480" spans="3:65" x14ac:dyDescent="0.25">
      <c r="C480" s="515">
        <v>45224</v>
      </c>
      <c r="D480" s="549">
        <f>YEAR(Tabla14[[#This Row],[Fecha]])</f>
        <v>2023</v>
      </c>
      <c r="E480" s="516">
        <f>IF(Tabla14[[#This Row],[Fecha]]&gt;0,_xlfn.ISOWEEKNUM(Tabla14[[#This Row],[Fecha]]),0)</f>
        <v>43</v>
      </c>
      <c r="F480" s="283">
        <v>47</v>
      </c>
      <c r="G480" s="275" t="s">
        <v>249</v>
      </c>
      <c r="H480" s="325" t="str">
        <f>_xlfn.XLOOKUP(Tabla14[[#This Row],[Codigo Finca]],Tabla4[Codigo Finca],Tabla4[Nombre Finca],"")</f>
        <v>San Pedro</v>
      </c>
      <c r="I480" s="277">
        <f>_xlfn.XLOOKUP(Tabla14[[#This Row],[Codigo Finca]],Tabla4[Codigo Finca],Tabla4[Precio Caja],0)</f>
        <v>2000</v>
      </c>
      <c r="J480" s="277">
        <f>_xlfn.XLOOKUP(Tabla14[[#This Row],[Codigo Finca]],Tabla4[Codigo Finca],Tabla4[Precio Caja Segunda],0)</f>
        <v>1150</v>
      </c>
      <c r="K480" s="277">
        <f>_xlfn.XLOOKUP(Tabla14[[#This Row],[Codigo Finca]],Tabla4[Codigo Finca],Tabla4[Precio Rechazo],0)</f>
        <v>675</v>
      </c>
      <c r="L480" s="277">
        <f t="shared" si="465"/>
        <v>147</v>
      </c>
      <c r="M480" s="278">
        <f t="shared" si="466"/>
        <v>3.1276595744680851</v>
      </c>
      <c r="N480" s="283"/>
      <c r="O480" s="279"/>
      <c r="P480" s="280">
        <f t="shared" si="467"/>
        <v>0</v>
      </c>
      <c r="Q480" s="281">
        <f t="shared" si="468"/>
        <v>0</v>
      </c>
      <c r="R480" s="282">
        <f t="shared" si="469"/>
        <v>0</v>
      </c>
      <c r="S480" s="283">
        <v>147</v>
      </c>
      <c r="T480" s="275">
        <v>5</v>
      </c>
      <c r="U480" s="280">
        <f t="shared" si="470"/>
        <v>47</v>
      </c>
      <c r="V480" s="281">
        <f t="shared" si="471"/>
        <v>9.4</v>
      </c>
      <c r="W480" s="282">
        <f t="shared" si="472"/>
        <v>18800</v>
      </c>
      <c r="X480" s="283"/>
      <c r="Y480" s="275"/>
      <c r="Z480" s="280">
        <f>Tabla14[[#This Row],[Cajas Segunda]]</f>
        <v>0</v>
      </c>
      <c r="AA480" s="281">
        <f t="shared" si="473"/>
        <v>0</v>
      </c>
      <c r="AB480" s="284">
        <f t="shared" si="474"/>
        <v>0</v>
      </c>
      <c r="AC480" s="285"/>
      <c r="AD480" s="286">
        <f>20.08+92.4+94.32+112.78</f>
        <v>319.58000000000004</v>
      </c>
      <c r="AE480" s="286"/>
      <c r="AF480" s="286"/>
      <c r="AG480" s="286">
        <v>5</v>
      </c>
      <c r="AH480" s="280">
        <f t="shared" si="475"/>
        <v>12.783200000000001</v>
      </c>
      <c r="AI480" s="281">
        <f t="shared" si="476"/>
        <v>2.5566400000000002</v>
      </c>
      <c r="AJ480" s="282">
        <f t="shared" si="477"/>
        <v>1725.7320000000002</v>
      </c>
      <c r="AK480" s="287">
        <f>Tabla14[[#This Row],[Cajas por Personas]]</f>
        <v>0</v>
      </c>
      <c r="AL480" s="288">
        <f>Tabla14[[#This Row],[Valor Precorte Pesona]]</f>
        <v>0</v>
      </c>
      <c r="AM480" s="294">
        <f>Tabla14[[#This Row],[Personas Precorte]]</f>
        <v>0</v>
      </c>
      <c r="AN480" s="308">
        <f>Tabla14[[#This Row],[Valor Precorte Pesona Precorte]]*Tabla14[[#This Row],[Perzonas Precorte]]</f>
        <v>0</v>
      </c>
      <c r="AO480" s="287">
        <f>Tabla14[[#This Row],[Cajas por Personas2]]</f>
        <v>9.4</v>
      </c>
      <c r="AP480" s="288">
        <f>Tabla14[[#This Row],[Valor Embarque Pesona]]</f>
        <v>18800</v>
      </c>
      <c r="AQ480" s="295">
        <f>Tabla14[[#This Row],[Personas Precorte2]]</f>
        <v>5</v>
      </c>
      <c r="AR480" s="296">
        <f>Tabla14[[#This Row],[Valor Embarque Pesona3]]*Tabla14[[#This Row],[Perzona Primera]]</f>
        <v>94000</v>
      </c>
      <c r="AS480" s="287">
        <f>Tabla14[[#This Row],[Columna2]]</f>
        <v>0</v>
      </c>
      <c r="AT480" s="288">
        <f>Tabla14[[#This Row],[Columna1]]</f>
        <v>0</v>
      </c>
      <c r="AU480" s="302">
        <f>Tabla14[[#This Row],[Personas Intervienen]]</f>
        <v>0</v>
      </c>
      <c r="AV480" s="297">
        <f>Tabla14[[#This Row],[Valor Embarque Pesona5]]*Tabla14[[#This Row],[Presonas Segunda]]</f>
        <v>0</v>
      </c>
      <c r="AW480" s="287">
        <f>Tabla14[[#This Row],[Bolsas Por Personas]]</f>
        <v>2.5566400000000002</v>
      </c>
      <c r="AX480" s="288">
        <f>Tabla14[[#This Row],[Valor bolsas Pesona]]</f>
        <v>1725.7320000000002</v>
      </c>
      <c r="AY480" s="309">
        <f>Tabla14[[#This Row],[Personas13]]</f>
        <v>5</v>
      </c>
      <c r="AZ480" s="310">
        <f>Tabla14[[#This Row],[Valor bolsas Pesona2]]*Tabla14[[#This Row],[Personas Rechazo]]</f>
        <v>8628.6600000000017</v>
      </c>
      <c r="BA480" s="311">
        <f>+Tabla14[[#This Row],[Total Valor Segunda]]+Tabla14[[#This Row],[Total Valor Primera]]+Tabla14[[#This Row],[Total Valor Precorte]]</f>
        <v>94000</v>
      </c>
      <c r="BB480" s="292">
        <f>Tabla14[[#This Row],[Valor bolsas Pesona2]]+Tabla14[[#This Row],[Valor Embarque Pesona3]]</f>
        <v>20525.732</v>
      </c>
      <c r="BD480" s="292">
        <f>Tabla14[[#This Row],[VALOR GANADO]]-Tabla14[[#This Row],[REAJUSTADO]]</f>
        <v>20525.732</v>
      </c>
      <c r="BE480" s="250">
        <f>Tabla14[[#This Row],[CUANTO SE REAJUSTA]]*Tabla14[[#This Row],[Personas Rechazo]]</f>
        <v>102628.66</v>
      </c>
      <c r="BF480" s="250">
        <f>Tabla14[[#This Row],[REAJUSTADO]]/25000</f>
        <v>0</v>
      </c>
      <c r="BG480" s="302">
        <f>Tabla14[[#This Row],[REAJUSTADO]]*Tabla14[[#This Row],[Personas Rechazo]]</f>
        <v>0</v>
      </c>
      <c r="BH480" s="292" t="str">
        <f>Tabla14[[#This Row],[Finca]]</f>
        <v>San Pedro</v>
      </c>
      <c r="BJ480" s="332">
        <f>Tabla14[[#This Row],[Numero de Ocacionales]]*Tabla14[[#This Row],[REAJUSTADO]]</f>
        <v>0</v>
      </c>
      <c r="BK480" s="332"/>
      <c r="BL480" s="332"/>
      <c r="BM480" s="332">
        <f>+Tabla14[[#This Row],[CUANTO SE REAJUSTA]]*3</f>
        <v>61577.195999999996</v>
      </c>
    </row>
    <row r="481" spans="3:65" x14ac:dyDescent="0.25">
      <c r="C481" s="515">
        <v>45224</v>
      </c>
      <c r="D481" s="549">
        <f>YEAR(Tabla14[[#This Row],[Fecha]])</f>
        <v>2023</v>
      </c>
      <c r="E481" s="516">
        <f>IF(Tabla14[[#This Row],[Fecha]]&gt;0,_xlfn.ISOWEEKNUM(Tabla14[[#This Row],[Fecha]]),0)</f>
        <v>43</v>
      </c>
      <c r="F481" s="283">
        <v>5</v>
      </c>
      <c r="G481" s="275" t="s">
        <v>248</v>
      </c>
      <c r="H481" s="325" t="str">
        <f>_xlfn.XLOOKUP(Tabla14[[#This Row],[Codigo Finca]],Tabla4[Codigo Finca],Tabla4[Nombre Finca],"")</f>
        <v>Damaquiel</v>
      </c>
      <c r="I481" s="277">
        <f>_xlfn.XLOOKUP(Tabla14[[#This Row],[Codigo Finca]],Tabla4[Codigo Finca],Tabla4[Precio Caja],0)</f>
        <v>1800</v>
      </c>
      <c r="J481" s="277">
        <f>_xlfn.XLOOKUP(Tabla14[[#This Row],[Codigo Finca]],Tabla4[Codigo Finca],Tabla4[Precio Caja Segunda],0)</f>
        <v>1150</v>
      </c>
      <c r="K481" s="277">
        <f>_xlfn.XLOOKUP(Tabla14[[#This Row],[Codigo Finca]],Tabla4[Codigo Finca],Tabla4[Precio Rechazo],0)</f>
        <v>575</v>
      </c>
      <c r="L481" s="277">
        <f>S481+N481</f>
        <v>0</v>
      </c>
      <c r="M481" s="278">
        <f>IF(F481&gt;0,L481/F481,0)</f>
        <v>0</v>
      </c>
      <c r="N481" s="283"/>
      <c r="O481" s="279"/>
      <c r="P481" s="280">
        <f>IF(N481&gt;0,(N481/M481)/2,0)</f>
        <v>0</v>
      </c>
      <c r="Q481" s="281">
        <f>IF(O481&gt;0,P481/O481,0)</f>
        <v>0</v>
      </c>
      <c r="R481" s="282">
        <f>IF(I481&gt;0,Q481*I481,)</f>
        <v>0</v>
      </c>
      <c r="S481" s="283"/>
      <c r="T481" s="275"/>
      <c r="U481" s="280">
        <f>F481-P481</f>
        <v>5</v>
      </c>
      <c r="V481" s="281">
        <f>IF(T481&gt;0,U481/T481,0)</f>
        <v>0</v>
      </c>
      <c r="W481" s="282">
        <f>IF(T481&gt;0,(U481*I481)/T481,0)</f>
        <v>0</v>
      </c>
      <c r="X481" s="283"/>
      <c r="Y481" s="275"/>
      <c r="Z481" s="280">
        <f>Tabla14[[#This Row],[Cajas Segunda]]</f>
        <v>0</v>
      </c>
      <c r="AA481" s="281">
        <f>IF(Y481&gt;0,Z481/Y481,0)</f>
        <v>0</v>
      </c>
      <c r="AB481" s="284">
        <f>IF(Y481&gt;0,(Z481*J481)/Y481,0)</f>
        <v>0</v>
      </c>
      <c r="AC481" s="285"/>
      <c r="AD481" s="286">
        <v>633</v>
      </c>
      <c r="AE481" s="286"/>
      <c r="AF481" s="286"/>
      <c r="AG481" s="286"/>
      <c r="AH481" s="280">
        <f>IF(AND(AC481&gt;0,AE481=0,AF481=0,AD481=0),AC481,IF(AND(AC481=0,AE481&gt;0,AF481&gt;0,AD481=0),AE481*AF481/25,IF(AND(AC481=0,AE481=0,AF481=0,AD481&gt;0),AD481/25,0)))</f>
        <v>25.32</v>
      </c>
      <c r="AI481" s="281">
        <f>IF(AG481&gt;0,AH481/AG481,0)</f>
        <v>0</v>
      </c>
      <c r="AJ481" s="282">
        <f>AI481*K481</f>
        <v>0</v>
      </c>
      <c r="AK481" s="287">
        <f>Tabla14[[#This Row],[Cajas por Personas]]</f>
        <v>0</v>
      </c>
      <c r="AL481" s="288">
        <f>Tabla14[[#This Row],[Valor Precorte Pesona]]</f>
        <v>0</v>
      </c>
      <c r="AM481" s="294">
        <f>Tabla14[[#This Row],[Personas Precorte]]</f>
        <v>0</v>
      </c>
      <c r="AN481" s="308">
        <f>Tabla14[[#This Row],[Valor Precorte Pesona Precorte]]*Tabla14[[#This Row],[Perzonas Precorte]]</f>
        <v>0</v>
      </c>
      <c r="AO481" s="287">
        <f>Tabla14[[#This Row],[Cajas por Personas2]]</f>
        <v>0</v>
      </c>
      <c r="AP481" s="288">
        <f>Tabla14[[#This Row],[Valor Embarque Pesona]]</f>
        <v>0</v>
      </c>
      <c r="AQ481" s="295">
        <f>Tabla14[[#This Row],[Personas Precorte2]]</f>
        <v>0</v>
      </c>
      <c r="AR481" s="296">
        <f>Tabla14[[#This Row],[Valor Embarque Pesona3]]*Tabla14[[#This Row],[Perzona Primera]]</f>
        <v>0</v>
      </c>
      <c r="AS481" s="287">
        <f>Tabla14[[#This Row],[Columna2]]</f>
        <v>0</v>
      </c>
      <c r="AT481" s="288">
        <f>Tabla14[[#This Row],[Columna1]]</f>
        <v>0</v>
      </c>
      <c r="AU481" s="302">
        <f>Tabla14[[#This Row],[Personas Intervienen]]</f>
        <v>0</v>
      </c>
      <c r="AV481" s="297">
        <f>Tabla14[[#This Row],[Valor Embarque Pesona5]]*Tabla14[[#This Row],[Presonas Segunda]]</f>
        <v>0</v>
      </c>
      <c r="AW481" s="287">
        <f>Tabla14[[#This Row],[Bolsas Por Personas]]</f>
        <v>0</v>
      </c>
      <c r="AX481" s="288">
        <f>Tabla14[[#This Row],[Valor bolsas Pesona]]</f>
        <v>0</v>
      </c>
      <c r="AY481" s="309">
        <f>Tabla14[[#This Row],[Personas13]]</f>
        <v>0</v>
      </c>
      <c r="AZ481" s="310">
        <f>Tabla14[[#This Row],[Valor bolsas Pesona2]]*Tabla14[[#This Row],[Personas Rechazo]]</f>
        <v>0</v>
      </c>
      <c r="BA481" s="311">
        <f>+Tabla14[[#This Row],[Total Valor Segunda]]+Tabla14[[#This Row],[Total Valor Primera]]+Tabla14[[#This Row],[Total Valor Precorte]]</f>
        <v>0</v>
      </c>
      <c r="BB481" s="292">
        <f>Tabla14[[#This Row],[Valor bolsas Pesona2]]+Tabla14[[#This Row],[Valor Embarque Pesona3]]</f>
        <v>0</v>
      </c>
      <c r="BD481" s="292">
        <f>Tabla14[[#This Row],[VALOR GANADO]]-Tabla14[[#This Row],[REAJUSTADO]]</f>
        <v>0</v>
      </c>
      <c r="BE481" s="250">
        <f>Tabla14[[#This Row],[CUANTO SE REAJUSTA]]*Tabla14[[#This Row],[Personas Rechazo]]</f>
        <v>0</v>
      </c>
      <c r="BF481" s="250">
        <f>Tabla14[[#This Row],[REAJUSTADO]]/25000</f>
        <v>0</v>
      </c>
      <c r="BG481" s="302">
        <f>Tabla14[[#This Row],[REAJUSTADO]]*Tabla14[[#This Row],[Personas Rechazo]]</f>
        <v>0</v>
      </c>
      <c r="BH481" s="292" t="str">
        <f>Tabla14[[#This Row],[Finca]]</f>
        <v>Damaquiel</v>
      </c>
      <c r="BJ481" s="332">
        <f>Tabla14[[#This Row],[Numero de Ocacionales]]*Tabla14[[#This Row],[REAJUSTADO]]</f>
        <v>0</v>
      </c>
      <c r="BK481" s="332"/>
      <c r="BL481" s="332"/>
      <c r="BM481" s="332">
        <f>+Tabla14[[#This Row],[CUANTO SE REAJUSTA]]*3</f>
        <v>0</v>
      </c>
    </row>
    <row r="482" spans="3:65" x14ac:dyDescent="0.25">
      <c r="C482" s="515">
        <v>45224</v>
      </c>
      <c r="D482" s="549">
        <f>YEAR(Tabla14[[#This Row],[Fecha]])</f>
        <v>2023</v>
      </c>
      <c r="E482" s="516">
        <f>IF(Tabla14[[#This Row],[Fecha]]&gt;0,_xlfn.ISOWEEKNUM(Tabla14[[#This Row],[Fecha]]),0)</f>
        <v>43</v>
      </c>
      <c r="F482" s="283">
        <v>50</v>
      </c>
      <c r="G482" s="275" t="s">
        <v>247</v>
      </c>
      <c r="H482" s="325" t="str">
        <f>_xlfn.XLOOKUP(Tabla14[[#This Row],[Codigo Finca]],Tabla4[Codigo Finca],Tabla4[Nombre Finca],"")</f>
        <v>Uveros</v>
      </c>
      <c r="I482" s="277">
        <f>_xlfn.XLOOKUP(Tabla14[[#This Row],[Codigo Finca]],Tabla4[Codigo Finca],Tabla4[Precio Caja],0)</f>
        <v>1800</v>
      </c>
      <c r="J482" s="277">
        <f>_xlfn.XLOOKUP(Tabla14[[#This Row],[Codigo Finca]],Tabla4[Codigo Finca],Tabla4[Precio Caja Segunda],0)</f>
        <v>1150</v>
      </c>
      <c r="K482" s="277">
        <f>_xlfn.XLOOKUP(Tabla14[[#This Row],[Codigo Finca]],Tabla4[Codigo Finca],Tabla4[Precio Rechazo],0)</f>
        <v>575</v>
      </c>
      <c r="L482" s="277">
        <f>S482+N482</f>
        <v>0</v>
      </c>
      <c r="M482" s="278">
        <f>IF(F482&gt;0,L482/F482,0)</f>
        <v>0</v>
      </c>
      <c r="N482" s="283"/>
      <c r="O482" s="279"/>
      <c r="P482" s="280">
        <f>IF(N482&gt;0,(N482/M482)/2,0)</f>
        <v>0</v>
      </c>
      <c r="Q482" s="281">
        <f>IF(O482&gt;0,P482/O482,0)</f>
        <v>0</v>
      </c>
      <c r="R482" s="282">
        <f>IF(I482&gt;0,Q482*I482,)</f>
        <v>0</v>
      </c>
      <c r="S482" s="283"/>
      <c r="T482" s="275"/>
      <c r="U482" s="280">
        <f>F482-P482</f>
        <v>50</v>
      </c>
      <c r="V482" s="281">
        <f>IF(T482&gt;0,U482/T482,0)</f>
        <v>0</v>
      </c>
      <c r="W482" s="282">
        <f>IF(T482&gt;0,(U482*I482)/T482,0)</f>
        <v>0</v>
      </c>
      <c r="X482" s="283"/>
      <c r="Y482" s="275"/>
      <c r="Z482" s="280">
        <f>Tabla14[[#This Row],[Cajas Segunda]]</f>
        <v>0</v>
      </c>
      <c r="AA482" s="281">
        <f>IF(Y482&gt;0,Z482/Y482,0)</f>
        <v>0</v>
      </c>
      <c r="AB482" s="284">
        <f>IF(Y482&gt;0,(Z482*J482)/Y482,0)</f>
        <v>0</v>
      </c>
      <c r="AC482" s="285"/>
      <c r="AD482" s="286">
        <v>1102</v>
      </c>
      <c r="AE482" s="286"/>
      <c r="AF482" s="286"/>
      <c r="AG482" s="286"/>
      <c r="AH482" s="280">
        <f>IF(AND(AC482&gt;0,AE482=0,AF482=0,AD482=0),AC482,IF(AND(AC482=0,AE482&gt;0,AF482&gt;0,AD482=0),AE482*AF482/25,IF(AND(AC482=0,AE482=0,AF482=0,AD482&gt;0),AD482/25,0)))</f>
        <v>44.08</v>
      </c>
      <c r="AI482" s="281">
        <f>IF(AG482&gt;0,AH482/AG482,0)</f>
        <v>0</v>
      </c>
      <c r="AJ482" s="282">
        <f>AI482*K482</f>
        <v>0</v>
      </c>
      <c r="AK482" s="287">
        <f>Tabla14[[#This Row],[Cajas por Personas]]</f>
        <v>0</v>
      </c>
      <c r="AL482" s="288">
        <f>Tabla14[[#This Row],[Valor Precorte Pesona]]</f>
        <v>0</v>
      </c>
      <c r="AM482" s="294">
        <f>Tabla14[[#This Row],[Personas Precorte]]</f>
        <v>0</v>
      </c>
      <c r="AN482" s="308">
        <f>Tabla14[[#This Row],[Valor Precorte Pesona Precorte]]*Tabla14[[#This Row],[Perzonas Precorte]]</f>
        <v>0</v>
      </c>
      <c r="AO482" s="287">
        <f>Tabla14[[#This Row],[Cajas por Personas2]]</f>
        <v>0</v>
      </c>
      <c r="AP482" s="288">
        <f>Tabla14[[#This Row],[Valor Embarque Pesona]]</f>
        <v>0</v>
      </c>
      <c r="AQ482" s="295">
        <f>Tabla14[[#This Row],[Personas Precorte2]]</f>
        <v>0</v>
      </c>
      <c r="AR482" s="296">
        <f>Tabla14[[#This Row],[Valor Embarque Pesona3]]*Tabla14[[#This Row],[Perzona Primera]]</f>
        <v>0</v>
      </c>
      <c r="AS482" s="287">
        <f>Tabla14[[#This Row],[Columna2]]</f>
        <v>0</v>
      </c>
      <c r="AT482" s="288">
        <f>Tabla14[[#This Row],[Columna1]]</f>
        <v>0</v>
      </c>
      <c r="AU482" s="302">
        <f>Tabla14[[#This Row],[Personas Intervienen]]</f>
        <v>0</v>
      </c>
      <c r="AV482" s="297">
        <f>Tabla14[[#This Row],[Valor Embarque Pesona5]]*Tabla14[[#This Row],[Presonas Segunda]]</f>
        <v>0</v>
      </c>
      <c r="AW482" s="287">
        <f>Tabla14[[#This Row],[Bolsas Por Personas]]</f>
        <v>0</v>
      </c>
      <c r="AX482" s="288">
        <f>Tabla14[[#This Row],[Valor bolsas Pesona]]</f>
        <v>0</v>
      </c>
      <c r="AY482" s="309">
        <f>Tabla14[[#This Row],[Personas13]]</f>
        <v>0</v>
      </c>
      <c r="AZ482" s="310">
        <f>Tabla14[[#This Row],[Valor bolsas Pesona2]]*Tabla14[[#This Row],[Personas Rechazo]]</f>
        <v>0</v>
      </c>
      <c r="BA482" s="311">
        <f>+Tabla14[[#This Row],[Total Valor Segunda]]+Tabla14[[#This Row],[Total Valor Primera]]+Tabla14[[#This Row],[Total Valor Precorte]]</f>
        <v>0</v>
      </c>
      <c r="BB482" s="292">
        <f>Tabla14[[#This Row],[Valor bolsas Pesona2]]+Tabla14[[#This Row],[Valor Embarque Pesona3]]</f>
        <v>0</v>
      </c>
      <c r="BD482" s="292">
        <f>Tabla14[[#This Row],[VALOR GANADO]]-Tabla14[[#This Row],[REAJUSTADO]]</f>
        <v>0</v>
      </c>
      <c r="BE482" s="250">
        <f>Tabla14[[#This Row],[CUANTO SE REAJUSTA]]*Tabla14[[#This Row],[Personas Rechazo]]</f>
        <v>0</v>
      </c>
      <c r="BF482" s="250">
        <f>Tabla14[[#This Row],[REAJUSTADO]]/25000</f>
        <v>0</v>
      </c>
      <c r="BG482" s="302">
        <f>Tabla14[[#This Row],[REAJUSTADO]]*Tabla14[[#This Row],[Personas Rechazo]]</f>
        <v>0</v>
      </c>
      <c r="BH482" s="292" t="str">
        <f>Tabla14[[#This Row],[Finca]]</f>
        <v>Uveros</v>
      </c>
      <c r="BJ482" s="332">
        <f>Tabla14[[#This Row],[Numero de Ocacionales]]*Tabla14[[#This Row],[REAJUSTADO]]</f>
        <v>0</v>
      </c>
      <c r="BK482" s="332"/>
      <c r="BL482" s="332"/>
      <c r="BM482" s="332">
        <f>+Tabla14[[#This Row],[CUANTO SE REAJUSTA]]*3</f>
        <v>0</v>
      </c>
    </row>
    <row r="483" spans="3:65" x14ac:dyDescent="0.25">
      <c r="C483" s="515">
        <v>45225</v>
      </c>
      <c r="D483" s="549">
        <f>YEAR(Tabla14[[#This Row],[Fecha]])</f>
        <v>2023</v>
      </c>
      <c r="E483" s="516">
        <f>IF(Tabla14[[#This Row],[Fecha]]&gt;0,_xlfn.ISOWEEKNUM(Tabla14[[#This Row],[Fecha]]),0)</f>
        <v>43</v>
      </c>
      <c r="F483" s="283">
        <v>75</v>
      </c>
      <c r="G483" s="275" t="s">
        <v>251</v>
      </c>
      <c r="H483" s="325" t="str">
        <f>_xlfn.XLOOKUP(Tabla14[[#This Row],[Codigo Finca]],Tabla4[Codigo Finca],Tabla4[Nombre Finca],"")</f>
        <v>Pedrito</v>
      </c>
      <c r="I483" s="277">
        <f>_xlfn.XLOOKUP(Tabla14[[#This Row],[Codigo Finca]],Tabla4[Codigo Finca],Tabla4[Precio Caja],0)</f>
        <v>1800</v>
      </c>
      <c r="J483" s="277">
        <f>_xlfn.XLOOKUP(Tabla14[[#This Row],[Codigo Finca]],Tabla4[Codigo Finca],Tabla4[Precio Caja Segunda],0)</f>
        <v>1150</v>
      </c>
      <c r="K483" s="277">
        <f>_xlfn.XLOOKUP(Tabla14[[#This Row],[Codigo Finca]],Tabla4[Codigo Finca],Tabla4[Precio Rechazo],0)</f>
        <v>575</v>
      </c>
      <c r="L483" s="277">
        <f>S483+N483</f>
        <v>562</v>
      </c>
      <c r="M483" s="278">
        <f>IF(F483&gt;0,L483/F483,0)</f>
        <v>7.4933333333333332</v>
      </c>
      <c r="N483" s="283"/>
      <c r="O483" s="279"/>
      <c r="P483" s="280">
        <f>IF(N483&gt;0,(N483/M483)/2,0)</f>
        <v>0</v>
      </c>
      <c r="Q483" s="281">
        <f>IF(O483&gt;0,P483/O483,0)</f>
        <v>0</v>
      </c>
      <c r="R483" s="282">
        <f>IF(I483&gt;0,Q483*I483,)</f>
        <v>0</v>
      </c>
      <c r="S483" s="283">
        <v>562</v>
      </c>
      <c r="T483" s="275">
        <v>12</v>
      </c>
      <c r="U483" s="280">
        <f>F483-P483</f>
        <v>75</v>
      </c>
      <c r="V483" s="281">
        <f>IF(T483&gt;0,U483/T483,0)</f>
        <v>6.25</v>
      </c>
      <c r="W483" s="282">
        <f>IF(T483&gt;0,(U483*I483)/T483,0)</f>
        <v>11250</v>
      </c>
      <c r="X483" s="283"/>
      <c r="Y483" s="275"/>
      <c r="Z483" s="280">
        <f>Tabla14[[#This Row],[Cajas Segunda]]</f>
        <v>0</v>
      </c>
      <c r="AA483" s="281">
        <f>IF(Y483&gt;0,Z483/Y483,0)</f>
        <v>0</v>
      </c>
      <c r="AB483" s="284">
        <f>IF(Y483&gt;0,(Z483*J483)/Y483,0)</f>
        <v>0</v>
      </c>
      <c r="AC483" s="285"/>
      <c r="AD483" s="286">
        <v>2448</v>
      </c>
      <c r="AE483" s="286"/>
      <c r="AF483" s="286"/>
      <c r="AG483" s="286">
        <v>12</v>
      </c>
      <c r="AH483" s="280">
        <f>IF(AND(AC483&gt;0,AE483=0,AF483=0,AD483=0),AC483,IF(AND(AC483=0,AE483&gt;0,AF483&gt;0,AD483=0),AE483*AF483/25,IF(AND(AC483=0,AE483=0,AF483=0,AD483&gt;0),AD483/25,0)))</f>
        <v>97.92</v>
      </c>
      <c r="AI483" s="281">
        <f>IF(AG483&gt;0,AH483/AG483,0)</f>
        <v>8.16</v>
      </c>
      <c r="AJ483" s="282">
        <f>AI483*K483</f>
        <v>4692</v>
      </c>
      <c r="AK483" s="287">
        <f>Tabla14[[#This Row],[Cajas por Personas]]</f>
        <v>0</v>
      </c>
      <c r="AL483" s="288">
        <f>Tabla14[[#This Row],[Valor Precorte Pesona]]</f>
        <v>0</v>
      </c>
      <c r="AM483" s="294">
        <f>Tabla14[[#This Row],[Personas Precorte]]</f>
        <v>0</v>
      </c>
      <c r="AN483" s="308">
        <f>Tabla14[[#This Row],[Valor Precorte Pesona Precorte]]*Tabla14[[#This Row],[Perzonas Precorte]]</f>
        <v>0</v>
      </c>
      <c r="AO483" s="287">
        <f>Tabla14[[#This Row],[Cajas por Personas2]]</f>
        <v>6.25</v>
      </c>
      <c r="AP483" s="288">
        <f>Tabla14[[#This Row],[Valor Embarque Pesona]]</f>
        <v>11250</v>
      </c>
      <c r="AQ483" s="295">
        <f>Tabla14[[#This Row],[Personas Precorte2]]</f>
        <v>12</v>
      </c>
      <c r="AR483" s="296">
        <f>Tabla14[[#This Row],[Valor Embarque Pesona3]]*Tabla14[[#This Row],[Perzona Primera]]</f>
        <v>135000</v>
      </c>
      <c r="AS483" s="287">
        <f>Tabla14[[#This Row],[Columna2]]</f>
        <v>0</v>
      </c>
      <c r="AT483" s="288">
        <f>Tabla14[[#This Row],[Columna1]]</f>
        <v>0</v>
      </c>
      <c r="AU483" s="302">
        <f>Tabla14[[#This Row],[Personas Intervienen]]</f>
        <v>0</v>
      </c>
      <c r="AV483" s="297">
        <f>Tabla14[[#This Row],[Valor Embarque Pesona5]]*Tabla14[[#This Row],[Presonas Segunda]]</f>
        <v>0</v>
      </c>
      <c r="AW483" s="287">
        <f>Tabla14[[#This Row],[Bolsas Por Personas]]</f>
        <v>8.16</v>
      </c>
      <c r="AX483" s="288">
        <f>Tabla14[[#This Row],[Valor bolsas Pesona]]</f>
        <v>4692</v>
      </c>
      <c r="AY483" s="309">
        <f>Tabla14[[#This Row],[Personas13]]</f>
        <v>12</v>
      </c>
      <c r="AZ483" s="310">
        <f>Tabla14[[#This Row],[Valor bolsas Pesona2]]*Tabla14[[#This Row],[Personas Rechazo]]</f>
        <v>56304</v>
      </c>
      <c r="BA483" s="311">
        <f>+Tabla14[[#This Row],[Total Valor Segunda]]+Tabla14[[#This Row],[Total Valor Primera]]+Tabla14[[#This Row],[Total Valor Precorte]]</f>
        <v>135000</v>
      </c>
      <c r="BB483" s="292">
        <f>Tabla14[[#This Row],[Valor bolsas Pesona2]]+Tabla14[[#This Row],[Valor Embarque Pesona3]]</f>
        <v>15942</v>
      </c>
      <c r="BD483" s="292">
        <f>Tabla14[[#This Row],[VALOR GANADO]]-Tabla14[[#This Row],[REAJUSTADO]]</f>
        <v>15942</v>
      </c>
      <c r="BE483" s="250">
        <f>Tabla14[[#This Row],[CUANTO SE REAJUSTA]]*Tabla14[[#This Row],[Personas Rechazo]]</f>
        <v>191304</v>
      </c>
      <c r="BF483" s="250">
        <f>Tabla14[[#This Row],[REAJUSTADO]]/25000</f>
        <v>0</v>
      </c>
      <c r="BG483" s="302">
        <f>Tabla14[[#This Row],[REAJUSTADO]]*Tabla14[[#This Row],[Personas Rechazo]]</f>
        <v>0</v>
      </c>
      <c r="BH483" s="292" t="str">
        <f>Tabla14[[#This Row],[Finca]]</f>
        <v>Pedrito</v>
      </c>
      <c r="BJ483" s="332">
        <f>Tabla14[[#This Row],[Numero de Ocacionales]]*Tabla14[[#This Row],[REAJUSTADO]]</f>
        <v>0</v>
      </c>
      <c r="BK483" s="332"/>
      <c r="BL483" s="332"/>
      <c r="BM483" s="332">
        <f>+Tabla14[[#This Row],[CUANTO SE REAJUSTA]]*3</f>
        <v>47826</v>
      </c>
    </row>
    <row r="484" spans="3:65" x14ac:dyDescent="0.25">
      <c r="C484" s="515">
        <v>45230</v>
      </c>
      <c r="D484" s="549">
        <f>YEAR(Tabla14[[#This Row],[Fecha]])</f>
        <v>2023</v>
      </c>
      <c r="E484" s="516">
        <f>IF(Tabla14[[#This Row],[Fecha]]&gt;0,_xlfn.ISOWEEKNUM(Tabla14[[#This Row],[Fecha]]),0)</f>
        <v>44</v>
      </c>
      <c r="F484" s="283">
        <f>508-25</f>
        <v>483</v>
      </c>
      <c r="G484" s="275" t="s">
        <v>250</v>
      </c>
      <c r="H484" s="325" t="str">
        <f>_xlfn.XLOOKUP(Tabla14[[#This Row],[Codigo Finca]],Tabla4[Codigo Finca],Tabla4[Nombre Finca],"")</f>
        <v>San Pedro</v>
      </c>
      <c r="I484" s="277">
        <f>_xlfn.XLOOKUP(Tabla14[[#This Row],[Codigo Finca]],Tabla4[Codigo Finca],Tabla4[Precio Caja],0)</f>
        <v>1800</v>
      </c>
      <c r="J484" s="277">
        <f>_xlfn.XLOOKUP(Tabla14[[#This Row],[Codigo Finca]],Tabla4[Codigo Finca],Tabla4[Precio Caja Segunda],0)</f>
        <v>1150</v>
      </c>
      <c r="K484" s="277">
        <f>_xlfn.XLOOKUP(Tabla14[[#This Row],[Codigo Finca]],Tabla4[Codigo Finca],Tabla4[Precio Rechazo],0)</f>
        <v>575</v>
      </c>
      <c r="L484" s="277">
        <f>S484+N484</f>
        <v>1460</v>
      </c>
      <c r="M484" s="278">
        <f>IF(F484&gt;0,L484/F484,0)</f>
        <v>3.022774327122153</v>
      </c>
      <c r="N484" s="283"/>
      <c r="O484" s="279"/>
      <c r="P484" s="280">
        <f>IF(N484&gt;0,(N484/M484)/2,0)</f>
        <v>0</v>
      </c>
      <c r="Q484" s="281">
        <f>IF(O484&gt;0,P484/O484,0)</f>
        <v>0</v>
      </c>
      <c r="R484" s="282">
        <f>IF(I484&gt;0,Q484*I484,)</f>
        <v>0</v>
      </c>
      <c r="S484" s="283">
        <f>1533-73</f>
        <v>1460</v>
      </c>
      <c r="T484" s="275">
        <v>20</v>
      </c>
      <c r="U484" s="280">
        <f>F484-P484</f>
        <v>483</v>
      </c>
      <c r="V484" s="281">
        <f>IF(T484&gt;0,U484/T484,0)</f>
        <v>24.15</v>
      </c>
      <c r="W484" s="282">
        <f>IF(T484&gt;0,(U484*I484)/T484,0)</f>
        <v>43470</v>
      </c>
      <c r="X484" s="283"/>
      <c r="Y484" s="275"/>
      <c r="Z484" s="280">
        <f>Tabla14[[#This Row],[Cajas Segunda]]</f>
        <v>0</v>
      </c>
      <c r="AA484" s="281">
        <f>IF(Y484&gt;0,Z484/Y484,0)</f>
        <v>0</v>
      </c>
      <c r="AB484" s="284">
        <f>IF(Y484&gt;0,(Z484*J484)/Y484,0)</f>
        <v>0</v>
      </c>
      <c r="AC484" s="285"/>
      <c r="AD484" s="286">
        <v>2295</v>
      </c>
      <c r="AE484" s="286"/>
      <c r="AF484" s="286"/>
      <c r="AG484" s="286">
        <v>20</v>
      </c>
      <c r="AH484" s="280">
        <f>IF(AND(AC484&gt;0,AE484=0,AF484=0,AD484=0),AC484,IF(AND(AC484=0,AE484&gt;0,AF484&gt;0,AD484=0),AE484*AF484/25,IF(AND(AC484=0,AE484=0,AF484=0,AD484&gt;0),AD484/25,0)))</f>
        <v>91.8</v>
      </c>
      <c r="AI484" s="281">
        <f>IF(AG484&gt;0,AH484/AG484,0)</f>
        <v>4.59</v>
      </c>
      <c r="AJ484" s="282">
        <f>AI484*K484</f>
        <v>2639.25</v>
      </c>
      <c r="AK484" s="287">
        <f>Tabla14[[#This Row],[Cajas por Personas]]</f>
        <v>0</v>
      </c>
      <c r="AL484" s="288">
        <f>Tabla14[[#This Row],[Valor Precorte Pesona]]</f>
        <v>0</v>
      </c>
      <c r="AM484" s="294">
        <f>Tabla14[[#This Row],[Personas Precorte]]</f>
        <v>0</v>
      </c>
      <c r="AN484" s="308">
        <f>Tabla14[[#This Row],[Valor Precorte Pesona Precorte]]*Tabla14[[#This Row],[Perzonas Precorte]]</f>
        <v>0</v>
      </c>
      <c r="AO484" s="287">
        <f>Tabla14[[#This Row],[Cajas por Personas2]]</f>
        <v>24.15</v>
      </c>
      <c r="AP484" s="288">
        <f>Tabla14[[#This Row],[Valor Embarque Pesona]]</f>
        <v>43470</v>
      </c>
      <c r="AQ484" s="295">
        <f>Tabla14[[#This Row],[Personas Precorte2]]</f>
        <v>20</v>
      </c>
      <c r="AR484" s="296">
        <f>Tabla14[[#This Row],[Valor Embarque Pesona3]]*Tabla14[[#This Row],[Perzona Primera]]</f>
        <v>869400</v>
      </c>
      <c r="AS484" s="287">
        <f>Tabla14[[#This Row],[Columna2]]</f>
        <v>0</v>
      </c>
      <c r="AT484" s="288">
        <f>Tabla14[[#This Row],[Columna1]]</f>
        <v>0</v>
      </c>
      <c r="AU484" s="302">
        <f>Tabla14[[#This Row],[Personas Intervienen]]</f>
        <v>0</v>
      </c>
      <c r="AV484" s="297">
        <f>Tabla14[[#This Row],[Valor Embarque Pesona5]]*Tabla14[[#This Row],[Presonas Segunda]]</f>
        <v>0</v>
      </c>
      <c r="AW484" s="287">
        <f>Tabla14[[#This Row],[Bolsas Por Personas]]</f>
        <v>4.59</v>
      </c>
      <c r="AX484" s="288">
        <f>Tabla14[[#This Row],[Valor bolsas Pesona]]</f>
        <v>2639.25</v>
      </c>
      <c r="AY484" s="309">
        <f>Tabla14[[#This Row],[Personas13]]</f>
        <v>20</v>
      </c>
      <c r="AZ484" s="310">
        <f>Tabla14[[#This Row],[Valor bolsas Pesona2]]*Tabla14[[#This Row],[Personas Rechazo]]</f>
        <v>52785</v>
      </c>
      <c r="BA484" s="311">
        <f>+Tabla14[[#This Row],[Total Valor Segunda]]+Tabla14[[#This Row],[Total Valor Primera]]+Tabla14[[#This Row],[Total Valor Precorte]]</f>
        <v>869400</v>
      </c>
      <c r="BB484" s="292">
        <f>Tabla14[[#This Row],[Valor bolsas Pesona2]]+Tabla14[[#This Row],[Valor Embarque Pesona3]]</f>
        <v>46109.25</v>
      </c>
      <c r="BC484" s="332">
        <f>+Tabla14[[#This Row],[VALOR GANADO]]+BB485</f>
        <v>48609.25</v>
      </c>
      <c r="BD484" s="292">
        <f>Tabla14[[#This Row],[VALOR GANADO]]-Tabla14[[#This Row],[REAJUSTADO]]</f>
        <v>-2500</v>
      </c>
      <c r="BE484" s="250">
        <f>Tabla14[[#This Row],[CUANTO SE REAJUSTA]]*Tabla14[[#This Row],[Personas Rechazo]]</f>
        <v>-50000</v>
      </c>
      <c r="BF484" s="250">
        <f>Tabla14[[#This Row],[REAJUSTADO]]/25000</f>
        <v>1.9443699999999999</v>
      </c>
      <c r="BG484" s="302">
        <f>Tabla14[[#This Row],[REAJUSTADO]]*Tabla14[[#This Row],[Personas Rechazo]]</f>
        <v>972185</v>
      </c>
      <c r="BH484" s="292" t="str">
        <f>Tabla14[[#This Row],[Finca]]</f>
        <v>San Pedro</v>
      </c>
      <c r="BJ484" s="332">
        <f>Tabla14[[#This Row],[Numero de Ocacionales]]*Tabla14[[#This Row],[REAJUSTADO]]</f>
        <v>0</v>
      </c>
      <c r="BK484" s="332"/>
      <c r="BL484" s="332"/>
      <c r="BM484" s="332">
        <f>+Tabla14[[#This Row],[CUANTO SE REAJUSTA]]*3</f>
        <v>-7500</v>
      </c>
    </row>
    <row r="485" spans="3:65" x14ac:dyDescent="0.25">
      <c r="C485" s="515">
        <v>45230</v>
      </c>
      <c r="D485" s="549">
        <f>YEAR(Tabla14[[#This Row],[Fecha]])</f>
        <v>2023</v>
      </c>
      <c r="E485" s="516">
        <f>IF(Tabla14[[#This Row],[Fecha]]&gt;0,_xlfn.ISOWEEKNUM(Tabla14[[#This Row],[Fecha]]),0)</f>
        <v>44</v>
      </c>
      <c r="F485" s="283">
        <v>25</v>
      </c>
      <c r="G485" s="275" t="s">
        <v>249</v>
      </c>
      <c r="H485" s="325" t="str">
        <f>_xlfn.XLOOKUP(Tabla14[[#This Row],[Codigo Finca]],Tabla4[Codigo Finca],Tabla4[Nombre Finca],"")</f>
        <v>San Pedro</v>
      </c>
      <c r="I485" s="277">
        <f>_xlfn.XLOOKUP(Tabla14[[#This Row],[Codigo Finca]],Tabla4[Codigo Finca],Tabla4[Precio Caja],0)</f>
        <v>2000</v>
      </c>
      <c r="J485" s="277">
        <f>_xlfn.XLOOKUP(Tabla14[[#This Row],[Codigo Finca]],Tabla4[Codigo Finca],Tabla4[Precio Caja Segunda],0)</f>
        <v>1150</v>
      </c>
      <c r="K485" s="277">
        <f>_xlfn.XLOOKUP(Tabla14[[#This Row],[Codigo Finca]],Tabla4[Codigo Finca],Tabla4[Precio Rechazo],0)</f>
        <v>675</v>
      </c>
      <c r="L485" s="277">
        <f>S485+N485</f>
        <v>73</v>
      </c>
      <c r="M485" s="278">
        <f>IF(F485&gt;0,L485/F485,0)</f>
        <v>2.92</v>
      </c>
      <c r="N485" s="283"/>
      <c r="O485" s="279"/>
      <c r="P485" s="280">
        <f>IF(N485&gt;0,(N485/M485)/2,0)</f>
        <v>0</v>
      </c>
      <c r="Q485" s="281">
        <f>IF(O485&gt;0,P485/O485,0)</f>
        <v>0</v>
      </c>
      <c r="R485" s="282">
        <f>IF(I485&gt;0,Q485*I485,)</f>
        <v>0</v>
      </c>
      <c r="S485" s="283">
        <v>73</v>
      </c>
      <c r="T485" s="275">
        <v>20</v>
      </c>
      <c r="U485" s="280">
        <f>F485-P485</f>
        <v>25</v>
      </c>
      <c r="V485" s="281">
        <f>IF(T485&gt;0,U485/T485,0)</f>
        <v>1.25</v>
      </c>
      <c r="W485" s="282">
        <f>IF(T485&gt;0,(U485*I485)/T485,0)</f>
        <v>2500</v>
      </c>
      <c r="X485" s="283"/>
      <c r="Y485" s="275"/>
      <c r="Z485" s="280">
        <f>Tabla14[[#This Row],[Cajas Segunda]]</f>
        <v>0</v>
      </c>
      <c r="AA485" s="281">
        <f>IF(Y485&gt;0,Z485/Y485,0)</f>
        <v>0</v>
      </c>
      <c r="AB485" s="284">
        <f>IF(Y485&gt;0,(Z485*J485)/Y485,0)</f>
        <v>0</v>
      </c>
      <c r="AC485" s="285"/>
      <c r="AD485" s="286"/>
      <c r="AE485" s="286"/>
      <c r="AF485" s="286"/>
      <c r="AG485" s="286">
        <v>20</v>
      </c>
      <c r="AH485" s="280">
        <f>IF(AND(AC485&gt;0,AE485=0,AF485=0,AD485=0),AC485,IF(AND(AC485=0,AE485&gt;0,AF485&gt;0,AD485=0),AE485*AF485/25,IF(AND(AC485=0,AE485=0,AF485=0,AD485&gt;0),AD485/25,0)))</f>
        <v>0</v>
      </c>
      <c r="AI485" s="281">
        <f>IF(AG485&gt;0,AH485/AG485,0)</f>
        <v>0</v>
      </c>
      <c r="AJ485" s="282">
        <f>AI485*K485</f>
        <v>0</v>
      </c>
      <c r="AK485" s="287">
        <f>Tabla14[[#This Row],[Cajas por Personas]]</f>
        <v>0</v>
      </c>
      <c r="AL485" s="288">
        <f>Tabla14[[#This Row],[Valor Precorte Pesona]]</f>
        <v>0</v>
      </c>
      <c r="AM485" s="294">
        <f>Tabla14[[#This Row],[Personas Precorte]]</f>
        <v>0</v>
      </c>
      <c r="AN485" s="308">
        <f>Tabla14[[#This Row],[Valor Precorte Pesona Precorte]]*Tabla14[[#This Row],[Perzonas Precorte]]</f>
        <v>0</v>
      </c>
      <c r="AO485" s="287">
        <f>Tabla14[[#This Row],[Cajas por Personas2]]</f>
        <v>1.25</v>
      </c>
      <c r="AP485" s="288">
        <f>Tabla14[[#This Row],[Valor Embarque Pesona]]</f>
        <v>2500</v>
      </c>
      <c r="AQ485" s="295">
        <f>Tabla14[[#This Row],[Personas Precorte2]]</f>
        <v>20</v>
      </c>
      <c r="AR485" s="296">
        <f>Tabla14[[#This Row],[Valor Embarque Pesona3]]*Tabla14[[#This Row],[Perzona Primera]]</f>
        <v>50000</v>
      </c>
      <c r="AS485" s="287">
        <f>Tabla14[[#This Row],[Columna2]]</f>
        <v>0</v>
      </c>
      <c r="AT485" s="288">
        <f>Tabla14[[#This Row],[Columna1]]</f>
        <v>0</v>
      </c>
      <c r="AU485" s="302">
        <f>Tabla14[[#This Row],[Personas Intervienen]]</f>
        <v>0</v>
      </c>
      <c r="AV485" s="297">
        <f>Tabla14[[#This Row],[Valor Embarque Pesona5]]*Tabla14[[#This Row],[Presonas Segunda]]</f>
        <v>0</v>
      </c>
      <c r="AW485" s="287">
        <f>Tabla14[[#This Row],[Bolsas Por Personas]]</f>
        <v>0</v>
      </c>
      <c r="AX485" s="288">
        <f>Tabla14[[#This Row],[Valor bolsas Pesona]]</f>
        <v>0</v>
      </c>
      <c r="AY485" s="309">
        <f>Tabla14[[#This Row],[Personas13]]</f>
        <v>20</v>
      </c>
      <c r="AZ485" s="310">
        <f>Tabla14[[#This Row],[Valor bolsas Pesona2]]*Tabla14[[#This Row],[Personas Rechazo]]</f>
        <v>0</v>
      </c>
      <c r="BA485" s="311">
        <f>+Tabla14[[#This Row],[Total Valor Segunda]]+Tabla14[[#This Row],[Total Valor Primera]]+Tabla14[[#This Row],[Total Valor Precorte]]</f>
        <v>50000</v>
      </c>
      <c r="BB485" s="292">
        <f>Tabla14[[#This Row],[Valor bolsas Pesona2]]+Tabla14[[#This Row],[Valor Embarque Pesona3]]</f>
        <v>2500</v>
      </c>
      <c r="BD485" s="292">
        <f>Tabla14[[#This Row],[VALOR GANADO]]-Tabla14[[#This Row],[REAJUSTADO]]</f>
        <v>2500</v>
      </c>
      <c r="BE485" s="250">
        <f>Tabla14[[#This Row],[CUANTO SE REAJUSTA]]*Tabla14[[#This Row],[Personas Rechazo]]</f>
        <v>50000</v>
      </c>
      <c r="BF485" s="250">
        <f>Tabla14[[#This Row],[REAJUSTADO]]/25000</f>
        <v>0</v>
      </c>
      <c r="BG485" s="302">
        <f>Tabla14[[#This Row],[REAJUSTADO]]*Tabla14[[#This Row],[Personas Rechazo]]</f>
        <v>0</v>
      </c>
      <c r="BH485" s="292" t="str">
        <f>Tabla14[[#This Row],[Finca]]</f>
        <v>San Pedro</v>
      </c>
      <c r="BJ485" s="332">
        <f>Tabla14[[#This Row],[Numero de Ocacionales]]*Tabla14[[#This Row],[REAJUSTADO]]</f>
        <v>0</v>
      </c>
      <c r="BK485" s="332"/>
      <c r="BL485" s="332"/>
      <c r="BM485" s="332">
        <f>+Tabla14[[#This Row],[CUANTO SE REAJUSTA]]*3</f>
        <v>7500</v>
      </c>
    </row>
    <row r="486" spans="3:65" x14ac:dyDescent="0.25">
      <c r="C486" s="515">
        <v>45231</v>
      </c>
      <c r="D486" s="549">
        <f>YEAR(Tabla14[[#This Row],[Fecha]])</f>
        <v>2023</v>
      </c>
      <c r="E486" s="516">
        <f>IF(Tabla14[[#This Row],[Fecha]]&gt;0,_xlfn.ISOWEEKNUM(Tabla14[[#This Row],[Fecha]]),0)</f>
        <v>44</v>
      </c>
      <c r="F486" s="283">
        <v>54</v>
      </c>
      <c r="G486" s="275" t="s">
        <v>251</v>
      </c>
      <c r="H486" s="325" t="str">
        <f>_xlfn.XLOOKUP(Tabla14[[#This Row],[Codigo Finca]],Tabla4[Codigo Finca],Tabla4[Nombre Finca],"")</f>
        <v>Pedrito</v>
      </c>
      <c r="I486" s="277">
        <f>_xlfn.XLOOKUP(Tabla14[[#This Row],[Codigo Finca]],Tabla4[Codigo Finca],Tabla4[Precio Caja],0)</f>
        <v>1800</v>
      </c>
      <c r="J486" s="277">
        <f>_xlfn.XLOOKUP(Tabla14[[#This Row],[Codigo Finca]],Tabla4[Codigo Finca],Tabla4[Precio Caja Segunda],0)</f>
        <v>1150</v>
      </c>
      <c r="K486" s="277">
        <f>_xlfn.XLOOKUP(Tabla14[[#This Row],[Codigo Finca]],Tabla4[Codigo Finca],Tabla4[Precio Rechazo],0)</f>
        <v>575</v>
      </c>
      <c r="L486" s="277">
        <f t="shared" ref="L486:L492" si="478">S486+N486</f>
        <v>534</v>
      </c>
      <c r="M486" s="278">
        <f t="shared" ref="M486:M492" si="479">IF(F486&gt;0,L486/F486,0)</f>
        <v>9.8888888888888893</v>
      </c>
      <c r="N486" s="283"/>
      <c r="O486" s="279"/>
      <c r="P486" s="280">
        <f t="shared" ref="P486:P492" si="480">IF(N486&gt;0,(N486/M486)/2,0)</f>
        <v>0</v>
      </c>
      <c r="Q486" s="281">
        <f t="shared" ref="Q486:Q492" si="481">IF(O486&gt;0,P486/O486,0)</f>
        <v>0</v>
      </c>
      <c r="R486" s="282">
        <f t="shared" ref="R486:R492" si="482">IF(I486&gt;0,Q486*I486,)</f>
        <v>0</v>
      </c>
      <c r="S486" s="283">
        <v>534</v>
      </c>
      <c r="T486" s="275">
        <v>13</v>
      </c>
      <c r="U486" s="280">
        <f t="shared" ref="U486:U492" si="483">F486-P486</f>
        <v>54</v>
      </c>
      <c r="V486" s="281">
        <f t="shared" ref="V486:V492" si="484">IF(T486&gt;0,U486/T486,0)</f>
        <v>4.1538461538461542</v>
      </c>
      <c r="W486" s="282">
        <f t="shared" ref="W486:W492" si="485">IF(T486&gt;0,(U486*I486)/T486,0)</f>
        <v>7476.9230769230771</v>
      </c>
      <c r="X486" s="283"/>
      <c r="Y486" s="275"/>
      <c r="Z486" s="280">
        <f>Tabla14[[#This Row],[Cajas Segunda]]</f>
        <v>0</v>
      </c>
      <c r="AA486" s="281">
        <f t="shared" ref="AA486:AA492" si="486">IF(Y486&gt;0,Z486/Y486,0)</f>
        <v>0</v>
      </c>
      <c r="AB486" s="284">
        <f t="shared" ref="AB486:AB492" si="487">IF(Y486&gt;0,(Z486*J486)/Y486,0)</f>
        <v>0</v>
      </c>
      <c r="AC486" s="285"/>
      <c r="AD486" s="286">
        <v>2271</v>
      </c>
      <c r="AE486" s="286"/>
      <c r="AF486" s="286"/>
      <c r="AG486" s="286">
        <v>13</v>
      </c>
      <c r="AH486" s="280">
        <f t="shared" ref="AH486:AH492" si="488">IF(AND(AC486&gt;0,AE486=0,AF486=0,AD486=0),AC486,IF(AND(AC486=0,AE486&gt;0,AF486&gt;0,AD486=0),AE486*AF486/25,IF(AND(AC486=0,AE486=0,AF486=0,AD486&gt;0),AD486/25,0)))</f>
        <v>90.84</v>
      </c>
      <c r="AI486" s="281">
        <f t="shared" ref="AI486:AI492" si="489">IF(AG486&gt;0,AH486/AG486,0)</f>
        <v>6.9876923076923081</v>
      </c>
      <c r="AJ486" s="282">
        <f t="shared" ref="AJ486:AJ492" si="490">AI486*K486</f>
        <v>4017.9230769230771</v>
      </c>
      <c r="AK486" s="287">
        <f>Tabla14[[#This Row],[Cajas por Personas]]</f>
        <v>0</v>
      </c>
      <c r="AL486" s="288">
        <f>Tabla14[[#This Row],[Valor Precorte Pesona]]</f>
        <v>0</v>
      </c>
      <c r="AM486" s="294">
        <f>Tabla14[[#This Row],[Personas Precorte]]</f>
        <v>0</v>
      </c>
      <c r="AN486" s="308">
        <f>Tabla14[[#This Row],[Valor Precorte Pesona Precorte]]*Tabla14[[#This Row],[Perzonas Precorte]]</f>
        <v>0</v>
      </c>
      <c r="AO486" s="287">
        <f>Tabla14[[#This Row],[Cajas por Personas2]]</f>
        <v>4.1538461538461542</v>
      </c>
      <c r="AP486" s="288">
        <f>Tabla14[[#This Row],[Valor Embarque Pesona]]</f>
        <v>7476.9230769230771</v>
      </c>
      <c r="AQ486" s="295">
        <f>Tabla14[[#This Row],[Personas Precorte2]]</f>
        <v>13</v>
      </c>
      <c r="AR486" s="296">
        <f>Tabla14[[#This Row],[Valor Embarque Pesona3]]*Tabla14[[#This Row],[Perzona Primera]]</f>
        <v>97200</v>
      </c>
      <c r="AS486" s="287">
        <f>Tabla14[[#This Row],[Columna2]]</f>
        <v>0</v>
      </c>
      <c r="AT486" s="288">
        <f>Tabla14[[#This Row],[Columna1]]</f>
        <v>0</v>
      </c>
      <c r="AU486" s="302">
        <f>Tabla14[[#This Row],[Personas Intervienen]]</f>
        <v>0</v>
      </c>
      <c r="AV486" s="297">
        <f>Tabla14[[#This Row],[Valor Embarque Pesona5]]*Tabla14[[#This Row],[Presonas Segunda]]</f>
        <v>0</v>
      </c>
      <c r="AW486" s="287">
        <f>Tabla14[[#This Row],[Bolsas Por Personas]]</f>
        <v>6.9876923076923081</v>
      </c>
      <c r="AX486" s="288">
        <f>Tabla14[[#This Row],[Valor bolsas Pesona]]</f>
        <v>4017.9230769230771</v>
      </c>
      <c r="AY486" s="309">
        <f>Tabla14[[#This Row],[Personas13]]</f>
        <v>13</v>
      </c>
      <c r="AZ486" s="310">
        <f>Tabla14[[#This Row],[Valor bolsas Pesona2]]*Tabla14[[#This Row],[Personas Rechazo]]</f>
        <v>52233</v>
      </c>
      <c r="BA486" s="311">
        <f>+Tabla14[[#This Row],[Total Valor Segunda]]+Tabla14[[#This Row],[Total Valor Primera]]+Tabla14[[#This Row],[Total Valor Precorte]]</f>
        <v>97200</v>
      </c>
      <c r="BB486" s="292">
        <f>Tabla14[[#This Row],[Valor bolsas Pesona2]]+Tabla14[[#This Row],[Valor Embarque Pesona3]]</f>
        <v>11494.846153846154</v>
      </c>
      <c r="BC486" s="332">
        <v>30000</v>
      </c>
      <c r="BD486" s="292">
        <f>Tabla14[[#This Row],[VALOR GANADO]]-Tabla14[[#This Row],[REAJUSTADO]]</f>
        <v>-18505.153846153844</v>
      </c>
      <c r="BE486" s="250">
        <f>Tabla14[[#This Row],[CUANTO SE REAJUSTA]]*Tabla14[[#This Row],[Personas Rechazo]]</f>
        <v>-240566.99999999997</v>
      </c>
      <c r="BF486" s="250">
        <f>Tabla14[[#This Row],[REAJUSTADO]]/25000</f>
        <v>1.2</v>
      </c>
      <c r="BG486" s="302">
        <f>Tabla14[[#This Row],[REAJUSTADO]]*Tabla14[[#This Row],[Personas Rechazo]]</f>
        <v>390000</v>
      </c>
      <c r="BH486" s="292" t="str">
        <f>Tabla14[[#This Row],[Finca]]</f>
        <v>Pedrito</v>
      </c>
      <c r="BJ486" s="332">
        <f>Tabla14[[#This Row],[Numero de Ocacionales]]*Tabla14[[#This Row],[REAJUSTADO]]</f>
        <v>0</v>
      </c>
      <c r="BK486" s="332"/>
      <c r="BL486" s="332"/>
      <c r="BM486" s="332">
        <f>+Tabla14[[#This Row],[CUANTO SE REAJUSTA]]*3</f>
        <v>-55515.461538461532</v>
      </c>
    </row>
    <row r="487" spans="3:65" x14ac:dyDescent="0.25">
      <c r="C487" s="515">
        <v>45231</v>
      </c>
      <c r="D487" s="549">
        <f>YEAR(Tabla14[[#This Row],[Fecha]])</f>
        <v>2023</v>
      </c>
      <c r="E487" s="516">
        <f>IF(Tabla14[[#This Row],[Fecha]]&gt;0,_xlfn.ISOWEEKNUM(Tabla14[[#This Row],[Fecha]]),0)</f>
        <v>44</v>
      </c>
      <c r="F487" s="283">
        <v>12</v>
      </c>
      <c r="G487" s="275" t="s">
        <v>247</v>
      </c>
      <c r="H487" s="325" t="str">
        <f>_xlfn.XLOOKUP(Tabla14[[#This Row],[Codigo Finca]],Tabla4[Codigo Finca],Tabla4[Nombre Finca],"")</f>
        <v>Uveros</v>
      </c>
      <c r="I487" s="277">
        <f>_xlfn.XLOOKUP(Tabla14[[#This Row],[Codigo Finca]],Tabla4[Codigo Finca],Tabla4[Precio Caja],0)</f>
        <v>1800</v>
      </c>
      <c r="J487" s="277">
        <f>_xlfn.XLOOKUP(Tabla14[[#This Row],[Codigo Finca]],Tabla4[Codigo Finca],Tabla4[Precio Caja Segunda],0)</f>
        <v>1150</v>
      </c>
      <c r="K487" s="277">
        <f>_xlfn.XLOOKUP(Tabla14[[#This Row],[Codigo Finca]],Tabla4[Codigo Finca],Tabla4[Precio Rechazo],0)</f>
        <v>575</v>
      </c>
      <c r="L487" s="277">
        <f t="shared" si="478"/>
        <v>0</v>
      </c>
      <c r="M487" s="278">
        <f t="shared" si="479"/>
        <v>0</v>
      </c>
      <c r="N487" s="283"/>
      <c r="O487" s="279"/>
      <c r="P487" s="280">
        <f t="shared" si="480"/>
        <v>0</v>
      </c>
      <c r="Q487" s="281">
        <f t="shared" si="481"/>
        <v>0</v>
      </c>
      <c r="R487" s="282">
        <f t="shared" si="482"/>
        <v>0</v>
      </c>
      <c r="S487" s="283"/>
      <c r="T487" s="275"/>
      <c r="U487" s="280">
        <f t="shared" si="483"/>
        <v>12</v>
      </c>
      <c r="V487" s="281">
        <f t="shared" si="484"/>
        <v>0</v>
      </c>
      <c r="W487" s="282">
        <f t="shared" si="485"/>
        <v>0</v>
      </c>
      <c r="X487" s="283"/>
      <c r="Y487" s="275"/>
      <c r="Z487" s="280">
        <f>Tabla14[[#This Row],[Cajas Segunda]]</f>
        <v>0</v>
      </c>
      <c r="AA487" s="281">
        <f t="shared" si="486"/>
        <v>0</v>
      </c>
      <c r="AB487" s="284">
        <f t="shared" si="487"/>
        <v>0</v>
      </c>
      <c r="AC487" s="285"/>
      <c r="AD487" s="286">
        <v>1342</v>
      </c>
      <c r="AE487" s="286"/>
      <c r="AF487" s="286"/>
      <c r="AG487" s="286"/>
      <c r="AH487" s="280">
        <f t="shared" si="488"/>
        <v>53.68</v>
      </c>
      <c r="AI487" s="281">
        <f t="shared" si="489"/>
        <v>0</v>
      </c>
      <c r="AJ487" s="282">
        <f t="shared" si="490"/>
        <v>0</v>
      </c>
      <c r="AK487" s="287">
        <f>Tabla14[[#This Row],[Cajas por Personas]]</f>
        <v>0</v>
      </c>
      <c r="AL487" s="288">
        <f>Tabla14[[#This Row],[Valor Precorte Pesona]]</f>
        <v>0</v>
      </c>
      <c r="AM487" s="294">
        <f>Tabla14[[#This Row],[Personas Precorte]]</f>
        <v>0</v>
      </c>
      <c r="AN487" s="308">
        <f>Tabla14[[#This Row],[Valor Precorte Pesona Precorte]]*Tabla14[[#This Row],[Perzonas Precorte]]</f>
        <v>0</v>
      </c>
      <c r="AO487" s="287">
        <f>Tabla14[[#This Row],[Cajas por Personas2]]</f>
        <v>0</v>
      </c>
      <c r="AP487" s="288">
        <f>Tabla14[[#This Row],[Valor Embarque Pesona]]</f>
        <v>0</v>
      </c>
      <c r="AQ487" s="295">
        <f>Tabla14[[#This Row],[Personas Precorte2]]</f>
        <v>0</v>
      </c>
      <c r="AR487" s="296">
        <f>Tabla14[[#This Row],[Valor Embarque Pesona3]]*Tabla14[[#This Row],[Perzona Primera]]</f>
        <v>0</v>
      </c>
      <c r="AS487" s="287">
        <f>Tabla14[[#This Row],[Columna2]]</f>
        <v>0</v>
      </c>
      <c r="AT487" s="288">
        <f>Tabla14[[#This Row],[Columna1]]</f>
        <v>0</v>
      </c>
      <c r="AU487" s="302">
        <f>Tabla14[[#This Row],[Personas Intervienen]]</f>
        <v>0</v>
      </c>
      <c r="AV487" s="297">
        <f>Tabla14[[#This Row],[Valor Embarque Pesona5]]*Tabla14[[#This Row],[Presonas Segunda]]</f>
        <v>0</v>
      </c>
      <c r="AW487" s="287">
        <f>Tabla14[[#This Row],[Bolsas Por Personas]]</f>
        <v>0</v>
      </c>
      <c r="AX487" s="288">
        <f>Tabla14[[#This Row],[Valor bolsas Pesona]]</f>
        <v>0</v>
      </c>
      <c r="AY487" s="309">
        <f>Tabla14[[#This Row],[Personas13]]</f>
        <v>0</v>
      </c>
      <c r="AZ487" s="310">
        <f>Tabla14[[#This Row],[Valor bolsas Pesona2]]*Tabla14[[#This Row],[Personas Rechazo]]</f>
        <v>0</v>
      </c>
      <c r="BA487" s="311">
        <f>+Tabla14[[#This Row],[Total Valor Segunda]]+Tabla14[[#This Row],[Total Valor Primera]]+Tabla14[[#This Row],[Total Valor Precorte]]</f>
        <v>0</v>
      </c>
      <c r="BB487" s="292">
        <f>Tabla14[[#This Row],[Valor bolsas Pesona2]]+Tabla14[[#This Row],[Valor Embarque Pesona3]]</f>
        <v>0</v>
      </c>
      <c r="BD487" s="292">
        <f>Tabla14[[#This Row],[VALOR GANADO]]-Tabla14[[#This Row],[REAJUSTADO]]</f>
        <v>0</v>
      </c>
      <c r="BE487" s="250">
        <f>Tabla14[[#This Row],[CUANTO SE REAJUSTA]]*Tabla14[[#This Row],[Personas Rechazo]]</f>
        <v>0</v>
      </c>
      <c r="BF487" s="250">
        <f>Tabla14[[#This Row],[REAJUSTADO]]/25000</f>
        <v>0</v>
      </c>
      <c r="BG487" s="302">
        <f>Tabla14[[#This Row],[REAJUSTADO]]*Tabla14[[#This Row],[Personas Rechazo]]</f>
        <v>0</v>
      </c>
      <c r="BH487" s="292" t="str">
        <f>Tabla14[[#This Row],[Finca]]</f>
        <v>Uveros</v>
      </c>
      <c r="BJ487" s="332">
        <f>Tabla14[[#This Row],[Numero de Ocacionales]]*Tabla14[[#This Row],[REAJUSTADO]]</f>
        <v>0</v>
      </c>
      <c r="BK487" s="332"/>
      <c r="BL487" s="332"/>
      <c r="BM487" s="332">
        <f>+Tabla14[[#This Row],[CUANTO SE REAJUSTA]]*3</f>
        <v>0</v>
      </c>
    </row>
    <row r="488" spans="3:65" x14ac:dyDescent="0.25">
      <c r="C488" s="515">
        <v>45237</v>
      </c>
      <c r="D488" s="549">
        <f>YEAR(Tabla14[[#This Row],[Fecha]])</f>
        <v>2023</v>
      </c>
      <c r="E488" s="516">
        <f>IF(Tabla14[[#This Row],[Fecha]]&gt;0,_xlfn.ISOWEEKNUM(Tabla14[[#This Row],[Fecha]]),0)</f>
        <v>45</v>
      </c>
      <c r="F488" s="283">
        <f>260+150+50</f>
        <v>460</v>
      </c>
      <c r="G488" s="275" t="s">
        <v>250</v>
      </c>
      <c r="H488" s="325" t="str">
        <f>_xlfn.XLOOKUP(Tabla14[[#This Row],[Codigo Finca]],Tabla4[Codigo Finca],Tabla4[Nombre Finca],"")</f>
        <v>San Pedro</v>
      </c>
      <c r="I488" s="277">
        <f>_xlfn.XLOOKUP(Tabla14[[#This Row],[Codigo Finca]],Tabla4[Codigo Finca],Tabla4[Precio Caja],0)</f>
        <v>1800</v>
      </c>
      <c r="J488" s="277">
        <f>_xlfn.XLOOKUP(Tabla14[[#This Row],[Codigo Finca]],Tabla4[Codigo Finca],Tabla4[Precio Caja Segunda],0)</f>
        <v>1150</v>
      </c>
      <c r="K488" s="277">
        <f>_xlfn.XLOOKUP(Tabla14[[#This Row],[Codigo Finca]],Tabla4[Codigo Finca],Tabla4[Precio Rechazo],0)</f>
        <v>575</v>
      </c>
      <c r="L488" s="277">
        <f t="shared" si="478"/>
        <v>1255</v>
      </c>
      <c r="M488" s="278">
        <f t="shared" si="479"/>
        <v>2.7282608695652173</v>
      </c>
      <c r="N488" s="283"/>
      <c r="O488" s="279"/>
      <c r="P488" s="280">
        <f t="shared" si="480"/>
        <v>0</v>
      </c>
      <c r="Q488" s="281">
        <f t="shared" si="481"/>
        <v>0</v>
      </c>
      <c r="R488" s="282">
        <f t="shared" si="482"/>
        <v>0</v>
      </c>
      <c r="S488" s="283">
        <f>1365-110</f>
        <v>1255</v>
      </c>
      <c r="T488" s="275">
        <v>18</v>
      </c>
      <c r="U488" s="280">
        <f t="shared" si="483"/>
        <v>460</v>
      </c>
      <c r="V488" s="281">
        <f t="shared" si="484"/>
        <v>25.555555555555557</v>
      </c>
      <c r="W488" s="282">
        <f t="shared" si="485"/>
        <v>46000</v>
      </c>
      <c r="X488" s="283"/>
      <c r="Y488" s="275"/>
      <c r="Z488" s="280">
        <f>Tabla14[[#This Row],[Cajas Segunda]]</f>
        <v>0</v>
      </c>
      <c r="AA488" s="281">
        <f t="shared" si="486"/>
        <v>0</v>
      </c>
      <c r="AB488" s="284">
        <f t="shared" si="487"/>
        <v>0</v>
      </c>
      <c r="AC488" s="285"/>
      <c r="AD488" s="286">
        <v>2179</v>
      </c>
      <c r="AE488" s="286"/>
      <c r="AF488" s="286"/>
      <c r="AG488" s="286">
        <v>18</v>
      </c>
      <c r="AH488" s="280">
        <f t="shared" si="488"/>
        <v>87.16</v>
      </c>
      <c r="AI488" s="281">
        <f t="shared" si="489"/>
        <v>4.8422222222222224</v>
      </c>
      <c r="AJ488" s="282">
        <f t="shared" si="490"/>
        <v>2784.2777777777778</v>
      </c>
      <c r="AK488" s="287">
        <f>Tabla14[[#This Row],[Cajas por Personas]]</f>
        <v>0</v>
      </c>
      <c r="AL488" s="288">
        <f>Tabla14[[#This Row],[Valor Precorte Pesona]]</f>
        <v>0</v>
      </c>
      <c r="AM488" s="294">
        <f>Tabla14[[#This Row],[Personas Precorte]]</f>
        <v>0</v>
      </c>
      <c r="AN488" s="308">
        <f>Tabla14[[#This Row],[Valor Precorte Pesona Precorte]]*Tabla14[[#This Row],[Perzonas Precorte]]</f>
        <v>0</v>
      </c>
      <c r="AO488" s="287">
        <f>Tabla14[[#This Row],[Cajas por Personas2]]</f>
        <v>25.555555555555557</v>
      </c>
      <c r="AP488" s="288">
        <f>Tabla14[[#This Row],[Valor Embarque Pesona]]</f>
        <v>46000</v>
      </c>
      <c r="AQ488" s="295">
        <f>Tabla14[[#This Row],[Personas Precorte2]]</f>
        <v>18</v>
      </c>
      <c r="AR488" s="296">
        <f>Tabla14[[#This Row],[Valor Embarque Pesona3]]*Tabla14[[#This Row],[Perzona Primera]]</f>
        <v>828000</v>
      </c>
      <c r="AS488" s="287">
        <f>Tabla14[[#This Row],[Columna2]]</f>
        <v>0</v>
      </c>
      <c r="AT488" s="288">
        <f>Tabla14[[#This Row],[Columna1]]</f>
        <v>0</v>
      </c>
      <c r="AU488" s="302">
        <f>Tabla14[[#This Row],[Personas Intervienen]]</f>
        <v>0</v>
      </c>
      <c r="AV488" s="297">
        <f>Tabla14[[#This Row],[Valor Embarque Pesona5]]*Tabla14[[#This Row],[Presonas Segunda]]</f>
        <v>0</v>
      </c>
      <c r="AW488" s="287">
        <f>Tabla14[[#This Row],[Bolsas Por Personas]]</f>
        <v>4.8422222222222224</v>
      </c>
      <c r="AX488" s="288">
        <f>Tabla14[[#This Row],[Valor bolsas Pesona]]</f>
        <v>2784.2777777777778</v>
      </c>
      <c r="AY488" s="309">
        <f>Tabla14[[#This Row],[Personas13]]</f>
        <v>18</v>
      </c>
      <c r="AZ488" s="310">
        <f>Tabla14[[#This Row],[Valor bolsas Pesona2]]*Tabla14[[#This Row],[Personas Rechazo]]</f>
        <v>50117</v>
      </c>
      <c r="BA488" s="311">
        <f>+Tabla14[[#This Row],[Total Valor Segunda]]+Tabla14[[#This Row],[Total Valor Primera]]+Tabla14[[#This Row],[Total Valor Precorte]]</f>
        <v>828000</v>
      </c>
      <c r="BB488" s="555">
        <f>Tabla14[[#This Row],[Valor bolsas Pesona2]]+Tabla14[[#This Row],[Valor Embarque Pesona3]]</f>
        <v>48784.277777777781</v>
      </c>
      <c r="BC488" s="556">
        <f>+Tabla14[[#This Row],[VALOR GANADO]]+BB489</f>
        <v>52450.944444444445</v>
      </c>
      <c r="BD488" s="555">
        <f>Tabla14[[#This Row],[VALOR GANADO]]-Tabla14[[#This Row],[REAJUSTADO]]</f>
        <v>-3666.6666666666642</v>
      </c>
      <c r="BE488" s="250">
        <f>Tabla14[[#This Row],[CUANTO SE REAJUSTA]]*Tabla14[[#This Row],[Personas Rechazo]]</f>
        <v>-65999.999999999956</v>
      </c>
      <c r="BF488" s="250">
        <f>Tabla14[[#This Row],[REAJUSTADO]]/25000</f>
        <v>2.0980377777777779</v>
      </c>
      <c r="BG488" s="302">
        <f>Tabla14[[#This Row],[REAJUSTADO]]*Tabla14[[#This Row],[Personas Rechazo]]</f>
        <v>944117</v>
      </c>
      <c r="BH488" s="292" t="str">
        <f>Tabla14[[#This Row],[Finca]]</f>
        <v>San Pedro</v>
      </c>
      <c r="BJ488" s="332">
        <f>Tabla14[[#This Row],[Numero de Ocacionales]]*Tabla14[[#This Row],[REAJUSTADO]]</f>
        <v>0</v>
      </c>
      <c r="BK488" s="332"/>
      <c r="BL488" s="332"/>
      <c r="BM488" s="332">
        <f>+Tabla14[[#This Row],[CUANTO SE REAJUSTA]]*3</f>
        <v>-10999.999999999993</v>
      </c>
    </row>
    <row r="489" spans="3:65" x14ac:dyDescent="0.25">
      <c r="C489" s="515">
        <v>45237</v>
      </c>
      <c r="D489" s="549">
        <f>YEAR(Tabla14[[#This Row],[Fecha]])</f>
        <v>2023</v>
      </c>
      <c r="E489" s="516">
        <f>IF(Tabla14[[#This Row],[Fecha]]&gt;0,_xlfn.ISOWEEKNUM(Tabla14[[#This Row],[Fecha]]),0)</f>
        <v>45</v>
      </c>
      <c r="F489" s="283">
        <v>33</v>
      </c>
      <c r="G489" s="275" t="s">
        <v>249</v>
      </c>
      <c r="H489" s="325" t="str">
        <f>_xlfn.XLOOKUP(Tabla14[[#This Row],[Codigo Finca]],Tabla4[Codigo Finca],Tabla4[Nombre Finca],"")</f>
        <v>San Pedro</v>
      </c>
      <c r="I489" s="277">
        <f>_xlfn.XLOOKUP(Tabla14[[#This Row],[Codigo Finca]],Tabla4[Codigo Finca],Tabla4[Precio Caja],0)</f>
        <v>2000</v>
      </c>
      <c r="J489" s="277">
        <f>_xlfn.XLOOKUP(Tabla14[[#This Row],[Codigo Finca]],Tabla4[Codigo Finca],Tabla4[Precio Caja Segunda],0)</f>
        <v>1150</v>
      </c>
      <c r="K489" s="277">
        <f>_xlfn.XLOOKUP(Tabla14[[#This Row],[Codigo Finca]],Tabla4[Codigo Finca],Tabla4[Precio Rechazo],0)</f>
        <v>675</v>
      </c>
      <c r="L489" s="277">
        <f t="shared" si="478"/>
        <v>110</v>
      </c>
      <c r="M489" s="278">
        <f t="shared" si="479"/>
        <v>3.3333333333333335</v>
      </c>
      <c r="N489" s="283"/>
      <c r="O489" s="279"/>
      <c r="P489" s="280">
        <f t="shared" si="480"/>
        <v>0</v>
      </c>
      <c r="Q489" s="281">
        <f t="shared" si="481"/>
        <v>0</v>
      </c>
      <c r="R489" s="282">
        <f t="shared" si="482"/>
        <v>0</v>
      </c>
      <c r="S489" s="283">
        <v>110</v>
      </c>
      <c r="T489" s="275">
        <v>18</v>
      </c>
      <c r="U489" s="280">
        <f t="shared" si="483"/>
        <v>33</v>
      </c>
      <c r="V489" s="281">
        <f t="shared" si="484"/>
        <v>1.8333333333333333</v>
      </c>
      <c r="W489" s="282">
        <f t="shared" si="485"/>
        <v>3666.6666666666665</v>
      </c>
      <c r="X489" s="283"/>
      <c r="Y489" s="275"/>
      <c r="Z489" s="280">
        <f>Tabla14[[#This Row],[Cajas Segunda]]</f>
        <v>0</v>
      </c>
      <c r="AA489" s="281">
        <f t="shared" si="486"/>
        <v>0</v>
      </c>
      <c r="AB489" s="284">
        <f t="shared" si="487"/>
        <v>0</v>
      </c>
      <c r="AC489" s="285"/>
      <c r="AD489" s="286"/>
      <c r="AE489" s="286"/>
      <c r="AF489" s="286"/>
      <c r="AG489" s="286">
        <v>18</v>
      </c>
      <c r="AH489" s="280">
        <f t="shared" si="488"/>
        <v>0</v>
      </c>
      <c r="AI489" s="281">
        <f t="shared" si="489"/>
        <v>0</v>
      </c>
      <c r="AJ489" s="282">
        <f t="shared" si="490"/>
        <v>0</v>
      </c>
      <c r="AK489" s="287">
        <f>Tabla14[[#This Row],[Cajas por Personas]]</f>
        <v>0</v>
      </c>
      <c r="AL489" s="288">
        <f>Tabla14[[#This Row],[Valor Precorte Pesona]]</f>
        <v>0</v>
      </c>
      <c r="AM489" s="294">
        <f>Tabla14[[#This Row],[Personas Precorte]]</f>
        <v>0</v>
      </c>
      <c r="AN489" s="308">
        <f>Tabla14[[#This Row],[Valor Precorte Pesona Precorte]]*Tabla14[[#This Row],[Perzonas Precorte]]</f>
        <v>0</v>
      </c>
      <c r="AO489" s="287">
        <f>Tabla14[[#This Row],[Cajas por Personas2]]</f>
        <v>1.8333333333333333</v>
      </c>
      <c r="AP489" s="288">
        <f>Tabla14[[#This Row],[Valor Embarque Pesona]]</f>
        <v>3666.6666666666665</v>
      </c>
      <c r="AQ489" s="295">
        <f>Tabla14[[#This Row],[Personas Precorte2]]</f>
        <v>18</v>
      </c>
      <c r="AR489" s="296">
        <f>Tabla14[[#This Row],[Valor Embarque Pesona3]]*Tabla14[[#This Row],[Perzona Primera]]</f>
        <v>66000</v>
      </c>
      <c r="AS489" s="287">
        <f>Tabla14[[#This Row],[Columna2]]</f>
        <v>0</v>
      </c>
      <c r="AT489" s="288">
        <f>Tabla14[[#This Row],[Columna1]]</f>
        <v>0</v>
      </c>
      <c r="AU489" s="302">
        <f>Tabla14[[#This Row],[Personas Intervienen]]</f>
        <v>0</v>
      </c>
      <c r="AV489" s="297">
        <f>Tabla14[[#This Row],[Valor Embarque Pesona5]]*Tabla14[[#This Row],[Presonas Segunda]]</f>
        <v>0</v>
      </c>
      <c r="AW489" s="287">
        <f>Tabla14[[#This Row],[Bolsas Por Personas]]</f>
        <v>0</v>
      </c>
      <c r="AX489" s="288">
        <f>Tabla14[[#This Row],[Valor bolsas Pesona]]</f>
        <v>0</v>
      </c>
      <c r="AY489" s="309">
        <f>Tabla14[[#This Row],[Personas13]]</f>
        <v>18</v>
      </c>
      <c r="AZ489" s="310">
        <f>Tabla14[[#This Row],[Valor bolsas Pesona2]]*Tabla14[[#This Row],[Personas Rechazo]]</f>
        <v>0</v>
      </c>
      <c r="BA489" s="311">
        <f>+Tabla14[[#This Row],[Total Valor Segunda]]+Tabla14[[#This Row],[Total Valor Primera]]+Tabla14[[#This Row],[Total Valor Precorte]]</f>
        <v>66000</v>
      </c>
      <c r="BB489" s="555">
        <f>Tabla14[[#This Row],[Valor bolsas Pesona2]]+Tabla14[[#This Row],[Valor Embarque Pesona3]]</f>
        <v>3666.6666666666665</v>
      </c>
      <c r="BC489" s="556"/>
      <c r="BD489" s="555">
        <f>Tabla14[[#This Row],[VALOR GANADO]]-Tabla14[[#This Row],[REAJUSTADO]]</f>
        <v>3666.6666666666665</v>
      </c>
      <c r="BE489" s="250">
        <f>Tabla14[[#This Row],[CUANTO SE REAJUSTA]]*Tabla14[[#This Row],[Personas Rechazo]]</f>
        <v>66000</v>
      </c>
      <c r="BF489" s="250">
        <f>Tabla14[[#This Row],[REAJUSTADO]]/25000</f>
        <v>0</v>
      </c>
      <c r="BG489" s="302">
        <f>Tabla14[[#This Row],[REAJUSTADO]]*Tabla14[[#This Row],[Personas Rechazo]]</f>
        <v>0</v>
      </c>
      <c r="BH489" s="292" t="str">
        <f>Tabla14[[#This Row],[Finca]]</f>
        <v>San Pedro</v>
      </c>
      <c r="BJ489" s="332">
        <f>Tabla14[[#This Row],[Numero de Ocacionales]]*Tabla14[[#This Row],[REAJUSTADO]]</f>
        <v>0</v>
      </c>
      <c r="BK489" s="332"/>
      <c r="BL489" s="332"/>
      <c r="BM489" s="332">
        <f>+Tabla14[[#This Row],[CUANTO SE REAJUSTA]]*3</f>
        <v>11000</v>
      </c>
    </row>
    <row r="490" spans="3:65" x14ac:dyDescent="0.25">
      <c r="C490" s="515">
        <v>45237</v>
      </c>
      <c r="D490" s="549">
        <f>YEAR(Tabla14[[#This Row],[Fecha]])</f>
        <v>2023</v>
      </c>
      <c r="E490" s="516">
        <f>IF(Tabla14[[#This Row],[Fecha]]&gt;0,_xlfn.ISOWEEKNUM(Tabla14[[#This Row],[Fecha]]),0)</f>
        <v>45</v>
      </c>
      <c r="F490" s="283">
        <v>30</v>
      </c>
      <c r="G490" s="275" t="s">
        <v>247</v>
      </c>
      <c r="H490" s="325" t="str">
        <f>_xlfn.XLOOKUP(Tabla14[[#This Row],[Codigo Finca]],Tabla4[Codigo Finca],Tabla4[Nombre Finca],"")</f>
        <v>Uveros</v>
      </c>
      <c r="I490" s="277">
        <f>_xlfn.XLOOKUP(Tabla14[[#This Row],[Codigo Finca]],Tabla4[Codigo Finca],Tabla4[Precio Caja],0)</f>
        <v>1800</v>
      </c>
      <c r="J490" s="277">
        <f>_xlfn.XLOOKUP(Tabla14[[#This Row],[Codigo Finca]],Tabla4[Codigo Finca],Tabla4[Precio Caja Segunda],0)</f>
        <v>1150</v>
      </c>
      <c r="K490" s="277">
        <f>_xlfn.XLOOKUP(Tabla14[[#This Row],[Codigo Finca]],Tabla4[Codigo Finca],Tabla4[Precio Rechazo],0)</f>
        <v>575</v>
      </c>
      <c r="L490" s="277">
        <f t="shared" si="478"/>
        <v>0</v>
      </c>
      <c r="M490" s="278">
        <f t="shared" si="479"/>
        <v>0</v>
      </c>
      <c r="N490" s="283"/>
      <c r="O490" s="279"/>
      <c r="P490" s="280">
        <f t="shared" si="480"/>
        <v>0</v>
      </c>
      <c r="Q490" s="281">
        <f t="shared" si="481"/>
        <v>0</v>
      </c>
      <c r="R490" s="282">
        <f t="shared" si="482"/>
        <v>0</v>
      </c>
      <c r="S490" s="283"/>
      <c r="T490" s="275"/>
      <c r="U490" s="280">
        <f t="shared" si="483"/>
        <v>30</v>
      </c>
      <c r="V490" s="281">
        <f t="shared" si="484"/>
        <v>0</v>
      </c>
      <c r="W490" s="282">
        <f t="shared" si="485"/>
        <v>0</v>
      </c>
      <c r="X490" s="283"/>
      <c r="Y490" s="275"/>
      <c r="Z490" s="280">
        <f>Tabla14[[#This Row],[Cajas Segunda]]</f>
        <v>0</v>
      </c>
      <c r="AA490" s="281">
        <f t="shared" si="486"/>
        <v>0</v>
      </c>
      <c r="AB490" s="284">
        <f t="shared" si="487"/>
        <v>0</v>
      </c>
      <c r="AC490" s="285"/>
      <c r="AD490" s="286">
        <v>906</v>
      </c>
      <c r="AE490" s="286"/>
      <c r="AF490" s="286"/>
      <c r="AG490" s="286"/>
      <c r="AH490" s="280">
        <f t="shared" si="488"/>
        <v>36.24</v>
      </c>
      <c r="AI490" s="281">
        <f t="shared" si="489"/>
        <v>0</v>
      </c>
      <c r="AJ490" s="282">
        <f t="shared" si="490"/>
        <v>0</v>
      </c>
      <c r="AK490" s="287">
        <f>Tabla14[[#This Row],[Cajas por Personas]]</f>
        <v>0</v>
      </c>
      <c r="AL490" s="288">
        <f>Tabla14[[#This Row],[Valor Precorte Pesona]]</f>
        <v>0</v>
      </c>
      <c r="AM490" s="294">
        <f>Tabla14[[#This Row],[Personas Precorte]]</f>
        <v>0</v>
      </c>
      <c r="AN490" s="308">
        <f>Tabla14[[#This Row],[Valor Precorte Pesona Precorte]]*Tabla14[[#This Row],[Perzonas Precorte]]</f>
        <v>0</v>
      </c>
      <c r="AO490" s="287">
        <f>Tabla14[[#This Row],[Cajas por Personas2]]</f>
        <v>0</v>
      </c>
      <c r="AP490" s="288">
        <f>Tabla14[[#This Row],[Valor Embarque Pesona]]</f>
        <v>0</v>
      </c>
      <c r="AQ490" s="295">
        <f>Tabla14[[#This Row],[Personas Precorte2]]</f>
        <v>0</v>
      </c>
      <c r="AR490" s="296">
        <f>Tabla14[[#This Row],[Valor Embarque Pesona3]]*Tabla14[[#This Row],[Perzona Primera]]</f>
        <v>0</v>
      </c>
      <c r="AS490" s="287">
        <f>Tabla14[[#This Row],[Columna2]]</f>
        <v>0</v>
      </c>
      <c r="AT490" s="288">
        <f>Tabla14[[#This Row],[Columna1]]</f>
        <v>0</v>
      </c>
      <c r="AU490" s="302">
        <f>Tabla14[[#This Row],[Personas Intervienen]]</f>
        <v>0</v>
      </c>
      <c r="AV490" s="297">
        <f>Tabla14[[#This Row],[Valor Embarque Pesona5]]*Tabla14[[#This Row],[Presonas Segunda]]</f>
        <v>0</v>
      </c>
      <c r="AW490" s="287">
        <f>Tabla14[[#This Row],[Bolsas Por Personas]]</f>
        <v>0</v>
      </c>
      <c r="AX490" s="288">
        <f>Tabla14[[#This Row],[Valor bolsas Pesona]]</f>
        <v>0</v>
      </c>
      <c r="AY490" s="309">
        <f>Tabla14[[#This Row],[Personas13]]</f>
        <v>0</v>
      </c>
      <c r="AZ490" s="310">
        <f>Tabla14[[#This Row],[Valor bolsas Pesona2]]*Tabla14[[#This Row],[Personas Rechazo]]</f>
        <v>0</v>
      </c>
      <c r="BA490" s="311">
        <f>+Tabla14[[#This Row],[Total Valor Segunda]]+Tabla14[[#This Row],[Total Valor Primera]]+Tabla14[[#This Row],[Total Valor Precorte]]</f>
        <v>0</v>
      </c>
      <c r="BB490" s="292">
        <f>Tabla14[[#This Row],[Valor bolsas Pesona2]]+Tabla14[[#This Row],[Valor Embarque Pesona3]]</f>
        <v>0</v>
      </c>
      <c r="BC490" s="332">
        <v>35000</v>
      </c>
      <c r="BD490" s="292">
        <f>Tabla14[[#This Row],[VALOR GANADO]]-Tabla14[[#This Row],[REAJUSTADO]]</f>
        <v>-35000</v>
      </c>
      <c r="BE490" s="250">
        <f>Tabla14[[#This Row],[CUANTO SE REAJUSTA]]*Tabla14[[#This Row],[Personas Rechazo]]</f>
        <v>0</v>
      </c>
      <c r="BF490" s="250">
        <f>Tabla14[[#This Row],[REAJUSTADO]]/25000</f>
        <v>1.4</v>
      </c>
      <c r="BG490" s="302">
        <f>Tabla14[[#This Row],[REAJUSTADO]]*Tabla14[[#This Row],[Personas Rechazo]]</f>
        <v>0</v>
      </c>
      <c r="BH490" s="292" t="str">
        <f>Tabla14[[#This Row],[Finca]]</f>
        <v>Uveros</v>
      </c>
      <c r="BJ490" s="332">
        <f>Tabla14[[#This Row],[Numero de Ocacionales]]*Tabla14[[#This Row],[REAJUSTADO]]</f>
        <v>0</v>
      </c>
      <c r="BK490" s="332"/>
      <c r="BL490" s="332"/>
      <c r="BM490" s="332">
        <f>+Tabla14[[#This Row],[CUANTO SE REAJUSTA]]*3</f>
        <v>-105000</v>
      </c>
    </row>
    <row r="491" spans="3:65" x14ac:dyDescent="0.25">
      <c r="C491" s="515">
        <v>45238</v>
      </c>
      <c r="D491" s="549">
        <f>YEAR(Tabla14[[#This Row],[Fecha]])</f>
        <v>2023</v>
      </c>
      <c r="E491" s="516">
        <f>IF(Tabla14[[#This Row],[Fecha]]&gt;0,_xlfn.ISOWEEKNUM(Tabla14[[#This Row],[Fecha]]),0)</f>
        <v>45</v>
      </c>
      <c r="F491" s="283">
        <v>36</v>
      </c>
      <c r="G491" s="275" t="s">
        <v>251</v>
      </c>
      <c r="H491" s="325" t="str">
        <f>_xlfn.XLOOKUP(Tabla14[[#This Row],[Codigo Finca]],Tabla4[Codigo Finca],Tabla4[Nombre Finca],"")</f>
        <v>Pedrito</v>
      </c>
      <c r="I491" s="277">
        <f>_xlfn.XLOOKUP(Tabla14[[#This Row],[Codigo Finca]],Tabla4[Codigo Finca],Tabla4[Precio Caja],0)</f>
        <v>1800</v>
      </c>
      <c r="J491" s="277">
        <f>_xlfn.XLOOKUP(Tabla14[[#This Row],[Codigo Finca]],Tabla4[Codigo Finca],Tabla4[Precio Caja Segunda],0)</f>
        <v>1150</v>
      </c>
      <c r="K491" s="277">
        <f>_xlfn.XLOOKUP(Tabla14[[#This Row],[Codigo Finca]],Tabla4[Codigo Finca],Tabla4[Precio Rechazo],0)</f>
        <v>575</v>
      </c>
      <c r="L491" s="277">
        <f t="shared" si="478"/>
        <v>443</v>
      </c>
      <c r="M491" s="278">
        <f t="shared" si="479"/>
        <v>12.305555555555555</v>
      </c>
      <c r="N491" s="283"/>
      <c r="O491" s="279"/>
      <c r="P491" s="280">
        <f t="shared" si="480"/>
        <v>0</v>
      </c>
      <c r="Q491" s="281">
        <f t="shared" si="481"/>
        <v>0</v>
      </c>
      <c r="R491" s="282">
        <f t="shared" si="482"/>
        <v>0</v>
      </c>
      <c r="S491" s="283">
        <v>443</v>
      </c>
      <c r="T491" s="275">
        <v>10</v>
      </c>
      <c r="U491" s="280">
        <f t="shared" si="483"/>
        <v>36</v>
      </c>
      <c r="V491" s="281">
        <f t="shared" si="484"/>
        <v>3.6</v>
      </c>
      <c r="W491" s="282">
        <f t="shared" si="485"/>
        <v>6480</v>
      </c>
      <c r="X491" s="283"/>
      <c r="Y491" s="275"/>
      <c r="Z491" s="280">
        <f>Tabla14[[#This Row],[Cajas Segunda]]</f>
        <v>0</v>
      </c>
      <c r="AA491" s="281">
        <f t="shared" si="486"/>
        <v>0</v>
      </c>
      <c r="AB491" s="284">
        <f t="shared" si="487"/>
        <v>0</v>
      </c>
      <c r="AC491" s="285"/>
      <c r="AD491" s="286">
        <v>2010</v>
      </c>
      <c r="AE491" s="286"/>
      <c r="AF491" s="286"/>
      <c r="AG491" s="286">
        <v>10</v>
      </c>
      <c r="AH491" s="280">
        <f t="shared" si="488"/>
        <v>80.400000000000006</v>
      </c>
      <c r="AI491" s="281">
        <f t="shared" si="489"/>
        <v>8.0400000000000009</v>
      </c>
      <c r="AJ491" s="282">
        <f t="shared" si="490"/>
        <v>4623.0000000000009</v>
      </c>
      <c r="AK491" s="287">
        <f>Tabla14[[#This Row],[Cajas por Personas]]</f>
        <v>0</v>
      </c>
      <c r="AL491" s="288">
        <f>Tabla14[[#This Row],[Valor Precorte Pesona]]</f>
        <v>0</v>
      </c>
      <c r="AM491" s="294">
        <f>Tabla14[[#This Row],[Personas Precorte]]</f>
        <v>0</v>
      </c>
      <c r="AN491" s="308">
        <f>Tabla14[[#This Row],[Valor Precorte Pesona Precorte]]*Tabla14[[#This Row],[Perzonas Precorte]]</f>
        <v>0</v>
      </c>
      <c r="AO491" s="287">
        <f>Tabla14[[#This Row],[Cajas por Personas2]]</f>
        <v>3.6</v>
      </c>
      <c r="AP491" s="288">
        <f>Tabla14[[#This Row],[Valor Embarque Pesona]]</f>
        <v>6480</v>
      </c>
      <c r="AQ491" s="295">
        <f>Tabla14[[#This Row],[Personas Precorte2]]</f>
        <v>10</v>
      </c>
      <c r="AR491" s="296">
        <f>Tabla14[[#This Row],[Valor Embarque Pesona3]]*Tabla14[[#This Row],[Perzona Primera]]</f>
        <v>64800</v>
      </c>
      <c r="AS491" s="287">
        <f>Tabla14[[#This Row],[Columna2]]</f>
        <v>0</v>
      </c>
      <c r="AT491" s="288">
        <f>Tabla14[[#This Row],[Columna1]]</f>
        <v>0</v>
      </c>
      <c r="AU491" s="302">
        <f>Tabla14[[#This Row],[Personas Intervienen]]</f>
        <v>0</v>
      </c>
      <c r="AV491" s="297">
        <f>Tabla14[[#This Row],[Valor Embarque Pesona5]]*Tabla14[[#This Row],[Presonas Segunda]]</f>
        <v>0</v>
      </c>
      <c r="AW491" s="287">
        <f>Tabla14[[#This Row],[Bolsas Por Personas]]</f>
        <v>8.0400000000000009</v>
      </c>
      <c r="AX491" s="288">
        <f>Tabla14[[#This Row],[Valor bolsas Pesona]]</f>
        <v>4623.0000000000009</v>
      </c>
      <c r="AY491" s="309">
        <f>Tabla14[[#This Row],[Personas13]]</f>
        <v>10</v>
      </c>
      <c r="AZ491" s="310">
        <f>Tabla14[[#This Row],[Valor bolsas Pesona2]]*Tabla14[[#This Row],[Personas Rechazo]]</f>
        <v>46230.000000000007</v>
      </c>
      <c r="BA491" s="311">
        <f>+Tabla14[[#This Row],[Total Valor Segunda]]+Tabla14[[#This Row],[Total Valor Primera]]+Tabla14[[#This Row],[Total Valor Precorte]]</f>
        <v>64800</v>
      </c>
      <c r="BB491" s="292">
        <f>Tabla14[[#This Row],[Valor bolsas Pesona2]]+Tabla14[[#This Row],[Valor Embarque Pesona3]]</f>
        <v>11103</v>
      </c>
      <c r="BC491" s="332">
        <v>35000</v>
      </c>
      <c r="BD491" s="292">
        <f>Tabla14[[#This Row],[VALOR GANADO]]-Tabla14[[#This Row],[REAJUSTADO]]</f>
        <v>-23897</v>
      </c>
      <c r="BE491" s="250">
        <f>Tabla14[[#This Row],[CUANTO SE REAJUSTA]]*Tabla14[[#This Row],[Personas Rechazo]]</f>
        <v>-238970</v>
      </c>
      <c r="BF491" s="250">
        <f>Tabla14[[#This Row],[REAJUSTADO]]/25000</f>
        <v>1.4</v>
      </c>
      <c r="BG491" s="302">
        <f>Tabla14[[#This Row],[REAJUSTADO]]*Tabla14[[#This Row],[Personas Rechazo]]</f>
        <v>350000</v>
      </c>
      <c r="BH491" s="292" t="str">
        <f>Tabla14[[#This Row],[Finca]]</f>
        <v>Pedrito</v>
      </c>
      <c r="BJ491" s="332">
        <f>Tabla14[[#This Row],[Numero de Ocacionales]]*Tabla14[[#This Row],[REAJUSTADO]]</f>
        <v>0</v>
      </c>
      <c r="BK491" s="332"/>
      <c r="BL491" s="332"/>
      <c r="BM491" s="332">
        <f>+Tabla14[[#This Row],[CUANTO SE REAJUSTA]]*3</f>
        <v>-71691</v>
      </c>
    </row>
    <row r="492" spans="3:65" x14ac:dyDescent="0.25">
      <c r="C492" s="515">
        <v>45238</v>
      </c>
      <c r="D492" s="549">
        <f>YEAR(Tabla14[[#This Row],[Fecha]])</f>
        <v>2023</v>
      </c>
      <c r="E492" s="516">
        <f>IF(Tabla14[[#This Row],[Fecha]]&gt;0,_xlfn.ISOWEEKNUM(Tabla14[[#This Row],[Fecha]]),0)</f>
        <v>45</v>
      </c>
      <c r="F492" s="283">
        <v>6</v>
      </c>
      <c r="G492" s="275" t="s">
        <v>248</v>
      </c>
      <c r="H492" s="325" t="str">
        <f>_xlfn.XLOOKUP(Tabla14[[#This Row],[Codigo Finca]],Tabla4[Codigo Finca],Tabla4[Nombre Finca],"")</f>
        <v>Damaquiel</v>
      </c>
      <c r="I492" s="277">
        <f>_xlfn.XLOOKUP(Tabla14[[#This Row],[Codigo Finca]],Tabla4[Codigo Finca],Tabla4[Precio Caja],0)</f>
        <v>1800</v>
      </c>
      <c r="J492" s="277">
        <f>_xlfn.XLOOKUP(Tabla14[[#This Row],[Codigo Finca]],Tabla4[Codigo Finca],Tabla4[Precio Caja Segunda],0)</f>
        <v>1150</v>
      </c>
      <c r="K492" s="277">
        <f>_xlfn.XLOOKUP(Tabla14[[#This Row],[Codigo Finca]],Tabla4[Codigo Finca],Tabla4[Precio Rechazo],0)</f>
        <v>575</v>
      </c>
      <c r="L492" s="277">
        <f t="shared" si="478"/>
        <v>0</v>
      </c>
      <c r="M492" s="278">
        <f t="shared" si="479"/>
        <v>0</v>
      </c>
      <c r="N492" s="283"/>
      <c r="O492" s="279"/>
      <c r="P492" s="280">
        <f t="shared" si="480"/>
        <v>0</v>
      </c>
      <c r="Q492" s="281">
        <f t="shared" si="481"/>
        <v>0</v>
      </c>
      <c r="R492" s="282">
        <f t="shared" si="482"/>
        <v>0</v>
      </c>
      <c r="S492" s="283"/>
      <c r="T492" s="275"/>
      <c r="U492" s="280">
        <f t="shared" si="483"/>
        <v>6</v>
      </c>
      <c r="V492" s="281">
        <f t="shared" si="484"/>
        <v>0</v>
      </c>
      <c r="W492" s="282">
        <f t="shared" si="485"/>
        <v>0</v>
      </c>
      <c r="X492" s="283"/>
      <c r="Y492" s="275"/>
      <c r="Z492" s="280">
        <f>Tabla14[[#This Row],[Cajas Segunda]]</f>
        <v>0</v>
      </c>
      <c r="AA492" s="281">
        <f t="shared" si="486"/>
        <v>0</v>
      </c>
      <c r="AB492" s="284">
        <f t="shared" si="487"/>
        <v>0</v>
      </c>
      <c r="AC492" s="285"/>
      <c r="AD492" s="286">
        <v>834</v>
      </c>
      <c r="AE492" s="286"/>
      <c r="AF492" s="286"/>
      <c r="AG492" s="286"/>
      <c r="AH492" s="280">
        <f t="shared" si="488"/>
        <v>33.36</v>
      </c>
      <c r="AI492" s="281">
        <f t="shared" si="489"/>
        <v>0</v>
      </c>
      <c r="AJ492" s="282">
        <f t="shared" si="490"/>
        <v>0</v>
      </c>
      <c r="AK492" s="287">
        <f>Tabla14[[#This Row],[Cajas por Personas]]</f>
        <v>0</v>
      </c>
      <c r="AL492" s="288">
        <f>Tabla14[[#This Row],[Valor Precorte Pesona]]</f>
        <v>0</v>
      </c>
      <c r="AM492" s="294">
        <f>Tabla14[[#This Row],[Personas Precorte]]</f>
        <v>0</v>
      </c>
      <c r="AN492" s="308">
        <f>Tabla14[[#This Row],[Valor Precorte Pesona Precorte]]*Tabla14[[#This Row],[Perzonas Precorte]]</f>
        <v>0</v>
      </c>
      <c r="AO492" s="287">
        <f>Tabla14[[#This Row],[Cajas por Personas2]]</f>
        <v>0</v>
      </c>
      <c r="AP492" s="288">
        <f>Tabla14[[#This Row],[Valor Embarque Pesona]]</f>
        <v>0</v>
      </c>
      <c r="AQ492" s="295">
        <f>Tabla14[[#This Row],[Personas Precorte2]]</f>
        <v>0</v>
      </c>
      <c r="AR492" s="296">
        <f>Tabla14[[#This Row],[Valor Embarque Pesona3]]*Tabla14[[#This Row],[Perzona Primera]]</f>
        <v>0</v>
      </c>
      <c r="AS492" s="287">
        <f>Tabla14[[#This Row],[Columna2]]</f>
        <v>0</v>
      </c>
      <c r="AT492" s="288">
        <f>Tabla14[[#This Row],[Columna1]]</f>
        <v>0</v>
      </c>
      <c r="AU492" s="302">
        <f>Tabla14[[#This Row],[Personas Intervienen]]</f>
        <v>0</v>
      </c>
      <c r="AV492" s="297">
        <f>Tabla14[[#This Row],[Valor Embarque Pesona5]]*Tabla14[[#This Row],[Presonas Segunda]]</f>
        <v>0</v>
      </c>
      <c r="AW492" s="287">
        <f>Tabla14[[#This Row],[Bolsas Por Personas]]</f>
        <v>0</v>
      </c>
      <c r="AX492" s="288">
        <f>Tabla14[[#This Row],[Valor bolsas Pesona]]</f>
        <v>0</v>
      </c>
      <c r="AY492" s="309">
        <f>Tabla14[[#This Row],[Personas13]]</f>
        <v>0</v>
      </c>
      <c r="AZ492" s="310">
        <f>Tabla14[[#This Row],[Valor bolsas Pesona2]]*Tabla14[[#This Row],[Personas Rechazo]]</f>
        <v>0</v>
      </c>
      <c r="BA492" s="311">
        <f>+Tabla14[[#This Row],[Total Valor Segunda]]+Tabla14[[#This Row],[Total Valor Primera]]+Tabla14[[#This Row],[Total Valor Precorte]]</f>
        <v>0</v>
      </c>
      <c r="BB492" s="292">
        <f>Tabla14[[#This Row],[Valor bolsas Pesona2]]+Tabla14[[#This Row],[Valor Embarque Pesona3]]</f>
        <v>0</v>
      </c>
      <c r="BC492" s="332">
        <v>35000</v>
      </c>
      <c r="BD492" s="292">
        <f>Tabla14[[#This Row],[VALOR GANADO]]-Tabla14[[#This Row],[REAJUSTADO]]</f>
        <v>-35000</v>
      </c>
      <c r="BE492" s="250">
        <f>Tabla14[[#This Row],[CUANTO SE REAJUSTA]]*Tabla14[[#This Row],[Personas Rechazo]]</f>
        <v>0</v>
      </c>
      <c r="BF492" s="250">
        <f>Tabla14[[#This Row],[REAJUSTADO]]/25000</f>
        <v>1.4</v>
      </c>
      <c r="BG492" s="302">
        <f>Tabla14[[#This Row],[REAJUSTADO]]*Tabla14[[#This Row],[Personas Rechazo]]</f>
        <v>0</v>
      </c>
      <c r="BH492" s="292" t="str">
        <f>Tabla14[[#This Row],[Finca]]</f>
        <v>Damaquiel</v>
      </c>
      <c r="BJ492" s="332">
        <f>Tabla14[[#This Row],[Numero de Ocacionales]]*Tabla14[[#This Row],[REAJUSTADO]]</f>
        <v>0</v>
      </c>
      <c r="BK492" s="332"/>
      <c r="BL492" s="332"/>
      <c r="BM492" s="332">
        <f>+Tabla14[[#This Row],[CUANTO SE REAJUSTA]]*3</f>
        <v>-105000</v>
      </c>
    </row>
    <row r="493" spans="3:65" x14ac:dyDescent="0.25">
      <c r="C493" s="515">
        <v>45244</v>
      </c>
      <c r="D493" s="549">
        <f>YEAR(Tabla14[[#This Row],[Fecha]])</f>
        <v>2023</v>
      </c>
      <c r="E493" s="516">
        <f>IF(Tabla14[[#This Row],[Fecha]]&gt;0,_xlfn.ISOWEEKNUM(Tabla14[[#This Row],[Fecha]]),0)</f>
        <v>46</v>
      </c>
      <c r="F493" s="283">
        <v>400</v>
      </c>
      <c r="G493" s="275" t="s">
        <v>250</v>
      </c>
      <c r="H493" s="325" t="str">
        <f>_xlfn.XLOOKUP(Tabla14[[#This Row],[Codigo Finca]],Tabla4[Codigo Finca],Tabla4[Nombre Finca],"")</f>
        <v>San Pedro</v>
      </c>
      <c r="I493" s="277">
        <f>_xlfn.XLOOKUP(Tabla14[[#This Row],[Codigo Finca]],Tabla4[Codigo Finca],Tabla4[Precio Caja],0)</f>
        <v>1800</v>
      </c>
      <c r="J493" s="277">
        <f>_xlfn.XLOOKUP(Tabla14[[#This Row],[Codigo Finca]],Tabla4[Codigo Finca],Tabla4[Precio Caja Segunda],0)</f>
        <v>1150</v>
      </c>
      <c r="K493" s="277">
        <f>_xlfn.XLOOKUP(Tabla14[[#This Row],[Codigo Finca]],Tabla4[Codigo Finca],Tabla4[Precio Rechazo],0)</f>
        <v>575</v>
      </c>
      <c r="L493" s="277">
        <f>S493+N493</f>
        <v>0</v>
      </c>
      <c r="M493" s="278">
        <f>IF(F493&gt;0,L493/F493,0)</f>
        <v>0</v>
      </c>
      <c r="N493" s="283"/>
      <c r="O493" s="279"/>
      <c r="P493" s="280">
        <f>IF(N493&gt;0,(N493/M493)/2,0)</f>
        <v>0</v>
      </c>
      <c r="Q493" s="281">
        <f>IF(O493&gt;0,P493/O493,0)</f>
        <v>0</v>
      </c>
      <c r="R493" s="282">
        <f>IF(I493&gt;0,Q493*I493,)</f>
        <v>0</v>
      </c>
      <c r="S493" s="283"/>
      <c r="T493" s="275">
        <v>16</v>
      </c>
      <c r="U493" s="280">
        <f>F493-P493</f>
        <v>400</v>
      </c>
      <c r="V493" s="281">
        <f>IF(T493&gt;0,U493/T493,0)</f>
        <v>25</v>
      </c>
      <c r="W493" s="282">
        <f>IF(T493&gt;0,(U493*I493)/T493,0)</f>
        <v>45000</v>
      </c>
      <c r="X493" s="283"/>
      <c r="Y493" s="275"/>
      <c r="Z493" s="280">
        <f>Tabla14[[#This Row],[Cajas Segunda]]</f>
        <v>0</v>
      </c>
      <c r="AA493" s="281">
        <f>IF(Y493&gt;0,Z493/Y493,0)</f>
        <v>0</v>
      </c>
      <c r="AB493" s="284">
        <f>IF(Y493&gt;0,(Z493*J493)/Y493,0)</f>
        <v>0</v>
      </c>
      <c r="AC493" s="285"/>
      <c r="AD493" s="286">
        <v>4394</v>
      </c>
      <c r="AE493" s="286"/>
      <c r="AF493" s="286"/>
      <c r="AG493" s="286">
        <v>16</v>
      </c>
      <c r="AH493" s="280">
        <f>IF(AND(AC493&gt;0,AE493=0,AF493=0,AD493=0),AC493,IF(AND(AC493=0,AE493&gt;0,AF493&gt;0,AD493=0),AE493*AF493/25,IF(AND(AC493=0,AE493=0,AF493=0,AD493&gt;0),AD493/25,0)))</f>
        <v>175.76</v>
      </c>
      <c r="AI493" s="281">
        <f>IF(AG493&gt;0,AH493/AG493,0)</f>
        <v>10.984999999999999</v>
      </c>
      <c r="AJ493" s="282">
        <f>AI493*K493</f>
        <v>6316.375</v>
      </c>
      <c r="AK493" s="287">
        <f>Tabla14[[#This Row],[Cajas por Personas]]</f>
        <v>0</v>
      </c>
      <c r="AL493" s="288">
        <f>Tabla14[[#This Row],[Valor Precorte Pesona]]</f>
        <v>0</v>
      </c>
      <c r="AM493" s="294">
        <f>Tabla14[[#This Row],[Personas Precorte]]</f>
        <v>0</v>
      </c>
      <c r="AN493" s="308">
        <f>Tabla14[[#This Row],[Valor Precorte Pesona Precorte]]*Tabla14[[#This Row],[Perzonas Precorte]]</f>
        <v>0</v>
      </c>
      <c r="AO493" s="287">
        <f>Tabla14[[#This Row],[Cajas por Personas2]]</f>
        <v>25</v>
      </c>
      <c r="AP493" s="288">
        <f>Tabla14[[#This Row],[Valor Embarque Pesona]]</f>
        <v>45000</v>
      </c>
      <c r="AQ493" s="295">
        <f>Tabla14[[#This Row],[Personas Precorte2]]</f>
        <v>16</v>
      </c>
      <c r="AR493" s="296">
        <f>Tabla14[[#This Row],[Valor Embarque Pesona3]]*Tabla14[[#This Row],[Perzona Primera]]</f>
        <v>720000</v>
      </c>
      <c r="AS493" s="287">
        <f>Tabla14[[#This Row],[Columna2]]</f>
        <v>0</v>
      </c>
      <c r="AT493" s="288">
        <f>Tabla14[[#This Row],[Columna1]]</f>
        <v>0</v>
      </c>
      <c r="AU493" s="302">
        <f>Tabla14[[#This Row],[Personas Intervienen]]</f>
        <v>0</v>
      </c>
      <c r="AV493" s="297">
        <f>Tabla14[[#This Row],[Valor Embarque Pesona5]]*Tabla14[[#This Row],[Presonas Segunda]]</f>
        <v>0</v>
      </c>
      <c r="AW493" s="287">
        <f>Tabla14[[#This Row],[Bolsas Por Personas]]</f>
        <v>10.984999999999999</v>
      </c>
      <c r="AX493" s="288">
        <f>Tabla14[[#This Row],[Valor bolsas Pesona]]</f>
        <v>6316.375</v>
      </c>
      <c r="AY493" s="309">
        <f>Tabla14[[#This Row],[Personas13]]</f>
        <v>16</v>
      </c>
      <c r="AZ493" s="310">
        <f>Tabla14[[#This Row],[Valor bolsas Pesona2]]*Tabla14[[#This Row],[Personas Rechazo]]</f>
        <v>101062</v>
      </c>
      <c r="BA493" s="311">
        <f>+Tabla14[[#This Row],[Total Valor Segunda]]+Tabla14[[#This Row],[Total Valor Primera]]+Tabla14[[#This Row],[Total Valor Precorte]]</f>
        <v>720000</v>
      </c>
      <c r="BB493" s="292">
        <f>Tabla14[[#This Row],[Valor bolsas Pesona2]]+Tabla14[[#This Row],[Valor Embarque Pesona3]]</f>
        <v>51316.375</v>
      </c>
      <c r="BC493" s="332">
        <v>51300</v>
      </c>
      <c r="BD493" s="292">
        <f>Tabla14[[#This Row],[VALOR GANADO]]-Tabla14[[#This Row],[REAJUSTADO]]</f>
        <v>16.375</v>
      </c>
      <c r="BE493" s="250">
        <f>Tabla14[[#This Row],[CUANTO SE REAJUSTA]]*Tabla14[[#This Row],[Personas Rechazo]]</f>
        <v>262</v>
      </c>
      <c r="BF493" s="250">
        <f>Tabla14[[#This Row],[REAJUSTADO]]/25000</f>
        <v>2.052</v>
      </c>
      <c r="BG493" s="302">
        <f>Tabla14[[#This Row],[REAJUSTADO]]*Tabla14[[#This Row],[Personas Rechazo]]</f>
        <v>820800</v>
      </c>
      <c r="BH493" s="292" t="str">
        <f>Tabla14[[#This Row],[Finca]]</f>
        <v>San Pedro</v>
      </c>
      <c r="BJ493" s="332">
        <f>Tabla14[[#This Row],[Numero de Ocacionales]]*Tabla14[[#This Row],[REAJUSTADO]]</f>
        <v>0</v>
      </c>
      <c r="BK493" s="332"/>
      <c r="BL493" s="332"/>
      <c r="BM493" s="332">
        <f>+Tabla14[[#This Row],[CUANTO SE REAJUSTA]]*3</f>
        <v>49.125</v>
      </c>
    </row>
    <row r="494" spans="3:65" x14ac:dyDescent="0.25">
      <c r="C494" s="515">
        <v>45244</v>
      </c>
      <c r="D494" s="549">
        <f>YEAR(Tabla14[[#This Row],[Fecha]])</f>
        <v>2023</v>
      </c>
      <c r="E494" s="516">
        <f>IF(Tabla14[[#This Row],[Fecha]]&gt;0,_xlfn.ISOWEEKNUM(Tabla14[[#This Row],[Fecha]]),0)</f>
        <v>46</v>
      </c>
      <c r="F494" s="283">
        <v>26</v>
      </c>
      <c r="G494" s="275" t="s">
        <v>248</v>
      </c>
      <c r="H494" s="325" t="str">
        <f>_xlfn.XLOOKUP(Tabla14[[#This Row],[Codigo Finca]],Tabla4[Codigo Finca],Tabla4[Nombre Finca],"")</f>
        <v>Damaquiel</v>
      </c>
      <c r="I494" s="277">
        <f>_xlfn.XLOOKUP(Tabla14[[#This Row],[Codigo Finca]],Tabla4[Codigo Finca],Tabla4[Precio Caja],0)</f>
        <v>1800</v>
      </c>
      <c r="J494" s="277">
        <f>_xlfn.XLOOKUP(Tabla14[[#This Row],[Codigo Finca]],Tabla4[Codigo Finca],Tabla4[Precio Caja Segunda],0)</f>
        <v>1150</v>
      </c>
      <c r="K494" s="277">
        <f>_xlfn.XLOOKUP(Tabla14[[#This Row],[Codigo Finca]],Tabla4[Codigo Finca],Tabla4[Precio Rechazo],0)</f>
        <v>575</v>
      </c>
      <c r="L494" s="277">
        <f>S494+N494</f>
        <v>0</v>
      </c>
      <c r="M494" s="278">
        <f>IF(F494&gt;0,L494/F494,0)</f>
        <v>0</v>
      </c>
      <c r="N494" s="283"/>
      <c r="O494" s="279"/>
      <c r="P494" s="280">
        <f>IF(N494&gt;0,(N494/M494)/2,0)</f>
        <v>0</v>
      </c>
      <c r="Q494" s="281">
        <f>IF(O494&gt;0,P494/O494,0)</f>
        <v>0</v>
      </c>
      <c r="R494" s="282">
        <f>IF(I494&gt;0,Q494*I494,)</f>
        <v>0</v>
      </c>
      <c r="S494" s="283"/>
      <c r="T494" s="275"/>
      <c r="U494" s="280">
        <f>F494-P494</f>
        <v>26</v>
      </c>
      <c r="V494" s="281">
        <f>IF(T494&gt;0,U494/T494,0)</f>
        <v>0</v>
      </c>
      <c r="W494" s="282">
        <f>IF(T494&gt;0,(U494*I494)/T494,0)</f>
        <v>0</v>
      </c>
      <c r="X494" s="283"/>
      <c r="Y494" s="275"/>
      <c r="Z494" s="280">
        <f>Tabla14[[#This Row],[Cajas Segunda]]</f>
        <v>0</v>
      </c>
      <c r="AA494" s="281">
        <f>IF(Y494&gt;0,Z494/Y494,0)</f>
        <v>0</v>
      </c>
      <c r="AB494" s="284">
        <f>IF(Y494&gt;0,(Z494*J494)/Y494,0)</f>
        <v>0</v>
      </c>
      <c r="AC494" s="285"/>
      <c r="AD494" s="286"/>
      <c r="AE494" s="286"/>
      <c r="AF494" s="286"/>
      <c r="AG494" s="286"/>
      <c r="AH494" s="280">
        <f>IF(AND(AC494&gt;0,AE494=0,AF494=0,AD494=0),AC494,IF(AND(AC494=0,AE494&gt;0,AF494&gt;0,AD494=0),AE494*AF494/25,IF(AND(AC494=0,AE494=0,AF494=0,AD494&gt;0),AD494/25,0)))</f>
        <v>0</v>
      </c>
      <c r="AI494" s="281">
        <f>IF(AG494&gt;0,AH494/AG494,0)</f>
        <v>0</v>
      </c>
      <c r="AJ494" s="282">
        <f>AI494*K494</f>
        <v>0</v>
      </c>
      <c r="AK494" s="287">
        <f>Tabla14[[#This Row],[Cajas por Personas]]</f>
        <v>0</v>
      </c>
      <c r="AL494" s="288">
        <f>Tabla14[[#This Row],[Valor Precorte Pesona]]</f>
        <v>0</v>
      </c>
      <c r="AM494" s="294">
        <f>Tabla14[[#This Row],[Personas Precorte]]</f>
        <v>0</v>
      </c>
      <c r="AN494" s="308">
        <f>Tabla14[[#This Row],[Valor Precorte Pesona Precorte]]*Tabla14[[#This Row],[Perzonas Precorte]]</f>
        <v>0</v>
      </c>
      <c r="AO494" s="287">
        <f>Tabla14[[#This Row],[Cajas por Personas2]]</f>
        <v>0</v>
      </c>
      <c r="AP494" s="288">
        <f>Tabla14[[#This Row],[Valor Embarque Pesona]]</f>
        <v>0</v>
      </c>
      <c r="AQ494" s="295">
        <f>Tabla14[[#This Row],[Personas Precorte2]]</f>
        <v>0</v>
      </c>
      <c r="AR494" s="296">
        <f>Tabla14[[#This Row],[Valor Embarque Pesona3]]*Tabla14[[#This Row],[Perzona Primera]]</f>
        <v>0</v>
      </c>
      <c r="AS494" s="287">
        <f>Tabla14[[#This Row],[Columna2]]</f>
        <v>0</v>
      </c>
      <c r="AT494" s="288">
        <f>Tabla14[[#This Row],[Columna1]]</f>
        <v>0</v>
      </c>
      <c r="AU494" s="302">
        <f>Tabla14[[#This Row],[Personas Intervienen]]</f>
        <v>0</v>
      </c>
      <c r="AV494" s="297">
        <f>Tabla14[[#This Row],[Valor Embarque Pesona5]]*Tabla14[[#This Row],[Presonas Segunda]]</f>
        <v>0</v>
      </c>
      <c r="AW494" s="287">
        <f>Tabla14[[#This Row],[Bolsas Por Personas]]</f>
        <v>0</v>
      </c>
      <c r="AX494" s="288">
        <f>Tabla14[[#This Row],[Valor bolsas Pesona]]</f>
        <v>0</v>
      </c>
      <c r="AY494" s="309">
        <f>Tabla14[[#This Row],[Personas13]]</f>
        <v>0</v>
      </c>
      <c r="AZ494" s="310">
        <f>Tabla14[[#This Row],[Valor bolsas Pesona2]]*Tabla14[[#This Row],[Personas Rechazo]]</f>
        <v>0</v>
      </c>
      <c r="BA494" s="311">
        <f>+Tabla14[[#This Row],[Total Valor Segunda]]+Tabla14[[#This Row],[Total Valor Primera]]+Tabla14[[#This Row],[Total Valor Precorte]]</f>
        <v>0</v>
      </c>
      <c r="BB494" s="292">
        <f>Tabla14[[#This Row],[Valor bolsas Pesona2]]+Tabla14[[#This Row],[Valor Embarque Pesona3]]</f>
        <v>0</v>
      </c>
      <c r="BD494" s="292">
        <f>Tabla14[[#This Row],[VALOR GANADO]]-Tabla14[[#This Row],[REAJUSTADO]]</f>
        <v>0</v>
      </c>
      <c r="BE494" s="250">
        <f>Tabla14[[#This Row],[CUANTO SE REAJUSTA]]*Tabla14[[#This Row],[Personas Rechazo]]</f>
        <v>0</v>
      </c>
      <c r="BF494" s="250">
        <f>Tabla14[[#This Row],[REAJUSTADO]]/25000</f>
        <v>0</v>
      </c>
      <c r="BG494" s="302">
        <f>Tabla14[[#This Row],[REAJUSTADO]]*Tabla14[[#This Row],[Personas Rechazo]]</f>
        <v>0</v>
      </c>
      <c r="BH494" s="292" t="str">
        <f>Tabla14[[#This Row],[Finca]]</f>
        <v>Damaquiel</v>
      </c>
      <c r="BJ494" s="332">
        <f>Tabla14[[#This Row],[Numero de Ocacionales]]*Tabla14[[#This Row],[REAJUSTADO]]</f>
        <v>0</v>
      </c>
      <c r="BK494" s="332"/>
      <c r="BL494" s="332"/>
      <c r="BM494" s="332">
        <f>+Tabla14[[#This Row],[CUANTO SE REAJUSTA]]*3</f>
        <v>0</v>
      </c>
    </row>
    <row r="495" spans="3:65" x14ac:dyDescent="0.25">
      <c r="C495" s="515">
        <v>45245</v>
      </c>
      <c r="D495" s="549">
        <f>YEAR(Tabla14[[#This Row],[Fecha]])</f>
        <v>2023</v>
      </c>
      <c r="E495" s="516">
        <f>IF(Tabla14[[#This Row],[Fecha]]&gt;0,_xlfn.ISOWEEKNUM(Tabla14[[#This Row],[Fecha]]),0)</f>
        <v>46</v>
      </c>
      <c r="F495" s="283">
        <f>155+104</f>
        <v>259</v>
      </c>
      <c r="G495" s="275" t="s">
        <v>250</v>
      </c>
      <c r="H495" s="325" t="str">
        <f>_xlfn.XLOOKUP(Tabla14[[#This Row],[Codigo Finca]],Tabla4[Codigo Finca],Tabla4[Nombre Finca],"")</f>
        <v>San Pedro</v>
      </c>
      <c r="I495" s="277">
        <f>_xlfn.XLOOKUP(Tabla14[[#This Row],[Codigo Finca]],Tabla4[Codigo Finca],Tabla4[Precio Caja],0)</f>
        <v>1800</v>
      </c>
      <c r="J495" s="277">
        <f>_xlfn.XLOOKUP(Tabla14[[#This Row],[Codigo Finca]],Tabla4[Codigo Finca],Tabla4[Precio Caja Segunda],0)</f>
        <v>1150</v>
      </c>
      <c r="K495" s="277">
        <f>_xlfn.XLOOKUP(Tabla14[[#This Row],[Codigo Finca]],Tabla4[Codigo Finca],Tabla4[Precio Rechazo],0)</f>
        <v>575</v>
      </c>
      <c r="L495" s="277">
        <f>S495+N495</f>
        <v>0</v>
      </c>
      <c r="M495" s="278">
        <f>IF(F495&gt;0,L495/F495,0)</f>
        <v>0</v>
      </c>
      <c r="N495" s="283"/>
      <c r="O495" s="279"/>
      <c r="P495" s="280">
        <f>IF(N495&gt;0,(N495/M495)/2,0)</f>
        <v>0</v>
      </c>
      <c r="Q495" s="281">
        <f>IF(O495&gt;0,P495/O495,0)</f>
        <v>0</v>
      </c>
      <c r="R495" s="282">
        <f>IF(I495&gt;0,Q495*I495,)</f>
        <v>0</v>
      </c>
      <c r="S495" s="283"/>
      <c r="T495" s="275">
        <v>13</v>
      </c>
      <c r="U495" s="280">
        <f>F495-P495</f>
        <v>259</v>
      </c>
      <c r="V495" s="281">
        <f>IF(T495&gt;0,U495/T495,0)</f>
        <v>19.923076923076923</v>
      </c>
      <c r="W495" s="282">
        <f>IF(T495&gt;0,(U495*I495)/T495,0)</f>
        <v>35861.538461538461</v>
      </c>
      <c r="X495" s="283"/>
      <c r="Y495" s="275"/>
      <c r="Z495" s="280">
        <f>Tabla14[[#This Row],[Cajas Segunda]]</f>
        <v>0</v>
      </c>
      <c r="AA495" s="281">
        <f>IF(Y495&gt;0,Z495/Y495,0)</f>
        <v>0</v>
      </c>
      <c r="AB495" s="284">
        <f>IF(Y495&gt;0,(Z495*J495)/Y495,0)</f>
        <v>0</v>
      </c>
      <c r="AC495" s="285"/>
      <c r="AD495" s="286">
        <v>2282</v>
      </c>
      <c r="AE495" s="286"/>
      <c r="AF495" s="286"/>
      <c r="AG495" s="286">
        <v>13</v>
      </c>
      <c r="AH495" s="280">
        <f>IF(AND(AC495&gt;0,AE495=0,AF495=0,AD495=0),AC495,IF(AND(AC495=0,AE495&gt;0,AF495&gt;0,AD495=0),AE495*AF495/25,IF(AND(AC495=0,AE495=0,AF495=0,AD495&gt;0),AD495/25,0)))</f>
        <v>91.28</v>
      </c>
      <c r="AI495" s="281">
        <f>IF(AG495&gt;0,AH495/AG495,0)</f>
        <v>7.0215384615384613</v>
      </c>
      <c r="AJ495" s="282">
        <f>AI495*K495</f>
        <v>4037.3846153846152</v>
      </c>
      <c r="AK495" s="287">
        <f>Tabla14[[#This Row],[Cajas por Personas]]</f>
        <v>0</v>
      </c>
      <c r="AL495" s="288">
        <f>Tabla14[[#This Row],[Valor Precorte Pesona]]</f>
        <v>0</v>
      </c>
      <c r="AM495" s="294">
        <f>Tabla14[[#This Row],[Personas Precorte]]</f>
        <v>0</v>
      </c>
      <c r="AN495" s="308">
        <f>Tabla14[[#This Row],[Valor Precorte Pesona Precorte]]*Tabla14[[#This Row],[Perzonas Precorte]]</f>
        <v>0</v>
      </c>
      <c r="AO495" s="287">
        <f>Tabla14[[#This Row],[Cajas por Personas2]]</f>
        <v>19.923076923076923</v>
      </c>
      <c r="AP495" s="288">
        <f>Tabla14[[#This Row],[Valor Embarque Pesona]]</f>
        <v>35861.538461538461</v>
      </c>
      <c r="AQ495" s="295">
        <f>Tabla14[[#This Row],[Personas Precorte2]]</f>
        <v>13</v>
      </c>
      <c r="AR495" s="296">
        <f>Tabla14[[#This Row],[Valor Embarque Pesona3]]*Tabla14[[#This Row],[Perzona Primera]]</f>
        <v>466200</v>
      </c>
      <c r="AS495" s="287">
        <f>Tabla14[[#This Row],[Columna2]]</f>
        <v>0</v>
      </c>
      <c r="AT495" s="288">
        <f>Tabla14[[#This Row],[Columna1]]</f>
        <v>0</v>
      </c>
      <c r="AU495" s="302">
        <f>Tabla14[[#This Row],[Personas Intervienen]]</f>
        <v>0</v>
      </c>
      <c r="AV495" s="297">
        <f>Tabla14[[#This Row],[Valor Embarque Pesona5]]*Tabla14[[#This Row],[Presonas Segunda]]</f>
        <v>0</v>
      </c>
      <c r="AW495" s="287">
        <f>Tabla14[[#This Row],[Bolsas Por Personas]]</f>
        <v>7.0215384615384613</v>
      </c>
      <c r="AX495" s="288">
        <f>Tabla14[[#This Row],[Valor bolsas Pesona]]</f>
        <v>4037.3846153846152</v>
      </c>
      <c r="AY495" s="309">
        <f>Tabla14[[#This Row],[Personas13]]</f>
        <v>13</v>
      </c>
      <c r="AZ495" s="310">
        <f>Tabla14[[#This Row],[Valor bolsas Pesona2]]*Tabla14[[#This Row],[Personas Rechazo]]</f>
        <v>52486</v>
      </c>
      <c r="BA495" s="311">
        <f>+Tabla14[[#This Row],[Total Valor Segunda]]+Tabla14[[#This Row],[Total Valor Primera]]+Tabla14[[#This Row],[Total Valor Precorte]]</f>
        <v>466200</v>
      </c>
      <c r="BB495" s="292">
        <f>Tabla14[[#This Row],[Valor bolsas Pesona2]]+Tabla14[[#This Row],[Valor Embarque Pesona3]]</f>
        <v>39898.923076923078</v>
      </c>
      <c r="BC495" s="332">
        <v>40000</v>
      </c>
      <c r="BD495" s="292">
        <f>Tabla14[[#This Row],[VALOR GANADO]]-Tabla14[[#This Row],[REAJUSTADO]]</f>
        <v>-101.07692307692196</v>
      </c>
      <c r="BE495" s="250">
        <f>Tabla14[[#This Row],[CUANTO SE REAJUSTA]]*Tabla14[[#This Row],[Personas Rechazo]]</f>
        <v>-1313.9999999999854</v>
      </c>
      <c r="BF495" s="250">
        <f>Tabla14[[#This Row],[REAJUSTADO]]/25000</f>
        <v>1.6</v>
      </c>
      <c r="BG495" s="302">
        <f>Tabla14[[#This Row],[REAJUSTADO]]*Tabla14[[#This Row],[Personas Rechazo]]</f>
        <v>520000</v>
      </c>
      <c r="BH495" s="292" t="str">
        <f>Tabla14[[#This Row],[Finca]]</f>
        <v>San Pedro</v>
      </c>
      <c r="BJ495" s="332">
        <f>Tabla14[[#This Row],[Numero de Ocacionales]]*Tabla14[[#This Row],[REAJUSTADO]]</f>
        <v>0</v>
      </c>
      <c r="BK495" s="332"/>
      <c r="BL495" s="332"/>
      <c r="BM495" s="332">
        <f>+Tabla14[[#This Row],[CUANTO SE REAJUSTA]]*3</f>
        <v>-303.23076923076587</v>
      </c>
    </row>
    <row r="496" spans="3:65" x14ac:dyDescent="0.25">
      <c r="C496" s="515">
        <v>45251</v>
      </c>
      <c r="D496" s="549">
        <f>YEAR(Tabla14[[#This Row],[Fecha]])</f>
        <v>2023</v>
      </c>
      <c r="E496" s="516">
        <f>IF(Tabla14[[#This Row],[Fecha]]&gt;0,_xlfn.ISOWEEKNUM(Tabla14[[#This Row],[Fecha]]),0)</f>
        <v>47</v>
      </c>
      <c r="F496" s="283">
        <f>195+18</f>
        <v>213</v>
      </c>
      <c r="G496" s="275" t="s">
        <v>250</v>
      </c>
      <c r="H496" s="325" t="str">
        <f>_xlfn.XLOOKUP(Tabla14[[#This Row],[Codigo Finca]],Tabla4[Codigo Finca],Tabla4[Nombre Finca],"")</f>
        <v>San Pedro</v>
      </c>
      <c r="I496" s="277">
        <f>_xlfn.XLOOKUP(Tabla14[[#This Row],[Codigo Finca]],Tabla4[Codigo Finca],Tabla4[Precio Caja],0)</f>
        <v>1800</v>
      </c>
      <c r="J496" s="277">
        <f>_xlfn.XLOOKUP(Tabla14[[#This Row],[Codigo Finca]],Tabla4[Codigo Finca],Tabla4[Precio Caja Segunda],0)</f>
        <v>1150</v>
      </c>
      <c r="K496" s="277">
        <f>_xlfn.XLOOKUP(Tabla14[[#This Row],[Codigo Finca]],Tabla4[Codigo Finca],Tabla4[Precio Rechazo],0)</f>
        <v>575</v>
      </c>
      <c r="L496" s="277">
        <f>S496+N496</f>
        <v>0</v>
      </c>
      <c r="M496" s="278">
        <f>IF(F496&gt;0,L496/F496,0)</f>
        <v>0</v>
      </c>
      <c r="N496" s="283"/>
      <c r="O496" s="279"/>
      <c r="P496" s="280">
        <f>IF(N496&gt;0,(N496/M496)/2,0)</f>
        <v>0</v>
      </c>
      <c r="Q496" s="281">
        <f>IF(O496&gt;0,P496/O496,0)</f>
        <v>0</v>
      </c>
      <c r="R496" s="282">
        <f>IF(I496&gt;0,Q496*I496,)</f>
        <v>0</v>
      </c>
      <c r="S496" s="283"/>
      <c r="T496" s="275">
        <v>15</v>
      </c>
      <c r="U496" s="280">
        <f>F496-P496</f>
        <v>213</v>
      </c>
      <c r="V496" s="281">
        <f>IF(T496&gt;0,U496/T496,0)</f>
        <v>14.2</v>
      </c>
      <c r="W496" s="282">
        <f>IF(T496&gt;0,(U496*I496)/T496,0)</f>
        <v>25560</v>
      </c>
      <c r="X496" s="283"/>
      <c r="Y496" s="275"/>
      <c r="Z496" s="280">
        <f>Tabla14[[#This Row],[Cajas Segunda]]</f>
        <v>0</v>
      </c>
      <c r="AA496" s="281">
        <f>IF(Y496&gt;0,Z496/Y496,0)</f>
        <v>0</v>
      </c>
      <c r="AB496" s="284">
        <f>IF(Y496&gt;0,(Z496*J496)/Y496,0)</f>
        <v>0</v>
      </c>
      <c r="AC496" s="285"/>
      <c r="AD496" s="286">
        <v>836</v>
      </c>
      <c r="AE496" s="286"/>
      <c r="AF496" s="286"/>
      <c r="AG496" s="286">
        <v>15</v>
      </c>
      <c r="AH496" s="280">
        <f>IF(AND(AC496&gt;0,AE496=0,AF496=0,AD496=0),AC496,IF(AND(AC496=0,AE496&gt;0,AF496&gt;0,AD496=0),AE496*AF496/25,IF(AND(AC496=0,AE496=0,AF496=0,AD496&gt;0),AD496/25,0)))</f>
        <v>33.44</v>
      </c>
      <c r="AI496" s="281">
        <f>IF(AG496&gt;0,AH496/AG496,0)</f>
        <v>2.2293333333333334</v>
      </c>
      <c r="AJ496" s="282">
        <f>AI496*K496</f>
        <v>1281.8666666666668</v>
      </c>
      <c r="AK496" s="287">
        <f>Tabla14[[#This Row],[Cajas por Personas]]</f>
        <v>0</v>
      </c>
      <c r="AL496" s="288">
        <f>Tabla14[[#This Row],[Valor Precorte Pesona]]</f>
        <v>0</v>
      </c>
      <c r="AM496" s="294">
        <f>Tabla14[[#This Row],[Personas Precorte]]</f>
        <v>0</v>
      </c>
      <c r="AN496" s="308">
        <f>Tabla14[[#This Row],[Valor Precorte Pesona Precorte]]*Tabla14[[#This Row],[Perzonas Precorte]]</f>
        <v>0</v>
      </c>
      <c r="AO496" s="287">
        <f>Tabla14[[#This Row],[Cajas por Personas2]]</f>
        <v>14.2</v>
      </c>
      <c r="AP496" s="288">
        <f>Tabla14[[#This Row],[Valor Embarque Pesona]]</f>
        <v>25560</v>
      </c>
      <c r="AQ496" s="295">
        <f>Tabla14[[#This Row],[Personas Precorte2]]</f>
        <v>15</v>
      </c>
      <c r="AR496" s="296">
        <f>Tabla14[[#This Row],[Valor Embarque Pesona3]]*Tabla14[[#This Row],[Perzona Primera]]</f>
        <v>383400</v>
      </c>
      <c r="AS496" s="287">
        <f>Tabla14[[#This Row],[Columna2]]</f>
        <v>0</v>
      </c>
      <c r="AT496" s="288">
        <f>Tabla14[[#This Row],[Columna1]]</f>
        <v>0</v>
      </c>
      <c r="AU496" s="302">
        <f>Tabla14[[#This Row],[Personas Intervienen]]</f>
        <v>0</v>
      </c>
      <c r="AV496" s="297">
        <f>Tabla14[[#This Row],[Valor Embarque Pesona5]]*Tabla14[[#This Row],[Presonas Segunda]]</f>
        <v>0</v>
      </c>
      <c r="AW496" s="287">
        <f>Tabla14[[#This Row],[Bolsas Por Personas]]</f>
        <v>2.2293333333333334</v>
      </c>
      <c r="AX496" s="288">
        <f>Tabla14[[#This Row],[Valor bolsas Pesona]]</f>
        <v>1281.8666666666668</v>
      </c>
      <c r="AY496" s="309">
        <f>Tabla14[[#This Row],[Personas13]]</f>
        <v>15</v>
      </c>
      <c r="AZ496" s="310">
        <f>Tabla14[[#This Row],[Valor bolsas Pesona2]]*Tabla14[[#This Row],[Personas Rechazo]]</f>
        <v>19228</v>
      </c>
      <c r="BA496" s="311">
        <f>+Tabla14[[#This Row],[Total Valor Segunda]]+Tabla14[[#This Row],[Total Valor Primera]]+Tabla14[[#This Row],[Total Valor Precorte]]</f>
        <v>383400</v>
      </c>
      <c r="BB496" s="292">
        <f>Tabla14[[#This Row],[Valor bolsas Pesona2]]+Tabla14[[#This Row],[Valor Embarque Pesona3]]</f>
        <v>26841.866666666669</v>
      </c>
      <c r="BC496" s="332">
        <f>+Tabla14[[#This Row],[VALOR GANADO]]+BB497+BB498+BB499</f>
        <v>45167.908333333333</v>
      </c>
      <c r="BD496" s="292">
        <f>Tabla14[[#This Row],[VALOR GANADO]]-Tabla14[[#This Row],[REAJUSTADO]]</f>
        <v>-18326.041666666664</v>
      </c>
      <c r="BE496" s="250">
        <f>Tabla14[[#This Row],[CUANTO SE REAJUSTA]]*Tabla14[[#This Row],[Personas Rechazo]]</f>
        <v>-274890.62499999994</v>
      </c>
      <c r="BF496" s="250">
        <f>Tabla14[[#This Row],[REAJUSTADO]]/25000</f>
        <v>1.8067163333333334</v>
      </c>
      <c r="BG496" s="302">
        <f>Tabla14[[#This Row],[REAJUSTADO]]*Tabla14[[#This Row],[Personas Rechazo]]</f>
        <v>677518.625</v>
      </c>
      <c r="BH496" s="292" t="str">
        <f>Tabla14[[#This Row],[Finca]]</f>
        <v>San Pedro</v>
      </c>
      <c r="BJ496" s="332">
        <f>Tabla14[[#This Row],[Numero de Ocacionales]]*Tabla14[[#This Row],[REAJUSTADO]]</f>
        <v>0</v>
      </c>
      <c r="BK496" s="332"/>
      <c r="BL496" s="332"/>
      <c r="BM496" s="332">
        <f>+Tabla14[[#This Row],[CUANTO SE REAJUSTA]]*3</f>
        <v>-54978.124999999993</v>
      </c>
    </row>
    <row r="497" spans="3:65" x14ac:dyDescent="0.25">
      <c r="C497" s="515">
        <v>45251</v>
      </c>
      <c r="D497" s="549">
        <f>YEAR(Tabla14[[#This Row],[Fecha]])</f>
        <v>2023</v>
      </c>
      <c r="E497" s="516">
        <f>IF(Tabla14[[#This Row],[Fecha]]&gt;0,_xlfn.ISOWEEKNUM(Tabla14[[#This Row],[Fecha]]),0)</f>
        <v>47</v>
      </c>
      <c r="F497" s="283">
        <v>83</v>
      </c>
      <c r="G497" s="275" t="s">
        <v>249</v>
      </c>
      <c r="H497" s="325" t="str">
        <f>_xlfn.XLOOKUP(Tabla14[[#This Row],[Codigo Finca]],Tabla4[Codigo Finca],Tabla4[Nombre Finca],"")</f>
        <v>San Pedro</v>
      </c>
      <c r="I497" s="277">
        <f>_xlfn.XLOOKUP(Tabla14[[#This Row],[Codigo Finca]],Tabla4[Codigo Finca],Tabla4[Precio Caja],0)</f>
        <v>2000</v>
      </c>
      <c r="J497" s="277">
        <f>_xlfn.XLOOKUP(Tabla14[[#This Row],[Codigo Finca]],Tabla4[Codigo Finca],Tabla4[Precio Caja Segunda],0)</f>
        <v>1150</v>
      </c>
      <c r="K497" s="277">
        <f>_xlfn.XLOOKUP(Tabla14[[#This Row],[Codigo Finca]],Tabla4[Codigo Finca],Tabla4[Precio Rechazo],0)</f>
        <v>675</v>
      </c>
      <c r="L497" s="277">
        <f t="shared" ref="L497:L504" si="491">S497+N497</f>
        <v>0</v>
      </c>
      <c r="M497" s="278">
        <f t="shared" ref="M497:M504" si="492">IF(F497&gt;0,L497/F497,0)</f>
        <v>0</v>
      </c>
      <c r="N497" s="283"/>
      <c r="O497" s="279"/>
      <c r="P497" s="280">
        <f t="shared" ref="P497:P504" si="493">IF(N497&gt;0,(N497/M497)/2,0)</f>
        <v>0</v>
      </c>
      <c r="Q497" s="281">
        <f t="shared" ref="Q497:Q504" si="494">IF(O497&gt;0,P497/O497,0)</f>
        <v>0</v>
      </c>
      <c r="R497" s="282">
        <f t="shared" ref="R497:R504" si="495">IF(I497&gt;0,Q497*I497,)</f>
        <v>0</v>
      </c>
      <c r="S497" s="283"/>
      <c r="T497" s="275">
        <v>15</v>
      </c>
      <c r="U497" s="280">
        <f>F497-P497</f>
        <v>83</v>
      </c>
      <c r="V497" s="281">
        <f t="shared" ref="V497:V504" si="496">IF(T497&gt;0,U497/T497,0)</f>
        <v>5.5333333333333332</v>
      </c>
      <c r="W497" s="282">
        <f t="shared" ref="W497:W504" si="497">IF(T497&gt;0,(U497*I497)/T497,0)</f>
        <v>11066.666666666666</v>
      </c>
      <c r="X497" s="283"/>
      <c r="Y497" s="275"/>
      <c r="Z497" s="280">
        <f>Tabla14[[#This Row],[Cajas Segunda]]</f>
        <v>0</v>
      </c>
      <c r="AA497" s="281">
        <f t="shared" ref="AA497:AA504" si="498">IF(Y497&gt;0,Z497/Y497,0)</f>
        <v>0</v>
      </c>
      <c r="AB497" s="284">
        <f t="shared" ref="AB497:AB504" si="499">IF(Y497&gt;0,(Z497*J497)/Y497,0)</f>
        <v>0</v>
      </c>
      <c r="AC497" s="285"/>
      <c r="AD497" s="286"/>
      <c r="AE497" s="286"/>
      <c r="AF497" s="286"/>
      <c r="AG497" s="286">
        <v>15</v>
      </c>
      <c r="AH497" s="280">
        <f t="shared" ref="AH497:AH504" si="500">IF(AND(AC497&gt;0,AE497=0,AF497=0,AD497=0),AC497,IF(AND(AC497=0,AE497&gt;0,AF497&gt;0,AD497=0),AE497*AF497/25,IF(AND(AC497=0,AE497=0,AF497=0,AD497&gt;0),AD497/25,0)))</f>
        <v>0</v>
      </c>
      <c r="AI497" s="281">
        <f t="shared" ref="AI497:AI504" si="501">IF(AG497&gt;0,AH497/AG497,0)</f>
        <v>0</v>
      </c>
      <c r="AJ497" s="282">
        <f t="shared" ref="AJ497:AJ504" si="502">AI497*K497</f>
        <v>0</v>
      </c>
      <c r="AK497" s="287">
        <f>Tabla14[[#This Row],[Cajas por Personas]]</f>
        <v>0</v>
      </c>
      <c r="AL497" s="288">
        <f>Tabla14[[#This Row],[Valor Precorte Pesona]]</f>
        <v>0</v>
      </c>
      <c r="AM497" s="294">
        <f>Tabla14[[#This Row],[Personas Precorte]]</f>
        <v>0</v>
      </c>
      <c r="AN497" s="308">
        <f>Tabla14[[#This Row],[Valor Precorte Pesona Precorte]]*Tabla14[[#This Row],[Perzonas Precorte]]</f>
        <v>0</v>
      </c>
      <c r="AO497" s="287">
        <f>Tabla14[[#This Row],[Cajas por Personas2]]</f>
        <v>5.5333333333333332</v>
      </c>
      <c r="AP497" s="288">
        <f>Tabla14[[#This Row],[Valor Embarque Pesona]]</f>
        <v>11066.666666666666</v>
      </c>
      <c r="AQ497" s="295">
        <f>Tabla14[[#This Row],[Personas Precorte2]]</f>
        <v>15</v>
      </c>
      <c r="AR497" s="296">
        <f>Tabla14[[#This Row],[Valor Embarque Pesona3]]*Tabla14[[#This Row],[Perzona Primera]]</f>
        <v>166000</v>
      </c>
      <c r="AS497" s="287">
        <f>Tabla14[[#This Row],[Columna2]]</f>
        <v>0</v>
      </c>
      <c r="AT497" s="288">
        <f>Tabla14[[#This Row],[Columna1]]</f>
        <v>0</v>
      </c>
      <c r="AU497" s="302">
        <f>Tabla14[[#This Row],[Personas Intervienen]]</f>
        <v>0</v>
      </c>
      <c r="AV497" s="297">
        <f>Tabla14[[#This Row],[Valor Embarque Pesona5]]*Tabla14[[#This Row],[Presonas Segunda]]</f>
        <v>0</v>
      </c>
      <c r="AW497" s="287">
        <f>Tabla14[[#This Row],[Bolsas Por Personas]]</f>
        <v>0</v>
      </c>
      <c r="AX497" s="288">
        <f>Tabla14[[#This Row],[Valor bolsas Pesona]]</f>
        <v>0</v>
      </c>
      <c r="AY497" s="309">
        <f>Tabla14[[#This Row],[Personas13]]</f>
        <v>15</v>
      </c>
      <c r="AZ497" s="310">
        <f>Tabla14[[#This Row],[Valor bolsas Pesona2]]*Tabla14[[#This Row],[Personas Rechazo]]</f>
        <v>0</v>
      </c>
      <c r="BA497" s="311">
        <f>+Tabla14[[#This Row],[Total Valor Segunda]]+Tabla14[[#This Row],[Total Valor Primera]]+Tabla14[[#This Row],[Total Valor Precorte]]</f>
        <v>166000</v>
      </c>
      <c r="BB497" s="292">
        <f>Tabla14[[#This Row],[Valor bolsas Pesona2]]+Tabla14[[#This Row],[Valor Embarque Pesona3]]</f>
        <v>11066.666666666666</v>
      </c>
      <c r="BD497" s="292">
        <f>Tabla14[[#This Row],[VALOR GANADO]]-Tabla14[[#This Row],[REAJUSTADO]]</f>
        <v>11066.666666666666</v>
      </c>
      <c r="BE497" s="250">
        <f>Tabla14[[#This Row],[CUANTO SE REAJUSTA]]*Tabla14[[#This Row],[Personas Rechazo]]</f>
        <v>166000</v>
      </c>
      <c r="BF497" s="250">
        <f>Tabla14[[#This Row],[REAJUSTADO]]/25000</f>
        <v>0</v>
      </c>
      <c r="BG497" s="302">
        <f>Tabla14[[#This Row],[REAJUSTADO]]*Tabla14[[#This Row],[Personas Rechazo]]</f>
        <v>0</v>
      </c>
      <c r="BH497" s="292" t="str">
        <f>Tabla14[[#This Row],[Finca]]</f>
        <v>San Pedro</v>
      </c>
      <c r="BJ497" s="332">
        <f>Tabla14[[#This Row],[Numero de Ocacionales]]*Tabla14[[#This Row],[REAJUSTADO]]</f>
        <v>0</v>
      </c>
      <c r="BK497" s="332"/>
      <c r="BL497" s="332"/>
      <c r="BM497" s="332">
        <f>+Tabla14[[#This Row],[CUANTO SE REAJUSTA]]*3</f>
        <v>33200</v>
      </c>
    </row>
    <row r="498" spans="3:65" x14ac:dyDescent="0.25">
      <c r="C498" s="515">
        <v>45251</v>
      </c>
      <c r="D498" s="549">
        <f>YEAR(Tabla14[[#This Row],[Fecha]])</f>
        <v>2023</v>
      </c>
      <c r="E498" s="516">
        <f>IF(Tabla14[[#This Row],[Fecha]]&gt;0,_xlfn.ISOWEEKNUM(Tabla14[[#This Row],[Fecha]]),0)</f>
        <v>47</v>
      </c>
      <c r="F498" s="283"/>
      <c r="G498" s="275" t="s">
        <v>250</v>
      </c>
      <c r="H498" s="325" t="str">
        <f>_xlfn.XLOOKUP(Tabla14[[#This Row],[Codigo Finca]],Tabla4[Codigo Finca],Tabla4[Nombre Finca],"")</f>
        <v>San Pedro</v>
      </c>
      <c r="I498" s="277">
        <f>_xlfn.XLOOKUP(Tabla14[[#This Row],[Codigo Finca]],Tabla4[Codigo Finca],Tabla4[Precio Caja],0)</f>
        <v>1800</v>
      </c>
      <c r="J498" s="277">
        <f>_xlfn.XLOOKUP(Tabla14[[#This Row],[Codigo Finca]],Tabla4[Codigo Finca],Tabla4[Precio Caja Segunda],0)</f>
        <v>1150</v>
      </c>
      <c r="K498" s="277">
        <f>_xlfn.XLOOKUP(Tabla14[[#This Row],[Codigo Finca]],Tabla4[Codigo Finca],Tabla4[Precio Rechazo],0)</f>
        <v>575</v>
      </c>
      <c r="L498" s="277">
        <f t="shared" si="491"/>
        <v>0</v>
      </c>
      <c r="M498" s="278">
        <f t="shared" si="492"/>
        <v>0</v>
      </c>
      <c r="N498" s="283"/>
      <c r="O498" s="279"/>
      <c r="P498" s="280">
        <f t="shared" si="493"/>
        <v>0</v>
      </c>
      <c r="Q498" s="281">
        <f t="shared" si="494"/>
        <v>0</v>
      </c>
      <c r="R498" s="282">
        <f t="shared" si="495"/>
        <v>0</v>
      </c>
      <c r="S498" s="283"/>
      <c r="T498" s="275">
        <v>16</v>
      </c>
      <c r="U498" s="280"/>
      <c r="V498" s="281">
        <f t="shared" si="496"/>
        <v>0</v>
      </c>
      <c r="W498" s="282">
        <f t="shared" si="497"/>
        <v>0</v>
      </c>
      <c r="X498" s="283">
        <v>55</v>
      </c>
      <c r="Y498" s="275">
        <v>16</v>
      </c>
      <c r="Z498" s="280">
        <f>Tabla14[[#This Row],[Cajas Segunda]]</f>
        <v>55</v>
      </c>
      <c r="AA498" s="281">
        <f t="shared" si="498"/>
        <v>3.4375</v>
      </c>
      <c r="AB498" s="284">
        <f t="shared" si="499"/>
        <v>3953.125</v>
      </c>
      <c r="AC498" s="285"/>
      <c r="AD498" s="286"/>
      <c r="AE498" s="286"/>
      <c r="AF498" s="286"/>
      <c r="AG498" s="286">
        <v>16</v>
      </c>
      <c r="AH498" s="280">
        <f t="shared" si="500"/>
        <v>0</v>
      </c>
      <c r="AI498" s="281">
        <f t="shared" si="501"/>
        <v>0</v>
      </c>
      <c r="AJ498" s="282">
        <f t="shared" si="502"/>
        <v>0</v>
      </c>
      <c r="AK498" s="287">
        <f>Tabla14[[#This Row],[Cajas por Personas]]</f>
        <v>0</v>
      </c>
      <c r="AL498" s="288">
        <f>Tabla14[[#This Row],[Valor Precorte Pesona]]</f>
        <v>0</v>
      </c>
      <c r="AM498" s="294">
        <f>Tabla14[[#This Row],[Personas Precorte]]</f>
        <v>0</v>
      </c>
      <c r="AN498" s="308">
        <f>Tabla14[[#This Row],[Valor Precorte Pesona Precorte]]*Tabla14[[#This Row],[Perzonas Precorte]]</f>
        <v>0</v>
      </c>
      <c r="AO498" s="287">
        <f>Tabla14[[#This Row],[Cajas por Personas2]]</f>
        <v>0</v>
      </c>
      <c r="AP498" s="288">
        <f>Tabla14[[#This Row],[Valor Embarque Pesona]]</f>
        <v>0</v>
      </c>
      <c r="AQ498" s="295">
        <f>Tabla14[[#This Row],[Personas Precorte2]]</f>
        <v>16</v>
      </c>
      <c r="AR498" s="296">
        <f>Tabla14[[#This Row],[Valor Embarque Pesona3]]*Tabla14[[#This Row],[Perzona Primera]]</f>
        <v>0</v>
      </c>
      <c r="AS498" s="287">
        <f>Tabla14[[#This Row],[Columna2]]</f>
        <v>3.4375</v>
      </c>
      <c r="AT498" s="288">
        <f>Tabla14[[#This Row],[Columna1]]</f>
        <v>3953.125</v>
      </c>
      <c r="AU498" s="302">
        <f>Tabla14[[#This Row],[Personas Intervienen]]</f>
        <v>16</v>
      </c>
      <c r="AV498" s="297">
        <f>Tabla14[[#This Row],[Valor Embarque Pesona5]]*Tabla14[[#This Row],[Presonas Segunda]]</f>
        <v>63250</v>
      </c>
      <c r="AW498" s="287">
        <f>Tabla14[[#This Row],[Bolsas Por Personas]]</f>
        <v>0</v>
      </c>
      <c r="AX498" s="288">
        <f>Tabla14[[#This Row],[Valor bolsas Pesona]]</f>
        <v>0</v>
      </c>
      <c r="AY498" s="309">
        <f>Tabla14[[#This Row],[Personas13]]</f>
        <v>16</v>
      </c>
      <c r="AZ498" s="310">
        <f>Tabla14[[#This Row],[Valor bolsas Pesona2]]*Tabla14[[#This Row],[Personas Rechazo]]</f>
        <v>0</v>
      </c>
      <c r="BA498" s="311">
        <f>+Tabla14[[#This Row],[Total Valor Segunda]]+Tabla14[[#This Row],[Total Valor Primera]]+Tabla14[[#This Row],[Total Valor Precorte]]</f>
        <v>63250</v>
      </c>
      <c r="BB498" s="292">
        <f>Tabla14[[#This Row],[Total Valor Segunda]]/Tabla14[[#This Row],[Presonas Segunda]]</f>
        <v>3953.125</v>
      </c>
      <c r="BD498" s="292">
        <f>Tabla14[[#This Row],[VALOR GANADO]]-Tabla14[[#This Row],[REAJUSTADO]]</f>
        <v>3953.125</v>
      </c>
      <c r="BE498" s="250">
        <f>Tabla14[[#This Row],[CUANTO SE REAJUSTA]]*Tabla14[[#This Row],[Personas Rechazo]]</f>
        <v>63250</v>
      </c>
      <c r="BF498" s="250">
        <f>Tabla14[[#This Row],[REAJUSTADO]]/25000</f>
        <v>0</v>
      </c>
      <c r="BG498" s="302">
        <f>Tabla14[[#This Row],[REAJUSTADO]]*Tabla14[[#This Row],[Personas Rechazo]]</f>
        <v>0</v>
      </c>
      <c r="BH498" s="292" t="str">
        <f>Tabla14[[#This Row],[Finca]]</f>
        <v>San Pedro</v>
      </c>
      <c r="BJ498" s="332">
        <f>Tabla14[[#This Row],[Numero de Ocacionales]]*Tabla14[[#This Row],[REAJUSTADO]]</f>
        <v>0</v>
      </c>
      <c r="BK498" s="332"/>
      <c r="BL498" s="332"/>
      <c r="BM498" s="332">
        <f>+Tabla14[[#This Row],[CUANTO SE REAJUSTA]]*3</f>
        <v>11859.375</v>
      </c>
    </row>
    <row r="499" spans="3:65" x14ac:dyDescent="0.25">
      <c r="C499" s="515">
        <v>45251</v>
      </c>
      <c r="D499" s="549">
        <f>YEAR(Tabla14[[#This Row],[Fecha]])</f>
        <v>2023</v>
      </c>
      <c r="E499" s="516">
        <f>IF(Tabla14[[#This Row],[Fecha]]&gt;0,_xlfn.ISOWEEKNUM(Tabla14[[#This Row],[Fecha]]),0)</f>
        <v>47</v>
      </c>
      <c r="F499" s="283"/>
      <c r="G499" s="275" t="s">
        <v>249</v>
      </c>
      <c r="H499" s="325" t="str">
        <f>_xlfn.XLOOKUP(Tabla14[[#This Row],[Codigo Finca]],Tabla4[Codigo Finca],Tabla4[Nombre Finca],"")</f>
        <v>San Pedro</v>
      </c>
      <c r="I499" s="277">
        <f>_xlfn.XLOOKUP(Tabla14[[#This Row],[Codigo Finca]],Tabla4[Codigo Finca],Tabla4[Precio Caja],0)</f>
        <v>2000</v>
      </c>
      <c r="J499" s="277">
        <f>_xlfn.XLOOKUP(Tabla14[[#This Row],[Codigo Finca]],Tabla4[Codigo Finca],Tabla4[Precio Caja Segunda],0)</f>
        <v>1150</v>
      </c>
      <c r="K499" s="277">
        <f>_xlfn.XLOOKUP(Tabla14[[#This Row],[Codigo Finca]],Tabla4[Codigo Finca],Tabla4[Precio Rechazo],0)</f>
        <v>675</v>
      </c>
      <c r="L499" s="277">
        <f t="shared" si="491"/>
        <v>0</v>
      </c>
      <c r="M499" s="278">
        <f t="shared" si="492"/>
        <v>0</v>
      </c>
      <c r="N499" s="283"/>
      <c r="O499" s="279"/>
      <c r="P499" s="280">
        <f t="shared" si="493"/>
        <v>0</v>
      </c>
      <c r="Q499" s="281">
        <f t="shared" si="494"/>
        <v>0</v>
      </c>
      <c r="R499" s="282">
        <f t="shared" si="495"/>
        <v>0</v>
      </c>
      <c r="S499" s="283"/>
      <c r="T499" s="275">
        <v>16</v>
      </c>
      <c r="U499" s="280"/>
      <c r="V499" s="281">
        <f t="shared" si="496"/>
        <v>0</v>
      </c>
      <c r="W499" s="282">
        <f t="shared" si="497"/>
        <v>0</v>
      </c>
      <c r="X499" s="283">
        <v>46</v>
      </c>
      <c r="Y499" s="275">
        <v>16</v>
      </c>
      <c r="Z499" s="280">
        <f>Tabla14[[#This Row],[Cajas Segunda]]</f>
        <v>46</v>
      </c>
      <c r="AA499" s="281">
        <f t="shared" si="498"/>
        <v>2.875</v>
      </c>
      <c r="AB499" s="284">
        <f t="shared" si="499"/>
        <v>3306.25</v>
      </c>
      <c r="AC499" s="285"/>
      <c r="AD499" s="286"/>
      <c r="AE499" s="286"/>
      <c r="AF499" s="286"/>
      <c r="AG499" s="286">
        <v>16</v>
      </c>
      <c r="AH499" s="280">
        <f t="shared" si="500"/>
        <v>0</v>
      </c>
      <c r="AI499" s="281">
        <f t="shared" si="501"/>
        <v>0</v>
      </c>
      <c r="AJ499" s="282">
        <f t="shared" si="502"/>
        <v>0</v>
      </c>
      <c r="AK499" s="287">
        <f>Tabla14[[#This Row],[Cajas por Personas]]</f>
        <v>0</v>
      </c>
      <c r="AL499" s="288">
        <f>Tabla14[[#This Row],[Valor Precorte Pesona]]</f>
        <v>0</v>
      </c>
      <c r="AM499" s="294">
        <f>Tabla14[[#This Row],[Personas Precorte]]</f>
        <v>0</v>
      </c>
      <c r="AN499" s="308">
        <f>Tabla14[[#This Row],[Valor Precorte Pesona Precorte]]*Tabla14[[#This Row],[Perzonas Precorte]]</f>
        <v>0</v>
      </c>
      <c r="AO499" s="287">
        <f>Tabla14[[#This Row],[Cajas por Personas2]]</f>
        <v>0</v>
      </c>
      <c r="AP499" s="288">
        <f>Tabla14[[#This Row],[Valor Embarque Pesona]]</f>
        <v>0</v>
      </c>
      <c r="AQ499" s="295">
        <f>Tabla14[[#This Row],[Personas Precorte2]]</f>
        <v>16</v>
      </c>
      <c r="AR499" s="296">
        <f>Tabla14[[#This Row],[Valor Embarque Pesona3]]*Tabla14[[#This Row],[Perzona Primera]]</f>
        <v>0</v>
      </c>
      <c r="AS499" s="287">
        <f>Tabla14[[#This Row],[Columna2]]</f>
        <v>2.875</v>
      </c>
      <c r="AT499" s="288">
        <f>Tabla14[[#This Row],[Columna1]]</f>
        <v>3306.25</v>
      </c>
      <c r="AU499" s="302">
        <f>Tabla14[[#This Row],[Personas Intervienen]]</f>
        <v>16</v>
      </c>
      <c r="AV499" s="297">
        <f>Tabla14[[#This Row],[Valor Embarque Pesona5]]*Tabla14[[#This Row],[Presonas Segunda]]</f>
        <v>52900</v>
      </c>
      <c r="AW499" s="287">
        <f>Tabla14[[#This Row],[Bolsas Por Personas]]</f>
        <v>0</v>
      </c>
      <c r="AX499" s="288">
        <f>Tabla14[[#This Row],[Valor bolsas Pesona]]</f>
        <v>0</v>
      </c>
      <c r="AY499" s="309">
        <f>Tabla14[[#This Row],[Personas13]]</f>
        <v>16</v>
      </c>
      <c r="AZ499" s="310">
        <f>Tabla14[[#This Row],[Valor bolsas Pesona2]]*Tabla14[[#This Row],[Personas Rechazo]]</f>
        <v>0</v>
      </c>
      <c r="BA499" s="311">
        <f>+Tabla14[[#This Row],[Total Valor Segunda]]+Tabla14[[#This Row],[Total Valor Primera]]+Tabla14[[#This Row],[Total Valor Precorte]]</f>
        <v>52900</v>
      </c>
      <c r="BB499" s="292">
        <f>Tabla14[[#This Row],[Total Valor Segunda]]/Tabla14[[#This Row],[Presonas Segunda]]</f>
        <v>3306.25</v>
      </c>
      <c r="BD499" s="292">
        <f>Tabla14[[#This Row],[VALOR GANADO]]-Tabla14[[#This Row],[REAJUSTADO]]</f>
        <v>3306.25</v>
      </c>
      <c r="BE499" s="250">
        <f>Tabla14[[#This Row],[CUANTO SE REAJUSTA]]*Tabla14[[#This Row],[Personas Rechazo]]</f>
        <v>52900</v>
      </c>
      <c r="BF499" s="250">
        <f>Tabla14[[#This Row],[REAJUSTADO]]/25000</f>
        <v>0</v>
      </c>
      <c r="BG499" s="302">
        <f>Tabla14[[#This Row],[REAJUSTADO]]*Tabla14[[#This Row],[Personas Rechazo]]</f>
        <v>0</v>
      </c>
      <c r="BH499" s="292" t="str">
        <f>Tabla14[[#This Row],[Finca]]</f>
        <v>San Pedro</v>
      </c>
      <c r="BJ499" s="332">
        <f>Tabla14[[#This Row],[Numero de Ocacionales]]*Tabla14[[#This Row],[REAJUSTADO]]</f>
        <v>0</v>
      </c>
      <c r="BK499" s="332"/>
      <c r="BL499" s="332"/>
      <c r="BM499" s="332">
        <f>+Tabla14[[#This Row],[CUANTO SE REAJUSTA]]*3</f>
        <v>9918.75</v>
      </c>
    </row>
    <row r="500" spans="3:65" x14ac:dyDescent="0.25">
      <c r="C500" s="515">
        <v>45251</v>
      </c>
      <c r="D500" s="549">
        <f>YEAR(Tabla14[[#This Row],[Fecha]])</f>
        <v>2023</v>
      </c>
      <c r="E500" s="516">
        <f>IF(Tabla14[[#This Row],[Fecha]]&gt;0,_xlfn.ISOWEEKNUM(Tabla14[[#This Row],[Fecha]]),0)</f>
        <v>47</v>
      </c>
      <c r="F500" s="283">
        <f>11+6</f>
        <v>17</v>
      </c>
      <c r="G500" s="275" t="s">
        <v>248</v>
      </c>
      <c r="H500" s="325" t="str">
        <f>_xlfn.XLOOKUP(Tabla14[[#This Row],[Codigo Finca]],Tabla4[Codigo Finca],Tabla4[Nombre Finca],"")</f>
        <v>Damaquiel</v>
      </c>
      <c r="I500" s="277">
        <f>_xlfn.XLOOKUP(Tabla14[[#This Row],[Codigo Finca]],Tabla4[Codigo Finca],Tabla4[Precio Caja],0)</f>
        <v>1800</v>
      </c>
      <c r="J500" s="277">
        <f>_xlfn.XLOOKUP(Tabla14[[#This Row],[Codigo Finca]],Tabla4[Codigo Finca],Tabla4[Precio Caja Segunda],0)</f>
        <v>1150</v>
      </c>
      <c r="K500" s="277">
        <f>_xlfn.XLOOKUP(Tabla14[[#This Row],[Codigo Finca]],Tabla4[Codigo Finca],Tabla4[Precio Rechazo],0)</f>
        <v>575</v>
      </c>
      <c r="L500" s="277">
        <f t="shared" si="491"/>
        <v>0</v>
      </c>
      <c r="M500" s="278">
        <f t="shared" si="492"/>
        <v>0</v>
      </c>
      <c r="N500" s="283"/>
      <c r="O500" s="279"/>
      <c r="P500" s="280">
        <f t="shared" si="493"/>
        <v>0</v>
      </c>
      <c r="Q500" s="281">
        <f t="shared" si="494"/>
        <v>0</v>
      </c>
      <c r="R500" s="282">
        <f t="shared" si="495"/>
        <v>0</v>
      </c>
      <c r="S500" s="283"/>
      <c r="T500" s="275">
        <v>5</v>
      </c>
      <c r="U500" s="280"/>
      <c r="V500" s="281">
        <f t="shared" si="496"/>
        <v>0</v>
      </c>
      <c r="W500" s="282">
        <f t="shared" si="497"/>
        <v>0</v>
      </c>
      <c r="X500" s="283">
        <v>6</v>
      </c>
      <c r="Y500" s="275">
        <v>5</v>
      </c>
      <c r="Z500" s="280">
        <f>Tabla14[[#This Row],[Cajas Segunda]]</f>
        <v>6</v>
      </c>
      <c r="AA500" s="281">
        <f t="shared" si="498"/>
        <v>1.2</v>
      </c>
      <c r="AB500" s="284">
        <f t="shared" si="499"/>
        <v>1380</v>
      </c>
      <c r="AC500" s="285"/>
      <c r="AD500" s="286">
        <v>953</v>
      </c>
      <c r="AE500" s="286"/>
      <c r="AF500" s="286"/>
      <c r="AG500" s="286">
        <v>5</v>
      </c>
      <c r="AH500" s="280">
        <f t="shared" si="500"/>
        <v>38.119999999999997</v>
      </c>
      <c r="AI500" s="281">
        <f t="shared" si="501"/>
        <v>7.6239999999999997</v>
      </c>
      <c r="AJ500" s="282">
        <f t="shared" si="502"/>
        <v>4383.8</v>
      </c>
      <c r="AK500" s="287">
        <f>Tabla14[[#This Row],[Cajas por Personas]]</f>
        <v>0</v>
      </c>
      <c r="AL500" s="288">
        <f>Tabla14[[#This Row],[Valor Precorte Pesona]]</f>
        <v>0</v>
      </c>
      <c r="AM500" s="294">
        <f>Tabla14[[#This Row],[Personas Precorte]]</f>
        <v>0</v>
      </c>
      <c r="AN500" s="308">
        <f>Tabla14[[#This Row],[Valor Precorte Pesona Precorte]]*Tabla14[[#This Row],[Perzonas Precorte]]</f>
        <v>0</v>
      </c>
      <c r="AO500" s="287">
        <f>Tabla14[[#This Row],[Cajas por Personas2]]</f>
        <v>0</v>
      </c>
      <c r="AP500" s="288">
        <f>Tabla14[[#This Row],[Valor Embarque Pesona]]</f>
        <v>0</v>
      </c>
      <c r="AQ500" s="295">
        <f>Tabla14[[#This Row],[Personas Precorte2]]</f>
        <v>5</v>
      </c>
      <c r="AR500" s="296">
        <f>Tabla14[[#This Row],[Valor Embarque Pesona3]]*Tabla14[[#This Row],[Perzona Primera]]</f>
        <v>0</v>
      </c>
      <c r="AS500" s="287">
        <f>Tabla14[[#This Row],[Columna2]]</f>
        <v>1.2</v>
      </c>
      <c r="AT500" s="288">
        <f>Tabla14[[#This Row],[Columna1]]</f>
        <v>1380</v>
      </c>
      <c r="AU500" s="302">
        <f>Tabla14[[#This Row],[Personas Intervienen]]</f>
        <v>5</v>
      </c>
      <c r="AV500" s="297">
        <f>Tabla14[[#This Row],[Valor Embarque Pesona5]]*Tabla14[[#This Row],[Presonas Segunda]]</f>
        <v>6900</v>
      </c>
      <c r="AW500" s="287">
        <f>Tabla14[[#This Row],[Bolsas Por Personas]]</f>
        <v>7.6239999999999997</v>
      </c>
      <c r="AX500" s="288">
        <f>Tabla14[[#This Row],[Valor bolsas Pesona]]</f>
        <v>4383.8</v>
      </c>
      <c r="AY500" s="309">
        <f>Tabla14[[#This Row],[Personas13]]</f>
        <v>5</v>
      </c>
      <c r="AZ500" s="310">
        <f>Tabla14[[#This Row],[Valor bolsas Pesona2]]*Tabla14[[#This Row],[Personas Rechazo]]</f>
        <v>21919</v>
      </c>
      <c r="BA500" s="311">
        <f>+Tabla14[[#This Row],[Total Valor Segunda]]+Tabla14[[#This Row],[Total Valor Primera]]+Tabla14[[#This Row],[Total Valor Precorte]]</f>
        <v>6900</v>
      </c>
      <c r="BB500" s="292">
        <f>Tabla14[[#This Row],[Valor bolsas Pesona2]]+Tabla14[[#This Row],[Valor Embarque Pesona3]]</f>
        <v>4383.8</v>
      </c>
      <c r="BC500" s="332">
        <v>40000</v>
      </c>
      <c r="BD500" s="292">
        <f>Tabla14[[#This Row],[VALOR GANADO]]-Tabla14[[#This Row],[REAJUSTADO]]</f>
        <v>-35616.199999999997</v>
      </c>
      <c r="BE500" s="250">
        <f>Tabla14[[#This Row],[CUANTO SE REAJUSTA]]*Tabla14[[#This Row],[Personas Rechazo]]</f>
        <v>-178081</v>
      </c>
      <c r="BF500" s="250">
        <f>Tabla14[[#This Row],[REAJUSTADO]]/25000</f>
        <v>1.6</v>
      </c>
      <c r="BG500" s="302">
        <f>Tabla14[[#This Row],[REAJUSTADO]]*Tabla14[[#This Row],[Personas Rechazo]]</f>
        <v>200000</v>
      </c>
      <c r="BH500" s="292" t="str">
        <f>Tabla14[[#This Row],[Finca]]</f>
        <v>Damaquiel</v>
      </c>
      <c r="BJ500" s="332">
        <f>Tabla14[[#This Row],[Numero de Ocacionales]]*Tabla14[[#This Row],[REAJUSTADO]]</f>
        <v>0</v>
      </c>
      <c r="BK500" s="332"/>
      <c r="BL500" s="332"/>
      <c r="BM500" s="332">
        <f>+Tabla14[[#This Row],[CUANTO SE REAJUSTA]]*3</f>
        <v>-106848.59999999999</v>
      </c>
    </row>
    <row r="501" spans="3:65" x14ac:dyDescent="0.25">
      <c r="C501" s="515">
        <v>45253</v>
      </c>
      <c r="D501" s="549">
        <f>YEAR(Tabla14[[#This Row],[Fecha]])</f>
        <v>2023</v>
      </c>
      <c r="E501" s="516">
        <f>IF(Tabla14[[#This Row],[Fecha]]&gt;0,_xlfn.ISOWEEKNUM(Tabla14[[#This Row],[Fecha]]),0)</f>
        <v>47</v>
      </c>
      <c r="F501" s="283">
        <v>24</v>
      </c>
      <c r="G501" s="275" t="s">
        <v>247</v>
      </c>
      <c r="H501" s="325" t="str">
        <f>_xlfn.XLOOKUP(Tabla14[[#This Row],[Codigo Finca]],Tabla4[Codigo Finca],Tabla4[Nombre Finca],"")</f>
        <v>Uveros</v>
      </c>
      <c r="I501" s="277">
        <f>_xlfn.XLOOKUP(Tabla14[[#This Row],[Codigo Finca]],Tabla4[Codigo Finca],Tabla4[Precio Caja],0)</f>
        <v>1800</v>
      </c>
      <c r="J501" s="277">
        <f>_xlfn.XLOOKUP(Tabla14[[#This Row],[Codigo Finca]],Tabla4[Codigo Finca],Tabla4[Precio Caja Segunda],0)</f>
        <v>1150</v>
      </c>
      <c r="K501" s="277">
        <f>_xlfn.XLOOKUP(Tabla14[[#This Row],[Codigo Finca]],Tabla4[Codigo Finca],Tabla4[Precio Rechazo],0)</f>
        <v>575</v>
      </c>
      <c r="L501" s="277">
        <f t="shared" si="491"/>
        <v>0</v>
      </c>
      <c r="M501" s="278">
        <f t="shared" si="492"/>
        <v>0</v>
      </c>
      <c r="N501" s="283"/>
      <c r="O501" s="279"/>
      <c r="P501" s="280">
        <f t="shared" si="493"/>
        <v>0</v>
      </c>
      <c r="Q501" s="281">
        <f t="shared" si="494"/>
        <v>0</v>
      </c>
      <c r="R501" s="282">
        <f t="shared" si="495"/>
        <v>0</v>
      </c>
      <c r="S501" s="283"/>
      <c r="T501" s="275">
        <v>5</v>
      </c>
      <c r="U501" s="280">
        <f t="shared" ref="U501:U508" si="503">F501-P501</f>
        <v>24</v>
      </c>
      <c r="V501" s="281">
        <f t="shared" si="496"/>
        <v>4.8</v>
      </c>
      <c r="W501" s="282">
        <f t="shared" si="497"/>
        <v>8640</v>
      </c>
      <c r="X501" s="283">
        <v>20</v>
      </c>
      <c r="Y501" s="275">
        <v>5</v>
      </c>
      <c r="Z501" s="280">
        <f>Tabla14[[#This Row],[Cajas Segunda]]</f>
        <v>20</v>
      </c>
      <c r="AA501" s="281">
        <f t="shared" si="498"/>
        <v>4</v>
      </c>
      <c r="AB501" s="284">
        <f t="shared" si="499"/>
        <v>4600</v>
      </c>
      <c r="AC501" s="285"/>
      <c r="AD501" s="286">
        <v>1084</v>
      </c>
      <c r="AE501" s="286"/>
      <c r="AF501" s="286"/>
      <c r="AG501" s="286">
        <v>5</v>
      </c>
      <c r="AH501" s="280">
        <f t="shared" si="500"/>
        <v>43.36</v>
      </c>
      <c r="AI501" s="281">
        <f t="shared" si="501"/>
        <v>8.6720000000000006</v>
      </c>
      <c r="AJ501" s="282">
        <f t="shared" si="502"/>
        <v>4986.4000000000005</v>
      </c>
      <c r="AK501" s="287">
        <f>Tabla14[[#This Row],[Cajas por Personas]]</f>
        <v>0</v>
      </c>
      <c r="AL501" s="288">
        <f>Tabla14[[#This Row],[Valor Precorte Pesona]]</f>
        <v>0</v>
      </c>
      <c r="AM501" s="294">
        <f>Tabla14[[#This Row],[Personas Precorte]]</f>
        <v>0</v>
      </c>
      <c r="AN501" s="308">
        <f>Tabla14[[#This Row],[Valor Precorte Pesona Precorte]]*Tabla14[[#This Row],[Perzonas Precorte]]</f>
        <v>0</v>
      </c>
      <c r="AO501" s="287">
        <f>Tabla14[[#This Row],[Cajas por Personas2]]</f>
        <v>4.8</v>
      </c>
      <c r="AP501" s="288">
        <f>Tabla14[[#This Row],[Valor Embarque Pesona]]</f>
        <v>8640</v>
      </c>
      <c r="AQ501" s="295">
        <f>Tabla14[[#This Row],[Personas Precorte2]]</f>
        <v>5</v>
      </c>
      <c r="AR501" s="296">
        <f>Tabla14[[#This Row],[Valor Embarque Pesona3]]*Tabla14[[#This Row],[Perzona Primera]]</f>
        <v>43200</v>
      </c>
      <c r="AS501" s="287">
        <f>Tabla14[[#This Row],[Columna2]]</f>
        <v>4</v>
      </c>
      <c r="AT501" s="288">
        <f>Tabla14[[#This Row],[Columna1]]</f>
        <v>4600</v>
      </c>
      <c r="AU501" s="302">
        <f>Tabla14[[#This Row],[Personas Intervienen]]</f>
        <v>5</v>
      </c>
      <c r="AV501" s="297">
        <f>Tabla14[[#This Row],[Valor Embarque Pesona5]]*Tabla14[[#This Row],[Presonas Segunda]]</f>
        <v>23000</v>
      </c>
      <c r="AW501" s="287">
        <f>Tabla14[[#This Row],[Bolsas Por Personas]]</f>
        <v>8.6720000000000006</v>
      </c>
      <c r="AX501" s="288">
        <f>Tabla14[[#This Row],[Valor bolsas Pesona]]</f>
        <v>4986.4000000000005</v>
      </c>
      <c r="AY501" s="309">
        <f>Tabla14[[#This Row],[Personas13]]</f>
        <v>5</v>
      </c>
      <c r="AZ501" s="310">
        <f>Tabla14[[#This Row],[Valor bolsas Pesona2]]*Tabla14[[#This Row],[Personas Rechazo]]</f>
        <v>24932.000000000004</v>
      </c>
      <c r="BA501" s="311">
        <f>+Tabla14[[#This Row],[Total Valor Segunda]]+Tabla14[[#This Row],[Total Valor Primera]]+Tabla14[[#This Row],[Total Valor Precorte]]</f>
        <v>66200</v>
      </c>
      <c r="BB501" s="292">
        <f>Tabla14[[#This Row],[Valor bolsas Pesona2]]+Tabla14[[#This Row],[Valor Embarque Pesona3]]</f>
        <v>13626.400000000001</v>
      </c>
      <c r="BC501" s="332">
        <v>40000</v>
      </c>
      <c r="BD501" s="292">
        <f>Tabla14[[#This Row],[VALOR GANADO]]-Tabla14[[#This Row],[REAJUSTADO]]</f>
        <v>-26373.599999999999</v>
      </c>
      <c r="BE501" s="250">
        <f>Tabla14[[#This Row],[CUANTO SE REAJUSTA]]*Tabla14[[#This Row],[Personas Rechazo]]</f>
        <v>-131868</v>
      </c>
      <c r="BF501" s="250">
        <f>Tabla14[[#This Row],[REAJUSTADO]]/25000</f>
        <v>1.6</v>
      </c>
      <c r="BG501" s="302">
        <f>Tabla14[[#This Row],[REAJUSTADO]]*Tabla14[[#This Row],[Personas Rechazo]]</f>
        <v>200000</v>
      </c>
      <c r="BH501" s="292" t="str">
        <f>Tabla14[[#This Row],[Finca]]</f>
        <v>Uveros</v>
      </c>
      <c r="BJ501" s="332">
        <f>Tabla14[[#This Row],[Numero de Ocacionales]]*Tabla14[[#This Row],[REAJUSTADO]]</f>
        <v>0</v>
      </c>
      <c r="BK501" s="332"/>
      <c r="BL501" s="332"/>
      <c r="BM501" s="332">
        <f>+Tabla14[[#This Row],[CUANTO SE REAJUSTA]]*3</f>
        <v>-79120.799999999988</v>
      </c>
    </row>
    <row r="502" spans="3:65" x14ac:dyDescent="0.25">
      <c r="C502" s="515">
        <v>45253</v>
      </c>
      <c r="D502" s="549">
        <f>YEAR(Tabla14[[#This Row],[Fecha]])</f>
        <v>2023</v>
      </c>
      <c r="E502" s="516">
        <f>IF(Tabla14[[#This Row],[Fecha]]&gt;0,_xlfn.ISOWEEKNUM(Tabla14[[#This Row],[Fecha]]),0)</f>
        <v>47</v>
      </c>
      <c r="F502" s="283">
        <v>46</v>
      </c>
      <c r="G502" s="275" t="s">
        <v>251</v>
      </c>
      <c r="H502" s="325" t="str">
        <f>_xlfn.XLOOKUP(Tabla14[[#This Row],[Codigo Finca]],Tabla4[Codigo Finca],Tabla4[Nombre Finca],"")</f>
        <v>Pedrito</v>
      </c>
      <c r="I502" s="277">
        <f>_xlfn.XLOOKUP(Tabla14[[#This Row],[Codigo Finca]],Tabla4[Codigo Finca],Tabla4[Precio Caja],0)</f>
        <v>1800</v>
      </c>
      <c r="J502" s="277">
        <f>_xlfn.XLOOKUP(Tabla14[[#This Row],[Codigo Finca]],Tabla4[Codigo Finca],Tabla4[Precio Caja Segunda],0)</f>
        <v>1150</v>
      </c>
      <c r="K502" s="277">
        <f>_xlfn.XLOOKUP(Tabla14[[#This Row],[Codigo Finca]],Tabla4[Codigo Finca],Tabla4[Precio Rechazo],0)</f>
        <v>575</v>
      </c>
      <c r="L502" s="277">
        <f t="shared" si="491"/>
        <v>1313</v>
      </c>
      <c r="M502" s="278">
        <f t="shared" si="492"/>
        <v>28.543478260869566</v>
      </c>
      <c r="N502" s="283"/>
      <c r="O502" s="279"/>
      <c r="P502" s="280">
        <f t="shared" si="493"/>
        <v>0</v>
      </c>
      <c r="Q502" s="281">
        <f t="shared" si="494"/>
        <v>0</v>
      </c>
      <c r="R502" s="282">
        <f t="shared" si="495"/>
        <v>0</v>
      </c>
      <c r="S502" s="283">
        <v>1313</v>
      </c>
      <c r="T502" s="275">
        <v>12</v>
      </c>
      <c r="U502" s="280">
        <f t="shared" si="503"/>
        <v>46</v>
      </c>
      <c r="V502" s="281">
        <f t="shared" si="496"/>
        <v>3.8333333333333335</v>
      </c>
      <c r="W502" s="282">
        <f t="shared" si="497"/>
        <v>6900</v>
      </c>
      <c r="X502" s="283"/>
      <c r="Y502" s="275"/>
      <c r="Z502" s="280">
        <f>Tabla14[[#This Row],[Cajas Segunda]]</f>
        <v>0</v>
      </c>
      <c r="AA502" s="281">
        <f t="shared" si="498"/>
        <v>0</v>
      </c>
      <c r="AB502" s="284">
        <f t="shared" si="499"/>
        <v>0</v>
      </c>
      <c r="AC502" s="285"/>
      <c r="AD502" s="286">
        <v>7769</v>
      </c>
      <c r="AE502" s="286"/>
      <c r="AF502" s="286"/>
      <c r="AG502" s="286">
        <v>12</v>
      </c>
      <c r="AH502" s="280">
        <f t="shared" si="500"/>
        <v>310.76</v>
      </c>
      <c r="AI502" s="281">
        <f t="shared" si="501"/>
        <v>25.896666666666665</v>
      </c>
      <c r="AJ502" s="282">
        <f t="shared" si="502"/>
        <v>14890.583333333332</v>
      </c>
      <c r="AK502" s="287">
        <f>Tabla14[[#This Row],[Cajas por Personas]]</f>
        <v>0</v>
      </c>
      <c r="AL502" s="288">
        <f>Tabla14[[#This Row],[Valor Precorte Pesona]]</f>
        <v>0</v>
      </c>
      <c r="AM502" s="294">
        <f>Tabla14[[#This Row],[Personas Precorte]]</f>
        <v>0</v>
      </c>
      <c r="AN502" s="308">
        <f>Tabla14[[#This Row],[Valor Precorte Pesona Precorte]]*Tabla14[[#This Row],[Perzonas Precorte]]</f>
        <v>0</v>
      </c>
      <c r="AO502" s="287">
        <f>Tabla14[[#This Row],[Cajas por Personas2]]</f>
        <v>3.8333333333333335</v>
      </c>
      <c r="AP502" s="288">
        <f>Tabla14[[#This Row],[Valor Embarque Pesona]]</f>
        <v>6900</v>
      </c>
      <c r="AQ502" s="295">
        <f>Tabla14[[#This Row],[Personas Precorte2]]</f>
        <v>12</v>
      </c>
      <c r="AR502" s="296">
        <f>Tabla14[[#This Row],[Valor Embarque Pesona3]]*Tabla14[[#This Row],[Perzona Primera]]</f>
        <v>82800</v>
      </c>
      <c r="AS502" s="287">
        <f>Tabla14[[#This Row],[Columna2]]</f>
        <v>0</v>
      </c>
      <c r="AT502" s="288">
        <f>Tabla14[[#This Row],[Columna1]]</f>
        <v>0</v>
      </c>
      <c r="AU502" s="302">
        <f>Tabla14[[#This Row],[Personas Intervienen]]</f>
        <v>0</v>
      </c>
      <c r="AV502" s="297">
        <f>Tabla14[[#This Row],[Valor Embarque Pesona5]]*Tabla14[[#This Row],[Presonas Segunda]]</f>
        <v>0</v>
      </c>
      <c r="AW502" s="287">
        <f>Tabla14[[#This Row],[Bolsas Por Personas]]</f>
        <v>25.896666666666665</v>
      </c>
      <c r="AX502" s="288">
        <f>Tabla14[[#This Row],[Valor bolsas Pesona]]</f>
        <v>14890.583333333332</v>
      </c>
      <c r="AY502" s="309">
        <f>Tabla14[[#This Row],[Personas13]]</f>
        <v>12</v>
      </c>
      <c r="AZ502" s="310">
        <f>Tabla14[[#This Row],[Valor bolsas Pesona2]]*Tabla14[[#This Row],[Personas Rechazo]]</f>
        <v>178687</v>
      </c>
      <c r="BA502" s="311">
        <f>+Tabla14[[#This Row],[Total Valor Segunda]]+Tabla14[[#This Row],[Total Valor Primera]]+Tabla14[[#This Row],[Total Valor Precorte]]</f>
        <v>82800</v>
      </c>
      <c r="BB502" s="292">
        <f>Tabla14[[#This Row],[Valor bolsas Pesona2]]+Tabla14[[#This Row],[Valor Embarque Pesona3]]</f>
        <v>21790.583333333332</v>
      </c>
      <c r="BC502" s="332">
        <v>40000</v>
      </c>
      <c r="BD502" s="292">
        <f>Tabla14[[#This Row],[VALOR GANADO]]-Tabla14[[#This Row],[REAJUSTADO]]</f>
        <v>-18209.416666666668</v>
      </c>
      <c r="BE502" s="250">
        <f>Tabla14[[#This Row],[CUANTO SE REAJUSTA]]*Tabla14[[#This Row],[Personas Rechazo]]</f>
        <v>-218513</v>
      </c>
      <c r="BF502" s="250">
        <f>Tabla14[[#This Row],[REAJUSTADO]]/25000</f>
        <v>1.6</v>
      </c>
      <c r="BG502" s="302">
        <f>Tabla14[[#This Row],[REAJUSTADO]]*Tabla14[[#This Row],[Personas Rechazo]]</f>
        <v>480000</v>
      </c>
      <c r="BH502" s="292" t="str">
        <f>Tabla14[[#This Row],[Finca]]</f>
        <v>Pedrito</v>
      </c>
      <c r="BJ502" s="332">
        <f>Tabla14[[#This Row],[Numero de Ocacionales]]*Tabla14[[#This Row],[REAJUSTADO]]</f>
        <v>0</v>
      </c>
      <c r="BK502" s="332"/>
      <c r="BL502" s="332"/>
      <c r="BM502" s="332">
        <f>+Tabla14[[#This Row],[CUANTO SE REAJUSTA]]*3</f>
        <v>-54628.25</v>
      </c>
    </row>
    <row r="503" spans="3:65" x14ac:dyDescent="0.25">
      <c r="C503" s="515">
        <v>45253</v>
      </c>
      <c r="D503" s="549">
        <f>YEAR(Tabla14[[#This Row],[Fecha]])</f>
        <v>2023</v>
      </c>
      <c r="E503" s="516">
        <f>IF(Tabla14[[#This Row],[Fecha]]&gt;0,_xlfn.ISOWEEKNUM(Tabla14[[#This Row],[Fecha]]),0)</f>
        <v>47</v>
      </c>
      <c r="F503" s="283">
        <v>142</v>
      </c>
      <c r="G503" s="275" t="s">
        <v>250</v>
      </c>
      <c r="H503" s="325" t="str">
        <f>_xlfn.XLOOKUP(Tabla14[[#This Row],[Codigo Finca]],Tabla4[Codigo Finca],Tabla4[Nombre Finca],"")</f>
        <v>San Pedro</v>
      </c>
      <c r="I503" s="277">
        <f>_xlfn.XLOOKUP(Tabla14[[#This Row],[Codigo Finca]],Tabla4[Codigo Finca],Tabla4[Precio Caja],0)</f>
        <v>1800</v>
      </c>
      <c r="J503" s="277">
        <f>_xlfn.XLOOKUP(Tabla14[[#This Row],[Codigo Finca]],Tabla4[Codigo Finca],Tabla4[Precio Caja Segunda],0)</f>
        <v>1150</v>
      </c>
      <c r="K503" s="277">
        <f>_xlfn.XLOOKUP(Tabla14[[#This Row],[Codigo Finca]],Tabla4[Codigo Finca],Tabla4[Precio Rechazo],0)</f>
        <v>575</v>
      </c>
      <c r="L503" s="277">
        <f t="shared" si="491"/>
        <v>0</v>
      </c>
      <c r="M503" s="278">
        <f t="shared" si="492"/>
        <v>0</v>
      </c>
      <c r="N503" s="283"/>
      <c r="O503" s="279"/>
      <c r="P503" s="280">
        <f t="shared" si="493"/>
        <v>0</v>
      </c>
      <c r="Q503" s="281">
        <f t="shared" si="494"/>
        <v>0</v>
      </c>
      <c r="R503" s="282">
        <f t="shared" si="495"/>
        <v>0</v>
      </c>
      <c r="S503" s="283"/>
      <c r="T503" s="275">
        <v>5</v>
      </c>
      <c r="U503" s="280">
        <f t="shared" si="503"/>
        <v>142</v>
      </c>
      <c r="V503" s="281">
        <f t="shared" si="496"/>
        <v>28.4</v>
      </c>
      <c r="W503" s="282">
        <f t="shared" si="497"/>
        <v>51120</v>
      </c>
      <c r="X503" s="283"/>
      <c r="Y503" s="275"/>
      <c r="Z503" s="280">
        <f>Tabla14[[#This Row],[Cajas Segunda]]</f>
        <v>0</v>
      </c>
      <c r="AA503" s="281">
        <f t="shared" si="498"/>
        <v>0</v>
      </c>
      <c r="AB503" s="284">
        <f t="shared" si="499"/>
        <v>0</v>
      </c>
      <c r="AC503" s="285"/>
      <c r="AD503" s="286">
        <v>756</v>
      </c>
      <c r="AE503" s="286"/>
      <c r="AF503" s="286"/>
      <c r="AG503" s="286">
        <v>5</v>
      </c>
      <c r="AH503" s="280">
        <f t="shared" si="500"/>
        <v>30.24</v>
      </c>
      <c r="AI503" s="281">
        <f t="shared" si="501"/>
        <v>6.048</v>
      </c>
      <c r="AJ503" s="282">
        <f t="shared" si="502"/>
        <v>3477.6</v>
      </c>
      <c r="AK503" s="287">
        <f>Tabla14[[#This Row],[Cajas por Personas]]</f>
        <v>0</v>
      </c>
      <c r="AL503" s="288">
        <f>Tabla14[[#This Row],[Valor Precorte Pesona]]</f>
        <v>0</v>
      </c>
      <c r="AM503" s="294">
        <f>Tabla14[[#This Row],[Personas Precorte]]</f>
        <v>0</v>
      </c>
      <c r="AN503" s="308">
        <f>Tabla14[[#This Row],[Valor Precorte Pesona Precorte]]*Tabla14[[#This Row],[Perzonas Precorte]]</f>
        <v>0</v>
      </c>
      <c r="AO503" s="287">
        <f>Tabla14[[#This Row],[Cajas por Personas2]]</f>
        <v>28.4</v>
      </c>
      <c r="AP503" s="288">
        <f>Tabla14[[#This Row],[Valor Embarque Pesona]]</f>
        <v>51120</v>
      </c>
      <c r="AQ503" s="295">
        <f>Tabla14[[#This Row],[Personas Precorte2]]</f>
        <v>5</v>
      </c>
      <c r="AR503" s="296">
        <f>Tabla14[[#This Row],[Valor Embarque Pesona3]]*Tabla14[[#This Row],[Perzona Primera]]</f>
        <v>255600</v>
      </c>
      <c r="AS503" s="287">
        <f>Tabla14[[#This Row],[Columna2]]</f>
        <v>0</v>
      </c>
      <c r="AT503" s="288">
        <f>Tabla14[[#This Row],[Columna1]]</f>
        <v>0</v>
      </c>
      <c r="AU503" s="302">
        <f>Tabla14[[#This Row],[Personas Intervienen]]</f>
        <v>0</v>
      </c>
      <c r="AV503" s="297">
        <f>Tabla14[[#This Row],[Valor Embarque Pesona5]]*Tabla14[[#This Row],[Presonas Segunda]]</f>
        <v>0</v>
      </c>
      <c r="AW503" s="287">
        <f>Tabla14[[#This Row],[Bolsas Por Personas]]</f>
        <v>6.048</v>
      </c>
      <c r="AX503" s="288">
        <f>Tabla14[[#This Row],[Valor bolsas Pesona]]</f>
        <v>3477.6</v>
      </c>
      <c r="AY503" s="309">
        <f>Tabla14[[#This Row],[Personas13]]</f>
        <v>5</v>
      </c>
      <c r="AZ503" s="310">
        <f>Tabla14[[#This Row],[Valor bolsas Pesona2]]*Tabla14[[#This Row],[Personas Rechazo]]</f>
        <v>17388</v>
      </c>
      <c r="BA503" s="311">
        <f>+Tabla14[[#This Row],[Total Valor Segunda]]+Tabla14[[#This Row],[Total Valor Primera]]+Tabla14[[#This Row],[Total Valor Precorte]]</f>
        <v>255600</v>
      </c>
      <c r="BB503" s="292">
        <f>Tabla14[[#This Row],[Valor bolsas Pesona2]]+Tabla14[[#This Row],[Valor Embarque Pesona3]]</f>
        <v>54597.599999999999</v>
      </c>
      <c r="BC503" s="332">
        <v>45000</v>
      </c>
      <c r="BD503" s="292">
        <f>Tabla14[[#This Row],[VALOR GANADO]]-Tabla14[[#This Row],[REAJUSTADO]]</f>
        <v>9597.5999999999985</v>
      </c>
      <c r="BE503" s="250">
        <f>Tabla14[[#This Row],[CUANTO SE REAJUSTA]]*Tabla14[[#This Row],[Personas Rechazo]]</f>
        <v>47987.999999999993</v>
      </c>
      <c r="BF503" s="250">
        <f>Tabla14[[#This Row],[REAJUSTADO]]/25000</f>
        <v>1.8</v>
      </c>
      <c r="BG503" s="302">
        <f>Tabla14[[#This Row],[REAJUSTADO]]*Tabla14[[#This Row],[Personas Rechazo]]</f>
        <v>225000</v>
      </c>
      <c r="BH503" s="292" t="str">
        <f>Tabla14[[#This Row],[Finca]]</f>
        <v>San Pedro</v>
      </c>
      <c r="BJ503" s="332">
        <f>Tabla14[[#This Row],[Numero de Ocacionales]]*Tabla14[[#This Row],[REAJUSTADO]]</f>
        <v>0</v>
      </c>
      <c r="BK503" s="332"/>
      <c r="BL503" s="332"/>
      <c r="BM503" s="332">
        <f>+Tabla14[[#This Row],[CUANTO SE REAJUSTA]]*3</f>
        <v>28792.799999999996</v>
      </c>
    </row>
    <row r="504" spans="3:65" x14ac:dyDescent="0.25">
      <c r="C504" s="515">
        <v>45258</v>
      </c>
      <c r="D504" s="549">
        <f>YEAR(Tabla14[[#This Row],[Fecha]])</f>
        <v>2023</v>
      </c>
      <c r="E504" s="516">
        <f>IF(Tabla14[[#This Row],[Fecha]]&gt;0,_xlfn.ISOWEEKNUM(Tabla14[[#This Row],[Fecha]]),0)</f>
        <v>48</v>
      </c>
      <c r="F504" s="283">
        <f>367-98</f>
        <v>269</v>
      </c>
      <c r="G504" s="275" t="str">
        <f>+G503</f>
        <v>S020-1</v>
      </c>
      <c r="H504" s="325" t="str">
        <f>_xlfn.XLOOKUP(Tabla14[[#This Row],[Codigo Finca]],Tabla4[Codigo Finca],Tabla4[Nombre Finca],"")</f>
        <v>San Pedro</v>
      </c>
      <c r="I504" s="277">
        <f>_xlfn.XLOOKUP(Tabla14[[#This Row],[Codigo Finca]],Tabla4[Codigo Finca],Tabla4[Precio Caja],0)</f>
        <v>1800</v>
      </c>
      <c r="J504" s="277">
        <f>_xlfn.XLOOKUP(Tabla14[[#This Row],[Codigo Finca]],Tabla4[Codigo Finca],Tabla4[Precio Caja Segunda],0)</f>
        <v>1150</v>
      </c>
      <c r="K504" s="277">
        <f>_xlfn.XLOOKUP(Tabla14[[#This Row],[Codigo Finca]],Tabla4[Codigo Finca],Tabla4[Precio Rechazo],0)</f>
        <v>575</v>
      </c>
      <c r="L504" s="277">
        <f t="shared" si="491"/>
        <v>1360</v>
      </c>
      <c r="M504" s="278">
        <f t="shared" si="492"/>
        <v>5.0557620817843869</v>
      </c>
      <c r="N504" s="283"/>
      <c r="O504" s="279"/>
      <c r="P504" s="280">
        <f t="shared" si="493"/>
        <v>0</v>
      </c>
      <c r="Q504" s="281">
        <f t="shared" si="494"/>
        <v>0</v>
      </c>
      <c r="R504" s="282">
        <f t="shared" si="495"/>
        <v>0</v>
      </c>
      <c r="S504" s="283">
        <v>1360</v>
      </c>
      <c r="T504" s="275">
        <v>19</v>
      </c>
      <c r="U504" s="280">
        <f t="shared" si="503"/>
        <v>269</v>
      </c>
      <c r="V504" s="281">
        <f t="shared" si="496"/>
        <v>14.157894736842104</v>
      </c>
      <c r="W504" s="282">
        <f t="shared" si="497"/>
        <v>25484.21052631579</v>
      </c>
      <c r="X504" s="283"/>
      <c r="Y504" s="275"/>
      <c r="Z504" s="280">
        <f>Tabla14[[#This Row],[Cajas Segunda]]</f>
        <v>0</v>
      </c>
      <c r="AA504" s="281">
        <f t="shared" si="498"/>
        <v>0</v>
      </c>
      <c r="AB504" s="284">
        <f t="shared" si="499"/>
        <v>0</v>
      </c>
      <c r="AC504" s="285"/>
      <c r="AD504" s="286">
        <v>2632.47</v>
      </c>
      <c r="AE504" s="286"/>
      <c r="AF504" s="286"/>
      <c r="AG504" s="286">
        <v>19</v>
      </c>
      <c r="AH504" s="280">
        <f t="shared" si="500"/>
        <v>105.29879999999999</v>
      </c>
      <c r="AI504" s="281">
        <f t="shared" si="501"/>
        <v>5.5420421052631568</v>
      </c>
      <c r="AJ504" s="282">
        <f t="shared" si="502"/>
        <v>3186.6742105263152</v>
      </c>
      <c r="AK504" s="287">
        <f>Tabla14[[#This Row],[Cajas por Personas]]</f>
        <v>0</v>
      </c>
      <c r="AL504" s="288">
        <f>Tabla14[[#This Row],[Valor Precorte Pesona]]</f>
        <v>0</v>
      </c>
      <c r="AM504" s="294">
        <f>Tabla14[[#This Row],[Personas Precorte]]</f>
        <v>0</v>
      </c>
      <c r="AN504" s="308">
        <f>Tabla14[[#This Row],[Valor Precorte Pesona Precorte]]*Tabla14[[#This Row],[Perzonas Precorte]]</f>
        <v>0</v>
      </c>
      <c r="AO504" s="287">
        <f>Tabla14[[#This Row],[Cajas por Personas2]]</f>
        <v>14.157894736842104</v>
      </c>
      <c r="AP504" s="288">
        <f>Tabla14[[#This Row],[Valor Embarque Pesona]]</f>
        <v>25484.21052631579</v>
      </c>
      <c r="AQ504" s="295">
        <f>Tabla14[[#This Row],[Personas Precorte2]]</f>
        <v>19</v>
      </c>
      <c r="AR504" s="296">
        <f>Tabla14[[#This Row],[Valor Embarque Pesona3]]*Tabla14[[#This Row],[Perzona Primera]]</f>
        <v>484200</v>
      </c>
      <c r="AS504" s="287">
        <f>Tabla14[[#This Row],[Columna2]]</f>
        <v>0</v>
      </c>
      <c r="AT504" s="288">
        <f>Tabla14[[#This Row],[Columna1]]</f>
        <v>0</v>
      </c>
      <c r="AU504" s="302">
        <f>Tabla14[[#This Row],[Personas Intervienen]]</f>
        <v>0</v>
      </c>
      <c r="AV504" s="297">
        <f>Tabla14[[#This Row],[Valor Embarque Pesona5]]*Tabla14[[#This Row],[Presonas Segunda]]</f>
        <v>0</v>
      </c>
      <c r="AW504" s="287">
        <f>Tabla14[[#This Row],[Bolsas Por Personas]]</f>
        <v>5.5420421052631568</v>
      </c>
      <c r="AX504" s="288">
        <f>Tabla14[[#This Row],[Valor bolsas Pesona]]</f>
        <v>3186.6742105263152</v>
      </c>
      <c r="AY504" s="309">
        <f>Tabla14[[#This Row],[Personas13]]</f>
        <v>19</v>
      </c>
      <c r="AZ504" s="310">
        <f>Tabla14[[#This Row],[Valor bolsas Pesona2]]*Tabla14[[#This Row],[Personas Rechazo]]</f>
        <v>60546.80999999999</v>
      </c>
      <c r="BA504" s="311">
        <f>+Tabla14[[#This Row],[Total Valor Segunda]]+Tabla14[[#This Row],[Total Valor Primera]]+Tabla14[[#This Row],[Total Valor Precorte]]</f>
        <v>484200</v>
      </c>
      <c r="BB504" s="538">
        <f>Tabla14[[#This Row],[Valor bolsas Pesona2]]+Tabla14[[#This Row],[Valor Embarque Pesona3]]</f>
        <v>28670.884736842105</v>
      </c>
      <c r="BC504" s="539">
        <f>+Tabla14[[#This Row],[VALOR GANADO]]+BB505+BB506</f>
        <v>44332.201578947366</v>
      </c>
      <c r="BD504" s="538">
        <f>Tabla14[[#This Row],[VALOR GANADO]]-Tabla14[[#This Row],[REAJUSTADO]]</f>
        <v>-15661.316842105261</v>
      </c>
      <c r="BE504" s="250">
        <f>Tabla14[[#This Row],[CUANTO SE REAJUSTA]]*Tabla14[[#This Row],[Personas Rechazo]]</f>
        <v>-297565.01999999996</v>
      </c>
      <c r="BF504" s="250">
        <f>Tabla14[[#This Row],[REAJUSTADO]]/25000</f>
        <v>1.7732880631578947</v>
      </c>
      <c r="BG504" s="302">
        <f>Tabla14[[#This Row],[REAJUSTADO]]*Tabla14[[#This Row],[Personas Rechazo]]</f>
        <v>842311.83</v>
      </c>
      <c r="BH504" s="292" t="str">
        <f>Tabla14[[#This Row],[Finca]]</f>
        <v>San Pedro</v>
      </c>
      <c r="BJ504" s="332">
        <f>Tabla14[[#This Row],[Numero de Ocacionales]]*Tabla14[[#This Row],[REAJUSTADO]]</f>
        <v>0</v>
      </c>
      <c r="BK504" s="332"/>
      <c r="BL504" s="332"/>
      <c r="BM504" s="332">
        <f>+Tabla14[[#This Row],[CUANTO SE REAJUSTA]]*3</f>
        <v>-46983.950526315784</v>
      </c>
    </row>
    <row r="505" spans="3:65" x14ac:dyDescent="0.25">
      <c r="C505" s="515">
        <v>45258</v>
      </c>
      <c r="D505" s="549">
        <f>YEAR(Tabla14[[#This Row],[Fecha]])</f>
        <v>2023</v>
      </c>
      <c r="E505" s="516">
        <f>IF(Tabla14[[#This Row],[Fecha]]&gt;0,_xlfn.ISOWEEKNUM(Tabla14[[#This Row],[Fecha]]),0)</f>
        <v>48</v>
      </c>
      <c r="F505" s="283">
        <v>98</v>
      </c>
      <c r="G505" s="275" t="s">
        <v>249</v>
      </c>
      <c r="H505" s="325" t="str">
        <f>_xlfn.XLOOKUP(Tabla14[[#This Row],[Codigo Finca]],Tabla4[Codigo Finca],Tabla4[Nombre Finca],"")</f>
        <v>San Pedro</v>
      </c>
      <c r="I505" s="277">
        <f>_xlfn.XLOOKUP(Tabla14[[#This Row],[Codigo Finca]],Tabla4[Codigo Finca],Tabla4[Precio Caja],0)</f>
        <v>2000</v>
      </c>
      <c r="J505" s="277">
        <f>_xlfn.XLOOKUP(Tabla14[[#This Row],[Codigo Finca]],Tabla4[Codigo Finca],Tabla4[Precio Caja Segunda],0)</f>
        <v>1150</v>
      </c>
      <c r="K505" s="277">
        <f>_xlfn.XLOOKUP(Tabla14[[#This Row],[Codigo Finca]],Tabla4[Codigo Finca],Tabla4[Precio Rechazo],0)</f>
        <v>675</v>
      </c>
      <c r="L505" s="277">
        <f t="shared" ref="L505:L510" si="504">S505+N505</f>
        <v>0</v>
      </c>
      <c r="M505" s="278">
        <f t="shared" ref="M505:M510" si="505">IF(F505&gt;0,L505/F505,0)</f>
        <v>0</v>
      </c>
      <c r="N505" s="283"/>
      <c r="O505" s="279"/>
      <c r="P505" s="280">
        <f t="shared" ref="P505:P510" si="506">IF(N505&gt;0,(N505/M505)/2,0)</f>
        <v>0</v>
      </c>
      <c r="Q505" s="281">
        <f t="shared" ref="Q505:Q510" si="507">IF(O505&gt;0,P505/O505,0)</f>
        <v>0</v>
      </c>
      <c r="R505" s="282">
        <f t="shared" ref="R505:R510" si="508">IF(I505&gt;0,Q505*I505,)</f>
        <v>0</v>
      </c>
      <c r="S505" s="283"/>
      <c r="T505" s="275">
        <v>19</v>
      </c>
      <c r="U505" s="280">
        <f t="shared" si="503"/>
        <v>98</v>
      </c>
      <c r="V505" s="281">
        <f t="shared" ref="V505:V510" si="509">IF(T505&gt;0,U505/T505,0)</f>
        <v>5.1578947368421053</v>
      </c>
      <c r="W505" s="282">
        <f t="shared" ref="W505:W510" si="510">IF(T505&gt;0,(U505*I505)/T505,0)</f>
        <v>10315.78947368421</v>
      </c>
      <c r="X505" s="283"/>
      <c r="Y505" s="275"/>
      <c r="Z505" s="280">
        <f>Tabla14[[#This Row],[Cajas Segunda]]</f>
        <v>0</v>
      </c>
      <c r="AA505" s="281">
        <f t="shared" ref="AA505:AA510" si="511">IF(Y505&gt;0,Z505/Y505,0)</f>
        <v>0</v>
      </c>
      <c r="AB505" s="284">
        <f t="shared" ref="AB505:AB510" si="512">IF(Y505&gt;0,(Z505*J505)/Y505,0)</f>
        <v>0</v>
      </c>
      <c r="AC505" s="285"/>
      <c r="AD505" s="286">
        <v>354.26</v>
      </c>
      <c r="AE505" s="286"/>
      <c r="AF505" s="286"/>
      <c r="AG505" s="286">
        <v>19</v>
      </c>
      <c r="AH505" s="280">
        <f t="shared" ref="AH505:AH510" si="513">IF(AND(AC505&gt;0,AE505=0,AF505=0,AD505=0),AC505,IF(AND(AC505=0,AE505&gt;0,AF505&gt;0,AD505=0),AE505*AF505/25,IF(AND(AC505=0,AE505=0,AF505=0,AD505&gt;0),AD505/25,0)))</f>
        <v>14.170399999999999</v>
      </c>
      <c r="AI505" s="281">
        <f t="shared" ref="AI505:AI510" si="514">IF(AG505&gt;0,AH505/AG505,0)</f>
        <v>0.74581052631578937</v>
      </c>
      <c r="AJ505" s="282">
        <f t="shared" ref="AJ505:AJ510" si="515">AI505*K505</f>
        <v>503.42210526315785</v>
      </c>
      <c r="AK505" s="287">
        <f>Tabla14[[#This Row],[Cajas por Personas]]</f>
        <v>0</v>
      </c>
      <c r="AL505" s="288">
        <f>Tabla14[[#This Row],[Valor Precorte Pesona]]</f>
        <v>0</v>
      </c>
      <c r="AM505" s="294">
        <f>Tabla14[[#This Row],[Personas Precorte]]</f>
        <v>0</v>
      </c>
      <c r="AN505" s="308">
        <f>Tabla14[[#This Row],[Valor Precorte Pesona Precorte]]*Tabla14[[#This Row],[Perzonas Precorte]]</f>
        <v>0</v>
      </c>
      <c r="AO505" s="287">
        <f>Tabla14[[#This Row],[Cajas por Personas2]]</f>
        <v>5.1578947368421053</v>
      </c>
      <c r="AP505" s="288">
        <f>Tabla14[[#This Row],[Valor Embarque Pesona]]</f>
        <v>10315.78947368421</v>
      </c>
      <c r="AQ505" s="295">
        <f>Tabla14[[#This Row],[Personas Precorte2]]</f>
        <v>19</v>
      </c>
      <c r="AR505" s="296">
        <f>Tabla14[[#This Row],[Valor Embarque Pesona3]]*Tabla14[[#This Row],[Perzona Primera]]</f>
        <v>196000</v>
      </c>
      <c r="AS505" s="287">
        <f>Tabla14[[#This Row],[Columna2]]</f>
        <v>0</v>
      </c>
      <c r="AT505" s="288">
        <f>Tabla14[[#This Row],[Columna1]]</f>
        <v>0</v>
      </c>
      <c r="AU505" s="302">
        <f>Tabla14[[#This Row],[Personas Intervienen]]</f>
        <v>0</v>
      </c>
      <c r="AV505" s="297">
        <f>Tabla14[[#This Row],[Valor Embarque Pesona5]]*Tabla14[[#This Row],[Presonas Segunda]]</f>
        <v>0</v>
      </c>
      <c r="AW505" s="287">
        <f>Tabla14[[#This Row],[Bolsas Por Personas]]</f>
        <v>0.74581052631578937</v>
      </c>
      <c r="AX505" s="288">
        <f>Tabla14[[#This Row],[Valor bolsas Pesona]]</f>
        <v>503.42210526315785</v>
      </c>
      <c r="AY505" s="309">
        <f>Tabla14[[#This Row],[Personas13]]</f>
        <v>19</v>
      </c>
      <c r="AZ505" s="310">
        <f>Tabla14[[#This Row],[Valor bolsas Pesona2]]*Tabla14[[#This Row],[Personas Rechazo]]</f>
        <v>9565.0199999999986</v>
      </c>
      <c r="BA505" s="311">
        <f>+Tabla14[[#This Row],[Total Valor Segunda]]+Tabla14[[#This Row],[Total Valor Primera]]+Tabla14[[#This Row],[Total Valor Precorte]]</f>
        <v>196000</v>
      </c>
      <c r="BB505" s="538">
        <f>Tabla14[[#This Row],[Valor bolsas Pesona2]]+Tabla14[[#This Row],[Valor Embarque Pesona3]]</f>
        <v>10819.211578947368</v>
      </c>
      <c r="BC505" s="539"/>
      <c r="BD505" s="538">
        <f>Tabla14[[#This Row],[VALOR GANADO]]-Tabla14[[#This Row],[REAJUSTADO]]</f>
        <v>10819.211578947368</v>
      </c>
      <c r="BE505" s="250">
        <f>Tabla14[[#This Row],[CUANTO SE REAJUSTA]]*Tabla14[[#This Row],[Personas Rechazo]]</f>
        <v>205565.02</v>
      </c>
      <c r="BF505" s="250">
        <f>Tabla14[[#This Row],[REAJUSTADO]]/25000</f>
        <v>0</v>
      </c>
      <c r="BG505" s="302">
        <f>Tabla14[[#This Row],[REAJUSTADO]]*Tabla14[[#This Row],[Personas Rechazo]]</f>
        <v>0</v>
      </c>
      <c r="BH505" s="292" t="str">
        <f>Tabla14[[#This Row],[Finca]]</f>
        <v>San Pedro</v>
      </c>
      <c r="BJ505" s="332">
        <f>Tabla14[[#This Row],[Numero de Ocacionales]]*Tabla14[[#This Row],[REAJUSTADO]]</f>
        <v>0</v>
      </c>
      <c r="BK505" s="332"/>
      <c r="BL505" s="332"/>
      <c r="BM505" s="332">
        <f>+Tabla14[[#This Row],[CUANTO SE REAJUSTA]]*3</f>
        <v>32457.634736842105</v>
      </c>
    </row>
    <row r="506" spans="3:65" x14ac:dyDescent="0.25">
      <c r="C506" s="515">
        <v>45258</v>
      </c>
      <c r="D506" s="549">
        <f>YEAR(Tabla14[[#This Row],[Fecha]])</f>
        <v>2023</v>
      </c>
      <c r="E506" s="516">
        <f>IF(Tabla14[[#This Row],[Fecha]]&gt;0,_xlfn.ISOWEEKNUM(Tabla14[[#This Row],[Fecha]]),0)</f>
        <v>48</v>
      </c>
      <c r="F506" s="283"/>
      <c r="G506" s="275" t="s">
        <v>250</v>
      </c>
      <c r="H506" s="325" t="str">
        <f>_xlfn.XLOOKUP(Tabla14[[#This Row],[Codigo Finca]],Tabla4[Codigo Finca],Tabla4[Nombre Finca],"")</f>
        <v>San Pedro</v>
      </c>
      <c r="I506" s="277">
        <f>_xlfn.XLOOKUP(Tabla14[[#This Row],[Codigo Finca]],Tabla4[Codigo Finca],Tabla4[Precio Caja],0)</f>
        <v>1800</v>
      </c>
      <c r="J506" s="277">
        <f>_xlfn.XLOOKUP(Tabla14[[#This Row],[Codigo Finca]],Tabla4[Codigo Finca],Tabla4[Precio Caja Segunda],0)</f>
        <v>1150</v>
      </c>
      <c r="K506" s="277">
        <f>_xlfn.XLOOKUP(Tabla14[[#This Row],[Codigo Finca]],Tabla4[Codigo Finca],Tabla4[Precio Rechazo],0)</f>
        <v>575</v>
      </c>
      <c r="L506" s="277">
        <f t="shared" si="504"/>
        <v>0</v>
      </c>
      <c r="M506" s="278">
        <f t="shared" si="505"/>
        <v>0</v>
      </c>
      <c r="N506" s="283"/>
      <c r="O506" s="279"/>
      <c r="P506" s="280">
        <f t="shared" si="506"/>
        <v>0</v>
      </c>
      <c r="Q506" s="281">
        <f t="shared" si="507"/>
        <v>0</v>
      </c>
      <c r="R506" s="282">
        <f t="shared" si="508"/>
        <v>0</v>
      </c>
      <c r="S506" s="283"/>
      <c r="T506" s="275"/>
      <c r="U506" s="280">
        <f t="shared" si="503"/>
        <v>0</v>
      </c>
      <c r="V506" s="281">
        <f t="shared" si="509"/>
        <v>0</v>
      </c>
      <c r="W506" s="282">
        <f t="shared" si="510"/>
        <v>0</v>
      </c>
      <c r="X506" s="283">
        <v>80</v>
      </c>
      <c r="Y506" s="275">
        <v>19</v>
      </c>
      <c r="Z506" s="280">
        <f>Tabla14[[#This Row],[Cajas Segunda]]</f>
        <v>80</v>
      </c>
      <c r="AA506" s="281">
        <f t="shared" si="511"/>
        <v>4.2105263157894735</v>
      </c>
      <c r="AB506" s="284">
        <f t="shared" si="512"/>
        <v>4842.105263157895</v>
      </c>
      <c r="AC506" s="285"/>
      <c r="AD506" s="286"/>
      <c r="AE506" s="286"/>
      <c r="AF506" s="286"/>
      <c r="AG506" s="286">
        <v>19</v>
      </c>
      <c r="AH506" s="280">
        <f t="shared" si="513"/>
        <v>0</v>
      </c>
      <c r="AI506" s="281">
        <f t="shared" si="514"/>
        <v>0</v>
      </c>
      <c r="AJ506" s="282">
        <f t="shared" si="515"/>
        <v>0</v>
      </c>
      <c r="AK506" s="287">
        <f>Tabla14[[#This Row],[Cajas por Personas]]</f>
        <v>0</v>
      </c>
      <c r="AL506" s="288">
        <f>Tabla14[[#This Row],[Valor Precorte Pesona]]</f>
        <v>0</v>
      </c>
      <c r="AM506" s="294">
        <f>Tabla14[[#This Row],[Personas Precorte]]</f>
        <v>0</v>
      </c>
      <c r="AN506" s="308">
        <f>Tabla14[[#This Row],[Valor Precorte Pesona Precorte]]*Tabla14[[#This Row],[Perzonas Precorte]]</f>
        <v>0</v>
      </c>
      <c r="AO506" s="287">
        <f>Tabla14[[#This Row],[Cajas por Personas2]]</f>
        <v>0</v>
      </c>
      <c r="AP506" s="288">
        <f>Tabla14[[#This Row],[Valor Embarque Pesona]]</f>
        <v>0</v>
      </c>
      <c r="AQ506" s="295">
        <f>Tabla14[[#This Row],[Personas Precorte2]]</f>
        <v>0</v>
      </c>
      <c r="AR506" s="296">
        <f>Tabla14[[#This Row],[Valor Embarque Pesona3]]*Tabla14[[#This Row],[Perzona Primera]]</f>
        <v>0</v>
      </c>
      <c r="AS506" s="287">
        <f>Tabla14[[#This Row],[Columna2]]</f>
        <v>4.2105263157894735</v>
      </c>
      <c r="AT506" s="288">
        <f>Tabla14[[#This Row],[Columna1]]</f>
        <v>4842.105263157895</v>
      </c>
      <c r="AU506" s="302">
        <f>Tabla14[[#This Row],[Personas Intervienen]]</f>
        <v>19</v>
      </c>
      <c r="AV506" s="297">
        <f>Tabla14[[#This Row],[Valor Embarque Pesona5]]*Tabla14[[#This Row],[Presonas Segunda]]</f>
        <v>92000</v>
      </c>
      <c r="AW506" s="287">
        <f>Tabla14[[#This Row],[Bolsas Por Personas]]</f>
        <v>0</v>
      </c>
      <c r="AX506" s="288">
        <f>Tabla14[[#This Row],[Valor bolsas Pesona]]</f>
        <v>0</v>
      </c>
      <c r="AY506" s="309">
        <f>Tabla14[[#This Row],[Personas13]]</f>
        <v>19</v>
      </c>
      <c r="AZ506" s="310">
        <f>Tabla14[[#This Row],[Valor bolsas Pesona2]]*Tabla14[[#This Row],[Personas Rechazo]]</f>
        <v>0</v>
      </c>
      <c r="BA506" s="311">
        <f>+Tabla14[[#This Row],[Total Valor Segunda]]+Tabla14[[#This Row],[Total Valor Primera]]+Tabla14[[#This Row],[Total Valor Precorte]]</f>
        <v>92000</v>
      </c>
      <c r="BB506" s="538">
        <f>Tabla14[[#This Row],[Total Valor Segunda]]/Tabla14[[#This Row],[Presonas Segunda]]</f>
        <v>4842.105263157895</v>
      </c>
      <c r="BC506" s="539"/>
      <c r="BD506" s="538">
        <f>Tabla14[[#This Row],[VALOR GANADO]]-Tabla14[[#This Row],[REAJUSTADO]]</f>
        <v>4842.105263157895</v>
      </c>
      <c r="BE506" s="250">
        <f>Tabla14[[#This Row],[CUANTO SE REAJUSTA]]*Tabla14[[#This Row],[Personas Rechazo]]</f>
        <v>92000</v>
      </c>
      <c r="BF506" s="250">
        <f>Tabla14[[#This Row],[REAJUSTADO]]/25000</f>
        <v>0</v>
      </c>
      <c r="BG506" s="302">
        <f>Tabla14[[#This Row],[REAJUSTADO]]*Tabla14[[#This Row],[Personas Rechazo]]</f>
        <v>0</v>
      </c>
      <c r="BH506" s="292" t="str">
        <f>Tabla14[[#This Row],[Finca]]</f>
        <v>San Pedro</v>
      </c>
      <c r="BJ506" s="332">
        <f>Tabla14[[#This Row],[Numero de Ocacionales]]*Tabla14[[#This Row],[REAJUSTADO]]</f>
        <v>0</v>
      </c>
      <c r="BK506" s="332"/>
      <c r="BL506" s="332"/>
      <c r="BM506" s="332">
        <f>+Tabla14[[#This Row],[CUANTO SE REAJUSTA]]*3</f>
        <v>14526.315789473685</v>
      </c>
    </row>
    <row r="507" spans="3:65" x14ac:dyDescent="0.25">
      <c r="C507" s="515">
        <v>45258</v>
      </c>
      <c r="D507" s="549">
        <f>YEAR(Tabla14[[#This Row],[Fecha]])</f>
        <v>2023</v>
      </c>
      <c r="E507" s="516">
        <f>IF(Tabla14[[#This Row],[Fecha]]&gt;0,_xlfn.ISOWEEKNUM(Tabla14[[#This Row],[Fecha]]),0)</f>
        <v>48</v>
      </c>
      <c r="F507" s="283">
        <v>72</v>
      </c>
      <c r="G507" s="275" t="s">
        <v>247</v>
      </c>
      <c r="H507" s="325" t="str">
        <f>_xlfn.XLOOKUP(Tabla14[[#This Row],[Codigo Finca]],Tabla4[Codigo Finca],Tabla4[Nombre Finca],"")</f>
        <v>Uveros</v>
      </c>
      <c r="I507" s="277">
        <f>_xlfn.XLOOKUP(Tabla14[[#This Row],[Codigo Finca]],Tabla4[Codigo Finca],Tabla4[Precio Caja],0)</f>
        <v>1800</v>
      </c>
      <c r="J507" s="277">
        <f>_xlfn.XLOOKUP(Tabla14[[#This Row],[Codigo Finca]],Tabla4[Codigo Finca],Tabla4[Precio Caja Segunda],0)</f>
        <v>1150</v>
      </c>
      <c r="K507" s="277">
        <f>_xlfn.XLOOKUP(Tabla14[[#This Row],[Codigo Finca]],Tabla4[Codigo Finca],Tabla4[Precio Rechazo],0)</f>
        <v>575</v>
      </c>
      <c r="L507" s="277">
        <f t="shared" si="504"/>
        <v>0</v>
      </c>
      <c r="M507" s="278">
        <f t="shared" si="505"/>
        <v>0</v>
      </c>
      <c r="N507" s="283"/>
      <c r="O507" s="279"/>
      <c r="P507" s="280">
        <f t="shared" si="506"/>
        <v>0</v>
      </c>
      <c r="Q507" s="281">
        <f t="shared" si="507"/>
        <v>0</v>
      </c>
      <c r="R507" s="282">
        <f t="shared" si="508"/>
        <v>0</v>
      </c>
      <c r="S507" s="283"/>
      <c r="T507" s="275"/>
      <c r="U507" s="280">
        <f t="shared" si="503"/>
        <v>72</v>
      </c>
      <c r="V507" s="281">
        <f t="shared" si="509"/>
        <v>0</v>
      </c>
      <c r="W507" s="282">
        <f t="shared" si="510"/>
        <v>0</v>
      </c>
      <c r="X507" s="283"/>
      <c r="Y507" s="275"/>
      <c r="Z507" s="280">
        <f>Tabla14[[#This Row],[Cajas Segunda]]</f>
        <v>0</v>
      </c>
      <c r="AA507" s="281">
        <f t="shared" si="511"/>
        <v>0</v>
      </c>
      <c r="AB507" s="284">
        <f t="shared" si="512"/>
        <v>0</v>
      </c>
      <c r="AC507" s="285"/>
      <c r="AD507" s="286">
        <v>2590</v>
      </c>
      <c r="AE507" s="286"/>
      <c r="AF507" s="286"/>
      <c r="AG507" s="286"/>
      <c r="AH507" s="280">
        <f t="shared" si="513"/>
        <v>103.6</v>
      </c>
      <c r="AI507" s="281">
        <f t="shared" si="514"/>
        <v>0</v>
      </c>
      <c r="AJ507" s="282">
        <f t="shared" si="515"/>
        <v>0</v>
      </c>
      <c r="AK507" s="287">
        <f>Tabla14[[#This Row],[Cajas por Personas]]</f>
        <v>0</v>
      </c>
      <c r="AL507" s="288">
        <f>Tabla14[[#This Row],[Valor Precorte Pesona]]</f>
        <v>0</v>
      </c>
      <c r="AM507" s="294">
        <f>Tabla14[[#This Row],[Personas Precorte]]</f>
        <v>0</v>
      </c>
      <c r="AN507" s="308">
        <f>Tabla14[[#This Row],[Valor Precorte Pesona Precorte]]*Tabla14[[#This Row],[Perzonas Precorte]]</f>
        <v>0</v>
      </c>
      <c r="AO507" s="287">
        <f>Tabla14[[#This Row],[Cajas por Personas2]]</f>
        <v>0</v>
      </c>
      <c r="AP507" s="288">
        <f>Tabla14[[#This Row],[Valor Embarque Pesona]]</f>
        <v>0</v>
      </c>
      <c r="AQ507" s="295">
        <f>Tabla14[[#This Row],[Personas Precorte2]]</f>
        <v>0</v>
      </c>
      <c r="AR507" s="296">
        <f>Tabla14[[#This Row],[Valor Embarque Pesona3]]*Tabla14[[#This Row],[Perzona Primera]]</f>
        <v>0</v>
      </c>
      <c r="AS507" s="287">
        <f>Tabla14[[#This Row],[Columna2]]</f>
        <v>0</v>
      </c>
      <c r="AT507" s="288">
        <f>Tabla14[[#This Row],[Columna1]]</f>
        <v>0</v>
      </c>
      <c r="AU507" s="302">
        <f>Tabla14[[#This Row],[Personas Intervienen]]</f>
        <v>0</v>
      </c>
      <c r="AV507" s="297">
        <f>Tabla14[[#This Row],[Valor Embarque Pesona5]]*Tabla14[[#This Row],[Presonas Segunda]]</f>
        <v>0</v>
      </c>
      <c r="AW507" s="287">
        <f>Tabla14[[#This Row],[Bolsas Por Personas]]</f>
        <v>0</v>
      </c>
      <c r="AX507" s="288">
        <f>Tabla14[[#This Row],[Valor bolsas Pesona]]</f>
        <v>0</v>
      </c>
      <c r="AY507" s="309">
        <f>Tabla14[[#This Row],[Personas13]]</f>
        <v>0</v>
      </c>
      <c r="AZ507" s="310">
        <f>Tabla14[[#This Row],[Valor bolsas Pesona2]]*Tabla14[[#This Row],[Personas Rechazo]]</f>
        <v>0</v>
      </c>
      <c r="BA507" s="311">
        <f>+Tabla14[[#This Row],[Total Valor Segunda]]+Tabla14[[#This Row],[Total Valor Primera]]+Tabla14[[#This Row],[Total Valor Precorte]]</f>
        <v>0</v>
      </c>
      <c r="BB507" s="292">
        <f>Tabla14[[#This Row],[Valor bolsas Pesona2]]+Tabla14[[#This Row],[Valor Embarque Pesona3]]</f>
        <v>0</v>
      </c>
      <c r="BC507" s="332">
        <v>40000</v>
      </c>
      <c r="BD507" s="292">
        <f>Tabla14[[#This Row],[VALOR GANADO]]-Tabla14[[#This Row],[REAJUSTADO]]</f>
        <v>-40000</v>
      </c>
      <c r="BE507" s="250">
        <f>Tabla14[[#This Row],[CUANTO SE REAJUSTA]]*Tabla14[[#This Row],[Personas Rechazo]]</f>
        <v>0</v>
      </c>
      <c r="BF507" s="250">
        <f>Tabla14[[#This Row],[REAJUSTADO]]/25000</f>
        <v>1.6</v>
      </c>
      <c r="BG507" s="302">
        <f>Tabla14[[#This Row],[REAJUSTADO]]*Tabla14[[#This Row],[Personas Rechazo]]</f>
        <v>0</v>
      </c>
      <c r="BH507" s="292" t="str">
        <f>Tabla14[[#This Row],[Finca]]</f>
        <v>Uveros</v>
      </c>
      <c r="BJ507" s="332">
        <f>Tabla14[[#This Row],[Numero de Ocacionales]]*Tabla14[[#This Row],[REAJUSTADO]]</f>
        <v>0</v>
      </c>
      <c r="BK507" s="332"/>
      <c r="BL507" s="332"/>
      <c r="BM507" s="332">
        <f>+Tabla14[[#This Row],[CUANTO SE REAJUSTA]]*3</f>
        <v>-120000</v>
      </c>
    </row>
    <row r="508" spans="3:65" x14ac:dyDescent="0.25">
      <c r="C508" s="515">
        <v>45259</v>
      </c>
      <c r="D508" s="549">
        <f>YEAR(Tabla14[[#This Row],[Fecha]])</f>
        <v>2023</v>
      </c>
      <c r="E508" s="516">
        <f>IF(Tabla14[[#This Row],[Fecha]]&gt;0,_xlfn.ISOWEEKNUM(Tabla14[[#This Row],[Fecha]]),0)</f>
        <v>48</v>
      </c>
      <c r="F508" s="283">
        <v>57</v>
      </c>
      <c r="G508" s="275" t="s">
        <v>251</v>
      </c>
      <c r="H508" s="325" t="str">
        <f>_xlfn.XLOOKUP(Tabla14[[#This Row],[Codigo Finca]],Tabla4[Codigo Finca],Tabla4[Nombre Finca],"")</f>
        <v>Pedrito</v>
      </c>
      <c r="I508" s="277">
        <f>_xlfn.XLOOKUP(Tabla14[[#This Row],[Codigo Finca]],Tabla4[Codigo Finca],Tabla4[Precio Caja],0)</f>
        <v>1800</v>
      </c>
      <c r="J508" s="277">
        <f>_xlfn.XLOOKUP(Tabla14[[#This Row],[Codigo Finca]],Tabla4[Codigo Finca],Tabla4[Precio Caja Segunda],0)</f>
        <v>1150</v>
      </c>
      <c r="K508" s="277">
        <f>_xlfn.XLOOKUP(Tabla14[[#This Row],[Codigo Finca]],Tabla4[Codigo Finca],Tabla4[Precio Rechazo],0)</f>
        <v>575</v>
      </c>
      <c r="L508" s="277">
        <f t="shared" si="504"/>
        <v>613</v>
      </c>
      <c r="M508" s="278">
        <f t="shared" si="505"/>
        <v>10.754385964912281</v>
      </c>
      <c r="N508" s="283"/>
      <c r="O508" s="279"/>
      <c r="P508" s="280">
        <f t="shared" si="506"/>
        <v>0</v>
      </c>
      <c r="Q508" s="281">
        <f t="shared" si="507"/>
        <v>0</v>
      </c>
      <c r="R508" s="282">
        <f t="shared" si="508"/>
        <v>0</v>
      </c>
      <c r="S508" s="283">
        <v>613</v>
      </c>
      <c r="T508" s="275"/>
      <c r="U508" s="280">
        <f t="shared" si="503"/>
        <v>57</v>
      </c>
      <c r="V508" s="281">
        <f t="shared" si="509"/>
        <v>0</v>
      </c>
      <c r="W508" s="282">
        <f t="shared" si="510"/>
        <v>0</v>
      </c>
      <c r="X508" s="283"/>
      <c r="Y508" s="275"/>
      <c r="Z508" s="280">
        <f>Tabla14[[#This Row],[Cajas Segunda]]</f>
        <v>0</v>
      </c>
      <c r="AA508" s="281">
        <f t="shared" si="511"/>
        <v>0</v>
      </c>
      <c r="AB508" s="284">
        <f t="shared" si="512"/>
        <v>0</v>
      </c>
      <c r="AC508" s="285"/>
      <c r="AD508" s="286">
        <v>2585</v>
      </c>
      <c r="AE508" s="286"/>
      <c r="AF508" s="286"/>
      <c r="AG508" s="286"/>
      <c r="AH508" s="280">
        <f t="shared" si="513"/>
        <v>103.4</v>
      </c>
      <c r="AI508" s="281">
        <f t="shared" si="514"/>
        <v>0</v>
      </c>
      <c r="AJ508" s="282">
        <f t="shared" si="515"/>
        <v>0</v>
      </c>
      <c r="AK508" s="287">
        <f>Tabla14[[#This Row],[Cajas por Personas]]</f>
        <v>0</v>
      </c>
      <c r="AL508" s="288">
        <f>Tabla14[[#This Row],[Valor Precorte Pesona]]</f>
        <v>0</v>
      </c>
      <c r="AM508" s="294">
        <f>Tabla14[[#This Row],[Personas Precorte]]</f>
        <v>0</v>
      </c>
      <c r="AN508" s="308">
        <f>Tabla14[[#This Row],[Valor Precorte Pesona Precorte]]*Tabla14[[#This Row],[Perzonas Precorte]]</f>
        <v>0</v>
      </c>
      <c r="AO508" s="287">
        <f>Tabla14[[#This Row],[Cajas por Personas2]]</f>
        <v>0</v>
      </c>
      <c r="AP508" s="288">
        <f>Tabla14[[#This Row],[Valor Embarque Pesona]]</f>
        <v>0</v>
      </c>
      <c r="AQ508" s="295">
        <f>Tabla14[[#This Row],[Personas Precorte2]]</f>
        <v>0</v>
      </c>
      <c r="AR508" s="296">
        <f>Tabla14[[#This Row],[Valor Embarque Pesona3]]*Tabla14[[#This Row],[Perzona Primera]]</f>
        <v>0</v>
      </c>
      <c r="AS508" s="287">
        <f>Tabla14[[#This Row],[Columna2]]</f>
        <v>0</v>
      </c>
      <c r="AT508" s="288">
        <f>Tabla14[[#This Row],[Columna1]]</f>
        <v>0</v>
      </c>
      <c r="AU508" s="302">
        <f>Tabla14[[#This Row],[Personas Intervienen]]</f>
        <v>0</v>
      </c>
      <c r="AV508" s="297">
        <f>Tabla14[[#This Row],[Valor Embarque Pesona5]]*Tabla14[[#This Row],[Presonas Segunda]]</f>
        <v>0</v>
      </c>
      <c r="AW508" s="287">
        <f>Tabla14[[#This Row],[Bolsas Por Personas]]</f>
        <v>0</v>
      </c>
      <c r="AX508" s="288">
        <f>Tabla14[[#This Row],[Valor bolsas Pesona]]</f>
        <v>0</v>
      </c>
      <c r="AY508" s="309">
        <f>Tabla14[[#This Row],[Personas13]]</f>
        <v>0</v>
      </c>
      <c r="AZ508" s="310">
        <f>Tabla14[[#This Row],[Valor bolsas Pesona2]]*Tabla14[[#This Row],[Personas Rechazo]]</f>
        <v>0</v>
      </c>
      <c r="BA508" s="311">
        <f>+Tabla14[[#This Row],[Total Valor Segunda]]+Tabla14[[#This Row],[Total Valor Primera]]+Tabla14[[#This Row],[Total Valor Precorte]]</f>
        <v>0</v>
      </c>
      <c r="BB508" s="292">
        <f>Tabla14[[#This Row],[Valor bolsas Pesona2]]+Tabla14[[#This Row],[Valor Embarque Pesona3]]</f>
        <v>0</v>
      </c>
      <c r="BC508" s="332">
        <v>40000</v>
      </c>
      <c r="BD508" s="292">
        <f>Tabla14[[#This Row],[VALOR GANADO]]-Tabla14[[#This Row],[REAJUSTADO]]</f>
        <v>-40000</v>
      </c>
      <c r="BE508" s="250">
        <f>Tabla14[[#This Row],[CUANTO SE REAJUSTA]]*Tabla14[[#This Row],[Personas Rechazo]]</f>
        <v>0</v>
      </c>
      <c r="BF508" s="250">
        <f>Tabla14[[#This Row],[REAJUSTADO]]/25000</f>
        <v>1.6</v>
      </c>
      <c r="BG508" s="302">
        <f>Tabla14[[#This Row],[REAJUSTADO]]*Tabla14[[#This Row],[Personas Rechazo]]</f>
        <v>0</v>
      </c>
      <c r="BH508" s="292" t="str">
        <f>Tabla14[[#This Row],[Finca]]</f>
        <v>Pedrito</v>
      </c>
      <c r="BJ508" s="332">
        <f>Tabla14[[#This Row],[Numero de Ocacionales]]*Tabla14[[#This Row],[REAJUSTADO]]</f>
        <v>0</v>
      </c>
      <c r="BK508" s="332"/>
      <c r="BL508" s="332"/>
      <c r="BM508" s="332">
        <f>+Tabla14[[#This Row],[CUANTO SE REAJUSTA]]*3</f>
        <v>-120000</v>
      </c>
    </row>
    <row r="509" spans="3:65" x14ac:dyDescent="0.25">
      <c r="C509" s="515">
        <v>45259</v>
      </c>
      <c r="D509" s="549">
        <f>YEAR(Tabla14[[#This Row],[Fecha]])</f>
        <v>2023</v>
      </c>
      <c r="E509" s="516">
        <f>IF(Tabla14[[#This Row],[Fecha]]&gt;0,_xlfn.ISOWEEKNUM(Tabla14[[#This Row],[Fecha]]),0)</f>
        <v>48</v>
      </c>
      <c r="F509" s="283">
        <f>270-14</f>
        <v>256</v>
      </c>
      <c r="G509" s="275" t="s">
        <v>259</v>
      </c>
      <c r="H509" s="325" t="str">
        <f>_xlfn.XLOOKUP(Tabla14[[#This Row],[Codigo Finca]],Tabla4[Codigo Finca],Tabla4[Nombre Finca],"")</f>
        <v>San Pedro</v>
      </c>
      <c r="I509" s="277">
        <f>_xlfn.XLOOKUP(Tabla14[[#This Row],[Codigo Finca]],Tabla4[Codigo Finca],Tabla4[Precio Caja],0)</f>
        <v>1800</v>
      </c>
      <c r="J509" s="277">
        <f>_xlfn.XLOOKUP(Tabla14[[#This Row],[Codigo Finca]],Tabla4[Codigo Finca],Tabla4[Precio Caja Segunda],0)</f>
        <v>1150</v>
      </c>
      <c r="K509" s="277">
        <f>_xlfn.XLOOKUP(Tabla14[[#This Row],[Codigo Finca]],Tabla4[Codigo Finca],Tabla4[Precio Rechazo],0)</f>
        <v>575</v>
      </c>
      <c r="L509" s="277">
        <f t="shared" si="504"/>
        <v>1104</v>
      </c>
      <c r="M509" s="278">
        <f t="shared" si="505"/>
        <v>4.3125</v>
      </c>
      <c r="N509" s="283"/>
      <c r="O509" s="279"/>
      <c r="P509" s="280">
        <f t="shared" si="506"/>
        <v>0</v>
      </c>
      <c r="Q509" s="281">
        <f t="shared" si="507"/>
        <v>0</v>
      </c>
      <c r="R509" s="282">
        <f t="shared" si="508"/>
        <v>0</v>
      </c>
      <c r="S509" s="283">
        <v>1104</v>
      </c>
      <c r="T509" s="275">
        <v>10</v>
      </c>
      <c r="U509" s="280">
        <f t="shared" ref="U509:U517" si="516">F509-P509</f>
        <v>256</v>
      </c>
      <c r="V509" s="281">
        <f t="shared" si="509"/>
        <v>25.6</v>
      </c>
      <c r="W509" s="282">
        <f t="shared" si="510"/>
        <v>46080</v>
      </c>
      <c r="X509" s="283"/>
      <c r="Y509" s="275"/>
      <c r="Z509" s="280">
        <f>Tabla14[[#This Row],[Cajas Segunda]]</f>
        <v>0</v>
      </c>
      <c r="AA509" s="281">
        <f t="shared" si="511"/>
        <v>0</v>
      </c>
      <c r="AB509" s="284">
        <f t="shared" si="512"/>
        <v>0</v>
      </c>
      <c r="AC509" s="285"/>
      <c r="AD509" s="286">
        <v>1929</v>
      </c>
      <c r="AE509" s="286"/>
      <c r="AF509" s="286"/>
      <c r="AG509" s="286">
        <v>10</v>
      </c>
      <c r="AH509" s="280">
        <f t="shared" si="513"/>
        <v>77.16</v>
      </c>
      <c r="AI509" s="281">
        <f t="shared" si="514"/>
        <v>7.7159999999999993</v>
      </c>
      <c r="AJ509" s="282">
        <f t="shared" si="515"/>
        <v>4436.7</v>
      </c>
      <c r="AK509" s="287">
        <f>Tabla14[[#This Row],[Cajas por Personas]]</f>
        <v>0</v>
      </c>
      <c r="AL509" s="288">
        <f>Tabla14[[#This Row],[Valor Precorte Pesona]]</f>
        <v>0</v>
      </c>
      <c r="AM509" s="294">
        <f>Tabla14[[#This Row],[Personas Precorte]]</f>
        <v>0</v>
      </c>
      <c r="AN509" s="308">
        <f>Tabla14[[#This Row],[Valor Precorte Pesona Precorte]]*Tabla14[[#This Row],[Perzonas Precorte]]</f>
        <v>0</v>
      </c>
      <c r="AO509" s="287">
        <f>Tabla14[[#This Row],[Cajas por Personas2]]</f>
        <v>25.6</v>
      </c>
      <c r="AP509" s="288">
        <f>Tabla14[[#This Row],[Valor Embarque Pesona]]</f>
        <v>46080</v>
      </c>
      <c r="AQ509" s="295">
        <f>Tabla14[[#This Row],[Personas Precorte2]]</f>
        <v>10</v>
      </c>
      <c r="AR509" s="296">
        <f>Tabla14[[#This Row],[Valor Embarque Pesona3]]*Tabla14[[#This Row],[Perzona Primera]]</f>
        <v>460800</v>
      </c>
      <c r="AS509" s="287">
        <f>Tabla14[[#This Row],[Columna2]]</f>
        <v>0</v>
      </c>
      <c r="AT509" s="288">
        <f>Tabla14[[#This Row],[Columna1]]</f>
        <v>0</v>
      </c>
      <c r="AU509" s="302">
        <f>Tabla14[[#This Row],[Personas Intervienen]]</f>
        <v>0</v>
      </c>
      <c r="AV509" s="297">
        <f>Tabla14[[#This Row],[Valor Embarque Pesona5]]*Tabla14[[#This Row],[Presonas Segunda]]</f>
        <v>0</v>
      </c>
      <c r="AW509" s="287">
        <f>Tabla14[[#This Row],[Bolsas Por Personas]]</f>
        <v>7.7159999999999993</v>
      </c>
      <c r="AX509" s="288">
        <f>Tabla14[[#This Row],[Valor bolsas Pesona]]</f>
        <v>4436.7</v>
      </c>
      <c r="AY509" s="309">
        <f>Tabla14[[#This Row],[Personas13]]</f>
        <v>10</v>
      </c>
      <c r="AZ509" s="310">
        <f>Tabla14[[#This Row],[Valor bolsas Pesona2]]*Tabla14[[#This Row],[Personas Rechazo]]</f>
        <v>44367</v>
      </c>
      <c r="BA509" s="311">
        <f>+Tabla14[[#This Row],[Total Valor Segunda]]+Tabla14[[#This Row],[Total Valor Primera]]+Tabla14[[#This Row],[Total Valor Precorte]]</f>
        <v>460800</v>
      </c>
      <c r="BB509" s="292">
        <f>Tabla14[[#This Row],[Valor bolsas Pesona2]]+Tabla14[[#This Row],[Valor Embarque Pesona3]]</f>
        <v>50516.7</v>
      </c>
      <c r="BC509" s="332">
        <v>50500</v>
      </c>
      <c r="BD509" s="292">
        <f>Tabla14[[#This Row],[VALOR GANADO]]-Tabla14[[#This Row],[REAJUSTADO]]</f>
        <v>16.69999999999709</v>
      </c>
      <c r="BE509" s="250">
        <f>Tabla14[[#This Row],[CUANTO SE REAJUSTA]]*Tabla14[[#This Row],[Personas Rechazo]]</f>
        <v>166.9999999999709</v>
      </c>
      <c r="BF509" s="250">
        <f>Tabla14[[#This Row],[REAJUSTADO]]/25000</f>
        <v>2.02</v>
      </c>
      <c r="BG509" s="302">
        <f>Tabla14[[#This Row],[REAJUSTADO]]*Tabla14[[#This Row],[Personas Rechazo]]</f>
        <v>505000</v>
      </c>
      <c r="BH509" s="292" t="str">
        <f>Tabla14[[#This Row],[Finca]]</f>
        <v>San Pedro</v>
      </c>
      <c r="BJ509" s="332">
        <f>Tabla14[[#This Row],[Numero de Ocacionales]]*Tabla14[[#This Row],[REAJUSTADO]]</f>
        <v>0</v>
      </c>
      <c r="BK509" s="332"/>
      <c r="BL509" s="332"/>
      <c r="BM509" s="332">
        <f>+Tabla14[[#This Row],[CUANTO SE REAJUSTA]]*3</f>
        <v>50.099999999991269</v>
      </c>
    </row>
    <row r="510" spans="3:65" x14ac:dyDescent="0.25">
      <c r="C510" s="515">
        <v>45259</v>
      </c>
      <c r="D510" s="549">
        <f>YEAR(Tabla14[[#This Row],[Fecha]])</f>
        <v>2023</v>
      </c>
      <c r="E510" s="516">
        <f>IF(Tabla14[[#This Row],[Fecha]]&gt;0,_xlfn.ISOWEEKNUM(Tabla14[[#This Row],[Fecha]]),0)</f>
        <v>48</v>
      </c>
      <c r="F510" s="283">
        <v>14</v>
      </c>
      <c r="G510" s="275" t="s">
        <v>266</v>
      </c>
      <c r="H510" s="325" t="str">
        <f>_xlfn.XLOOKUP(Tabla14[[#This Row],[Codigo Finca]],Tabla4[Codigo Finca],Tabla4[Nombre Finca],"")</f>
        <v>Uveros</v>
      </c>
      <c r="I510" s="277">
        <f>_xlfn.XLOOKUP(Tabla14[[#This Row],[Codigo Finca]],Tabla4[Codigo Finca],Tabla4[Precio Caja],0)</f>
        <v>1800</v>
      </c>
      <c r="J510" s="277">
        <f>_xlfn.XLOOKUP(Tabla14[[#This Row],[Codigo Finca]],Tabla4[Codigo Finca],Tabla4[Precio Caja Segunda],0)</f>
        <v>1150</v>
      </c>
      <c r="K510" s="277">
        <f>_xlfn.XLOOKUP(Tabla14[[#This Row],[Codigo Finca]],Tabla4[Codigo Finca],Tabla4[Precio Rechazo],0)</f>
        <v>575</v>
      </c>
      <c r="L510" s="277">
        <f t="shared" si="504"/>
        <v>0</v>
      </c>
      <c r="M510" s="278">
        <f t="shared" si="505"/>
        <v>0</v>
      </c>
      <c r="N510" s="283"/>
      <c r="O510" s="279"/>
      <c r="P510" s="280">
        <f t="shared" si="506"/>
        <v>0</v>
      </c>
      <c r="Q510" s="281">
        <f t="shared" si="507"/>
        <v>0</v>
      </c>
      <c r="R510" s="282">
        <f t="shared" si="508"/>
        <v>0</v>
      </c>
      <c r="S510" s="283"/>
      <c r="T510" s="275"/>
      <c r="U510" s="280">
        <f t="shared" si="516"/>
        <v>14</v>
      </c>
      <c r="V510" s="281">
        <f t="shared" si="509"/>
        <v>0</v>
      </c>
      <c r="W510" s="282">
        <f t="shared" si="510"/>
        <v>0</v>
      </c>
      <c r="X510" s="283"/>
      <c r="Y510" s="275"/>
      <c r="Z510" s="280">
        <f>Tabla14[[#This Row],[Cajas Segunda]]</f>
        <v>0</v>
      </c>
      <c r="AA510" s="281">
        <f t="shared" si="511"/>
        <v>0</v>
      </c>
      <c r="AB510" s="284">
        <f t="shared" si="512"/>
        <v>0</v>
      </c>
      <c r="AC510" s="285"/>
      <c r="AD510" s="286"/>
      <c r="AE510" s="286"/>
      <c r="AF510" s="286"/>
      <c r="AG510" s="286"/>
      <c r="AH510" s="280">
        <f t="shared" si="513"/>
        <v>0</v>
      </c>
      <c r="AI510" s="281">
        <f t="shared" si="514"/>
        <v>0</v>
      </c>
      <c r="AJ510" s="282">
        <f t="shared" si="515"/>
        <v>0</v>
      </c>
      <c r="AK510" s="287">
        <f>Tabla14[[#This Row],[Cajas por Personas]]</f>
        <v>0</v>
      </c>
      <c r="AL510" s="288">
        <f>Tabla14[[#This Row],[Valor Precorte Pesona]]</f>
        <v>0</v>
      </c>
      <c r="AM510" s="294">
        <f>Tabla14[[#This Row],[Personas Precorte]]</f>
        <v>0</v>
      </c>
      <c r="AN510" s="308">
        <f>Tabla14[[#This Row],[Valor Precorte Pesona Precorte]]*Tabla14[[#This Row],[Perzonas Precorte]]</f>
        <v>0</v>
      </c>
      <c r="AO510" s="287">
        <f>Tabla14[[#This Row],[Cajas por Personas2]]</f>
        <v>0</v>
      </c>
      <c r="AP510" s="288">
        <f>Tabla14[[#This Row],[Valor Embarque Pesona]]</f>
        <v>0</v>
      </c>
      <c r="AQ510" s="295">
        <f>Tabla14[[#This Row],[Personas Precorte2]]</f>
        <v>0</v>
      </c>
      <c r="AR510" s="296">
        <f>Tabla14[[#This Row],[Valor Embarque Pesona3]]*Tabla14[[#This Row],[Perzona Primera]]</f>
        <v>0</v>
      </c>
      <c r="AS510" s="287">
        <f>Tabla14[[#This Row],[Columna2]]</f>
        <v>0</v>
      </c>
      <c r="AT510" s="288">
        <f>Tabla14[[#This Row],[Columna1]]</f>
        <v>0</v>
      </c>
      <c r="AU510" s="302">
        <f>Tabla14[[#This Row],[Personas Intervienen]]</f>
        <v>0</v>
      </c>
      <c r="AV510" s="297">
        <f>Tabla14[[#This Row],[Valor Embarque Pesona5]]*Tabla14[[#This Row],[Presonas Segunda]]</f>
        <v>0</v>
      </c>
      <c r="AW510" s="287">
        <f>Tabla14[[#This Row],[Bolsas Por Personas]]</f>
        <v>0</v>
      </c>
      <c r="AX510" s="288">
        <f>Tabla14[[#This Row],[Valor bolsas Pesona]]</f>
        <v>0</v>
      </c>
      <c r="AY510" s="309">
        <f>Tabla14[[#This Row],[Personas13]]</f>
        <v>0</v>
      </c>
      <c r="AZ510" s="310">
        <f>Tabla14[[#This Row],[Valor bolsas Pesona2]]*Tabla14[[#This Row],[Personas Rechazo]]</f>
        <v>0</v>
      </c>
      <c r="BA510" s="311">
        <f>+Tabla14[[#This Row],[Total Valor Segunda]]+Tabla14[[#This Row],[Total Valor Primera]]+Tabla14[[#This Row],[Total Valor Precorte]]</f>
        <v>0</v>
      </c>
      <c r="BB510" s="292">
        <f>Tabla14[[#This Row],[Valor bolsas Pesona2]]+Tabla14[[#This Row],[Valor Embarque Pesona3]]</f>
        <v>0</v>
      </c>
      <c r="BC510" s="332">
        <v>40000</v>
      </c>
      <c r="BD510" s="292">
        <f>Tabla14[[#This Row],[VALOR GANADO]]-Tabla14[[#This Row],[REAJUSTADO]]</f>
        <v>-40000</v>
      </c>
      <c r="BE510" s="250">
        <f>Tabla14[[#This Row],[CUANTO SE REAJUSTA]]*Tabla14[[#This Row],[Personas Rechazo]]</f>
        <v>0</v>
      </c>
      <c r="BF510" s="250">
        <f>Tabla14[[#This Row],[REAJUSTADO]]/25000</f>
        <v>1.6</v>
      </c>
      <c r="BG510" s="302">
        <f>Tabla14[[#This Row],[REAJUSTADO]]*Tabla14[[#This Row],[Personas Rechazo]]</f>
        <v>0</v>
      </c>
      <c r="BH510" s="292" t="str">
        <f>Tabla14[[#This Row],[Finca]]</f>
        <v>Uveros</v>
      </c>
      <c r="BJ510" s="332">
        <f>Tabla14[[#This Row],[Numero de Ocacionales]]*Tabla14[[#This Row],[REAJUSTADO]]</f>
        <v>0</v>
      </c>
      <c r="BK510" s="332"/>
      <c r="BL510" s="332"/>
      <c r="BM510" s="332">
        <f>+Tabla14[[#This Row],[CUANTO SE REAJUSTA]]*3</f>
        <v>-120000</v>
      </c>
    </row>
    <row r="511" spans="3:65" x14ac:dyDescent="0.25">
      <c r="C511" s="515">
        <v>45260</v>
      </c>
      <c r="D511" s="549">
        <f>YEAR(Tabla14[[#This Row],[Fecha]])</f>
        <v>2023</v>
      </c>
      <c r="E511" s="516">
        <f>IF(Tabla14[[#This Row],[Fecha]]&gt;0,_xlfn.ISOWEEKNUM(Tabla14[[#This Row],[Fecha]]),0)</f>
        <v>48</v>
      </c>
      <c r="F511" s="283">
        <v>101</v>
      </c>
      <c r="G511" s="275" t="s">
        <v>250</v>
      </c>
      <c r="H511" s="325" t="str">
        <f>_xlfn.XLOOKUP(Tabla14[[#This Row],[Codigo Finca]],Tabla4[Codigo Finca],Tabla4[Nombre Finca],"")</f>
        <v>San Pedro</v>
      </c>
      <c r="I511" s="277">
        <f>_xlfn.XLOOKUP(Tabla14[[#This Row],[Codigo Finca]],Tabla4[Codigo Finca],Tabla4[Precio Caja],0)</f>
        <v>1800</v>
      </c>
      <c r="J511" s="277">
        <f>_xlfn.XLOOKUP(Tabla14[[#This Row],[Codigo Finca]],Tabla4[Codigo Finca],Tabla4[Precio Caja Segunda],0)</f>
        <v>1150</v>
      </c>
      <c r="K511" s="277">
        <f>_xlfn.XLOOKUP(Tabla14[[#This Row],[Codigo Finca]],Tabla4[Codigo Finca],Tabla4[Precio Rechazo],0)</f>
        <v>575</v>
      </c>
      <c r="L511" s="277">
        <f t="shared" ref="L511:L517" si="517">S511+N511</f>
        <v>0</v>
      </c>
      <c r="M511" s="278">
        <f t="shared" ref="M511:M517" si="518">IF(F511&gt;0,L511/F511,0)</f>
        <v>0</v>
      </c>
      <c r="N511" s="283"/>
      <c r="O511" s="279"/>
      <c r="P511" s="280">
        <f t="shared" ref="P511:P517" si="519">IF(N511&gt;0,(N511/M511)/2,0)</f>
        <v>0</v>
      </c>
      <c r="Q511" s="281">
        <f t="shared" ref="Q511:Q517" si="520">IF(O511&gt;0,P511/O511,0)</f>
        <v>0</v>
      </c>
      <c r="R511" s="282">
        <f t="shared" ref="R511:R517" si="521">IF(I511&gt;0,Q511*I511,)</f>
        <v>0</v>
      </c>
      <c r="S511" s="283"/>
      <c r="T511" s="275">
        <v>8</v>
      </c>
      <c r="U511" s="280">
        <f t="shared" si="516"/>
        <v>101</v>
      </c>
      <c r="V511" s="281">
        <f t="shared" ref="V511:V517" si="522">IF(T511&gt;0,U511/T511,0)</f>
        <v>12.625</v>
      </c>
      <c r="W511" s="282">
        <f t="shared" ref="W511:W517" si="523">IF(T511&gt;0,(U511*I511)/T511,0)</f>
        <v>22725</v>
      </c>
      <c r="X511" s="283"/>
      <c r="Y511" s="275"/>
      <c r="Z511" s="280">
        <f>Tabla14[[#This Row],[Cajas Segunda]]</f>
        <v>0</v>
      </c>
      <c r="AA511" s="281">
        <f t="shared" ref="AA511:AA517" si="524">IF(Y511&gt;0,Z511/Y511,0)</f>
        <v>0</v>
      </c>
      <c r="AB511" s="284">
        <f t="shared" ref="AB511:AB517" si="525">IF(Y511&gt;0,(Z511*J511)/Y511,0)</f>
        <v>0</v>
      </c>
      <c r="AC511" s="285"/>
      <c r="AD511" s="286">
        <v>1026</v>
      </c>
      <c r="AE511" s="286"/>
      <c r="AF511" s="286"/>
      <c r="AG511" s="286">
        <v>8</v>
      </c>
      <c r="AH511" s="280">
        <f t="shared" ref="AH511:AH517" si="526">IF(AND(AC511&gt;0,AE511=0,AF511=0,AD511=0),AC511,IF(AND(AC511=0,AE511&gt;0,AF511&gt;0,AD511=0),AE511*AF511/25,IF(AND(AC511=0,AE511=0,AF511=0,AD511&gt;0),AD511/25,0)))</f>
        <v>41.04</v>
      </c>
      <c r="AI511" s="281">
        <f t="shared" ref="AI511:AI517" si="527">IF(AG511&gt;0,AH511/AG511,0)</f>
        <v>5.13</v>
      </c>
      <c r="AJ511" s="282">
        <f t="shared" ref="AJ511:AJ517" si="528">AI511*K511</f>
        <v>2949.75</v>
      </c>
      <c r="AK511" s="287">
        <f>Tabla14[[#This Row],[Cajas por Personas]]</f>
        <v>0</v>
      </c>
      <c r="AL511" s="288">
        <f>Tabla14[[#This Row],[Valor Precorte Pesona]]</f>
        <v>0</v>
      </c>
      <c r="AM511" s="294">
        <f>Tabla14[[#This Row],[Personas Precorte]]</f>
        <v>0</v>
      </c>
      <c r="AN511" s="308">
        <f>Tabla14[[#This Row],[Valor Precorte Pesona Precorte]]*Tabla14[[#This Row],[Perzonas Precorte]]</f>
        <v>0</v>
      </c>
      <c r="AO511" s="287">
        <f>Tabla14[[#This Row],[Cajas por Personas2]]</f>
        <v>12.625</v>
      </c>
      <c r="AP511" s="288">
        <f>Tabla14[[#This Row],[Valor Embarque Pesona]]</f>
        <v>22725</v>
      </c>
      <c r="AQ511" s="295">
        <f>Tabla14[[#This Row],[Personas Precorte2]]</f>
        <v>8</v>
      </c>
      <c r="AR511" s="296">
        <f>Tabla14[[#This Row],[Valor Embarque Pesona3]]*Tabla14[[#This Row],[Perzona Primera]]</f>
        <v>181800</v>
      </c>
      <c r="AS511" s="287">
        <f>Tabla14[[#This Row],[Columna2]]</f>
        <v>0</v>
      </c>
      <c r="AT511" s="288">
        <f>Tabla14[[#This Row],[Columna1]]</f>
        <v>0</v>
      </c>
      <c r="AU511" s="302">
        <f>Tabla14[[#This Row],[Personas Intervienen]]</f>
        <v>0</v>
      </c>
      <c r="AV511" s="297">
        <f>Tabla14[[#This Row],[Valor Embarque Pesona5]]*Tabla14[[#This Row],[Presonas Segunda]]</f>
        <v>0</v>
      </c>
      <c r="AW511" s="287">
        <f>Tabla14[[#This Row],[Bolsas Por Personas]]</f>
        <v>5.13</v>
      </c>
      <c r="AX511" s="288">
        <f>Tabla14[[#This Row],[Valor bolsas Pesona]]</f>
        <v>2949.75</v>
      </c>
      <c r="AY511" s="309">
        <f>Tabla14[[#This Row],[Personas13]]</f>
        <v>8</v>
      </c>
      <c r="AZ511" s="310">
        <f>Tabla14[[#This Row],[Valor bolsas Pesona2]]*Tabla14[[#This Row],[Personas Rechazo]]</f>
        <v>23598</v>
      </c>
      <c r="BA511" s="311">
        <f>+Tabla14[[#This Row],[Total Valor Segunda]]+Tabla14[[#This Row],[Total Valor Primera]]+Tabla14[[#This Row],[Total Valor Precorte]]</f>
        <v>181800</v>
      </c>
      <c r="BB511" s="292">
        <f>Tabla14[[#This Row],[Valor bolsas Pesona2]]+Tabla14[[#This Row],[Valor Embarque Pesona3]]</f>
        <v>25674.75</v>
      </c>
      <c r="BC511" s="332">
        <v>40000</v>
      </c>
      <c r="BD511" s="292">
        <f>Tabla14[[#This Row],[VALOR GANADO]]-Tabla14[[#This Row],[REAJUSTADO]]</f>
        <v>-14325.25</v>
      </c>
      <c r="BE511" s="250">
        <f>Tabla14[[#This Row],[CUANTO SE REAJUSTA]]*Tabla14[[#This Row],[Personas Rechazo]]</f>
        <v>-114602</v>
      </c>
      <c r="BF511" s="250">
        <f>Tabla14[[#This Row],[REAJUSTADO]]/25000</f>
        <v>1.6</v>
      </c>
      <c r="BG511" s="302">
        <f>Tabla14[[#This Row],[REAJUSTADO]]*Tabla14[[#This Row],[Personas Rechazo]]</f>
        <v>320000</v>
      </c>
      <c r="BH511" s="292" t="str">
        <f>Tabla14[[#This Row],[Finca]]</f>
        <v>San Pedro</v>
      </c>
      <c r="BJ511" s="332">
        <f>Tabla14[[#This Row],[Numero de Ocacionales]]*Tabla14[[#This Row],[REAJUSTADO]]</f>
        <v>0</v>
      </c>
      <c r="BK511" s="332"/>
      <c r="BL511" s="332"/>
      <c r="BM511" s="332">
        <f>+Tabla14[[#This Row],[CUANTO SE REAJUSTA]]*3</f>
        <v>-42975.75</v>
      </c>
    </row>
    <row r="512" spans="3:65" x14ac:dyDescent="0.25">
      <c r="C512" s="515">
        <v>45264</v>
      </c>
      <c r="D512" s="549">
        <f>YEAR(Tabla14[[#This Row],[Fecha]])</f>
        <v>2023</v>
      </c>
      <c r="E512" s="516">
        <f>IF(Tabla14[[#This Row],[Fecha]]&gt;0,_xlfn.ISOWEEKNUM(Tabla14[[#This Row],[Fecha]]),0)</f>
        <v>49</v>
      </c>
      <c r="F512" s="283">
        <v>361</v>
      </c>
      <c r="G512" s="275" t="s">
        <v>259</v>
      </c>
      <c r="H512" s="325" t="str">
        <f>_xlfn.XLOOKUP(Tabla14[[#This Row],[Codigo Finca]],Tabla4[Codigo Finca],Tabla4[Nombre Finca],"")</f>
        <v>San Pedro</v>
      </c>
      <c r="I512" s="277">
        <f>_xlfn.XLOOKUP(Tabla14[[#This Row],[Codigo Finca]],Tabla4[Codigo Finca],Tabla4[Precio Caja],0)</f>
        <v>1800</v>
      </c>
      <c r="J512" s="277">
        <f>_xlfn.XLOOKUP(Tabla14[[#This Row],[Codigo Finca]],Tabla4[Codigo Finca],Tabla4[Precio Caja Segunda],0)</f>
        <v>1150</v>
      </c>
      <c r="K512" s="277">
        <f>_xlfn.XLOOKUP(Tabla14[[#This Row],[Codigo Finca]],Tabla4[Codigo Finca],Tabla4[Precio Rechazo],0)</f>
        <v>575</v>
      </c>
      <c r="L512" s="277">
        <f t="shared" si="517"/>
        <v>1404</v>
      </c>
      <c r="M512" s="278">
        <f t="shared" si="518"/>
        <v>3.8891966759002772</v>
      </c>
      <c r="N512" s="283"/>
      <c r="O512" s="279"/>
      <c r="P512" s="280">
        <f t="shared" si="519"/>
        <v>0</v>
      </c>
      <c r="Q512" s="281">
        <f t="shared" si="520"/>
        <v>0</v>
      </c>
      <c r="R512" s="282">
        <f t="shared" si="521"/>
        <v>0</v>
      </c>
      <c r="S512" s="283">
        <v>1404</v>
      </c>
      <c r="T512" s="275">
        <v>19</v>
      </c>
      <c r="U512" s="280">
        <f t="shared" si="516"/>
        <v>361</v>
      </c>
      <c r="V512" s="281">
        <f t="shared" si="522"/>
        <v>19</v>
      </c>
      <c r="W512" s="282">
        <f t="shared" si="523"/>
        <v>34200</v>
      </c>
      <c r="X512" s="283"/>
      <c r="Y512" s="275"/>
      <c r="Z512" s="280">
        <f>Tabla14[[#This Row],[Cajas Segunda]]</f>
        <v>0</v>
      </c>
      <c r="AA512" s="281">
        <f t="shared" si="524"/>
        <v>0</v>
      </c>
      <c r="AB512" s="284">
        <f t="shared" si="525"/>
        <v>0</v>
      </c>
      <c r="AC512" s="285"/>
      <c r="AD512" s="286"/>
      <c r="AE512" s="286"/>
      <c r="AF512" s="286"/>
      <c r="AG512" s="286"/>
      <c r="AH512" s="280">
        <f t="shared" si="526"/>
        <v>0</v>
      </c>
      <c r="AI512" s="281">
        <f t="shared" si="527"/>
        <v>0</v>
      </c>
      <c r="AJ512" s="282">
        <f t="shared" si="528"/>
        <v>0</v>
      </c>
      <c r="AK512" s="287">
        <f>Tabla14[[#This Row],[Cajas por Personas]]</f>
        <v>0</v>
      </c>
      <c r="AL512" s="288">
        <f>Tabla14[[#This Row],[Valor Precorte Pesona]]</f>
        <v>0</v>
      </c>
      <c r="AM512" s="294">
        <f>Tabla14[[#This Row],[Personas Precorte]]</f>
        <v>0</v>
      </c>
      <c r="AN512" s="308">
        <f>Tabla14[[#This Row],[Valor Precorte Pesona Precorte]]*Tabla14[[#This Row],[Perzonas Precorte]]</f>
        <v>0</v>
      </c>
      <c r="AO512" s="287">
        <f>Tabla14[[#This Row],[Cajas por Personas2]]</f>
        <v>19</v>
      </c>
      <c r="AP512" s="288">
        <f>Tabla14[[#This Row],[Valor Embarque Pesona]]</f>
        <v>34200</v>
      </c>
      <c r="AQ512" s="295">
        <f>Tabla14[[#This Row],[Personas Precorte2]]</f>
        <v>19</v>
      </c>
      <c r="AR512" s="296">
        <f>Tabla14[[#This Row],[Valor Embarque Pesona3]]*Tabla14[[#This Row],[Perzona Primera]]</f>
        <v>649800</v>
      </c>
      <c r="AS512" s="287">
        <f>Tabla14[[#This Row],[Columna2]]</f>
        <v>0</v>
      </c>
      <c r="AT512" s="288">
        <f>Tabla14[[#This Row],[Columna1]]</f>
        <v>0</v>
      </c>
      <c r="AU512" s="302">
        <f>Tabla14[[#This Row],[Personas Intervienen]]</f>
        <v>0</v>
      </c>
      <c r="AV512" s="297">
        <f>Tabla14[[#This Row],[Valor Embarque Pesona5]]*Tabla14[[#This Row],[Presonas Segunda]]</f>
        <v>0</v>
      </c>
      <c r="AW512" s="287">
        <f>Tabla14[[#This Row],[Bolsas Por Personas]]</f>
        <v>0</v>
      </c>
      <c r="AX512" s="288">
        <f>Tabla14[[#This Row],[Valor bolsas Pesona]]</f>
        <v>0</v>
      </c>
      <c r="AY512" s="309">
        <f>Tabla14[[#This Row],[Personas13]]</f>
        <v>0</v>
      </c>
      <c r="AZ512" s="310">
        <f>Tabla14[[#This Row],[Valor bolsas Pesona2]]*Tabla14[[#This Row],[Personas Rechazo]]</f>
        <v>0</v>
      </c>
      <c r="BA512" s="311">
        <f>+Tabla14[[#This Row],[Total Valor Segunda]]+Tabla14[[#This Row],[Total Valor Primera]]+Tabla14[[#This Row],[Total Valor Precorte]]</f>
        <v>649800</v>
      </c>
      <c r="BB512" s="538">
        <f>Tabla14[[#This Row],[Valor bolsas Pesona2]]+Tabla14[[#This Row],[Valor Embarque Pesona3]]</f>
        <v>34200</v>
      </c>
      <c r="BC512" s="539">
        <f>+Tabla14[[#This Row],[VALOR GANADO]]+BB513</f>
        <v>37952.631578947367</v>
      </c>
      <c r="BD512" s="538">
        <f>Tabla14[[#This Row],[VALOR GANADO]]-Tabla14[[#This Row],[REAJUSTADO]]</f>
        <v>-3752.6315789473665</v>
      </c>
      <c r="BE512" s="250">
        <f>Tabla14[[#This Row],[CUANTO SE REAJUSTA]]*Tabla14[[#This Row],[Personas Rechazo]]</f>
        <v>0</v>
      </c>
      <c r="BF512" s="250">
        <f>Tabla14[[#This Row],[REAJUSTADO]]/25000</f>
        <v>1.5181052631578946</v>
      </c>
      <c r="BG512" s="302">
        <f>Tabla14[[#This Row],[REAJUSTADO]]*Tabla14[[#This Row],[Personas Rechazo]]</f>
        <v>0</v>
      </c>
      <c r="BH512" s="292" t="str">
        <f>Tabla14[[#This Row],[Finca]]</f>
        <v>San Pedro</v>
      </c>
      <c r="BJ512" s="332">
        <f>Tabla14[[#This Row],[Numero de Ocacionales]]*Tabla14[[#This Row],[REAJUSTADO]]</f>
        <v>0</v>
      </c>
      <c r="BK512" s="332"/>
      <c r="BL512" s="332"/>
      <c r="BM512" s="332">
        <f>+Tabla14[[#This Row],[CUANTO SE REAJUSTA]]*3</f>
        <v>-11257.8947368421</v>
      </c>
    </row>
    <row r="513" spans="3:65" x14ac:dyDescent="0.25">
      <c r="C513" s="515">
        <v>45264</v>
      </c>
      <c r="D513" s="549">
        <f>YEAR(Tabla14[[#This Row],[Fecha]])</f>
        <v>2023</v>
      </c>
      <c r="E513" s="516">
        <f>IF(Tabla14[[#This Row],[Fecha]]&gt;0,_xlfn.ISOWEEKNUM(Tabla14[[#This Row],[Fecha]]),0)</f>
        <v>49</v>
      </c>
      <c r="F513" s="283"/>
      <c r="G513" s="275" t="s">
        <v>250</v>
      </c>
      <c r="H513" s="325" t="str">
        <f>_xlfn.XLOOKUP(Tabla14[[#This Row],[Codigo Finca]],Tabla4[Codigo Finca],Tabla4[Nombre Finca],"")</f>
        <v>San Pedro</v>
      </c>
      <c r="I513" s="277">
        <f>_xlfn.XLOOKUP(Tabla14[[#This Row],[Codigo Finca]],Tabla4[Codigo Finca],Tabla4[Precio Caja],0)</f>
        <v>1800</v>
      </c>
      <c r="J513" s="277">
        <f>_xlfn.XLOOKUP(Tabla14[[#This Row],[Codigo Finca]],Tabla4[Codigo Finca],Tabla4[Precio Caja Segunda],0)</f>
        <v>1150</v>
      </c>
      <c r="K513" s="277">
        <f>_xlfn.XLOOKUP(Tabla14[[#This Row],[Codigo Finca]],Tabla4[Codigo Finca],Tabla4[Precio Rechazo],0)</f>
        <v>575</v>
      </c>
      <c r="L513" s="277">
        <f t="shared" si="517"/>
        <v>0</v>
      </c>
      <c r="M513" s="278">
        <f t="shared" si="518"/>
        <v>0</v>
      </c>
      <c r="N513" s="283"/>
      <c r="O513" s="279"/>
      <c r="P513" s="280">
        <f t="shared" si="519"/>
        <v>0</v>
      </c>
      <c r="Q513" s="281">
        <f t="shared" si="520"/>
        <v>0</v>
      </c>
      <c r="R513" s="282">
        <f t="shared" si="521"/>
        <v>0</v>
      </c>
      <c r="S513" s="283"/>
      <c r="T513" s="275"/>
      <c r="U513" s="280">
        <f t="shared" si="516"/>
        <v>0</v>
      </c>
      <c r="V513" s="281">
        <f t="shared" si="522"/>
        <v>0</v>
      </c>
      <c r="W513" s="282">
        <f t="shared" si="523"/>
        <v>0</v>
      </c>
      <c r="X513" s="283">
        <v>62</v>
      </c>
      <c r="Y513" s="275">
        <v>19</v>
      </c>
      <c r="Z513" s="280">
        <f>Tabla14[[#This Row],[Cajas Segunda]]</f>
        <v>62</v>
      </c>
      <c r="AA513" s="281">
        <f t="shared" si="524"/>
        <v>3.263157894736842</v>
      </c>
      <c r="AB513" s="284">
        <f t="shared" si="525"/>
        <v>3752.6315789473683</v>
      </c>
      <c r="AC513" s="285"/>
      <c r="AD513" s="286"/>
      <c r="AE513" s="286"/>
      <c r="AF513" s="286"/>
      <c r="AG513" s="286"/>
      <c r="AH513" s="280">
        <f t="shared" si="526"/>
        <v>0</v>
      </c>
      <c r="AI513" s="281">
        <f t="shared" si="527"/>
        <v>0</v>
      </c>
      <c r="AJ513" s="282">
        <f t="shared" si="528"/>
        <v>0</v>
      </c>
      <c r="AK513" s="287">
        <f>Tabla14[[#This Row],[Cajas por Personas]]</f>
        <v>0</v>
      </c>
      <c r="AL513" s="288">
        <f>Tabla14[[#This Row],[Valor Precorte Pesona]]</f>
        <v>0</v>
      </c>
      <c r="AM513" s="294">
        <f>Tabla14[[#This Row],[Personas Precorte]]</f>
        <v>0</v>
      </c>
      <c r="AN513" s="308">
        <f>Tabla14[[#This Row],[Valor Precorte Pesona Precorte]]*Tabla14[[#This Row],[Perzonas Precorte]]</f>
        <v>0</v>
      </c>
      <c r="AO513" s="287">
        <f>Tabla14[[#This Row],[Cajas por Personas2]]</f>
        <v>0</v>
      </c>
      <c r="AP513" s="288">
        <f>Tabla14[[#This Row],[Valor Embarque Pesona]]</f>
        <v>0</v>
      </c>
      <c r="AQ513" s="295">
        <f>Tabla14[[#This Row],[Personas Precorte2]]</f>
        <v>0</v>
      </c>
      <c r="AR513" s="296">
        <f>Tabla14[[#This Row],[Valor Embarque Pesona3]]*Tabla14[[#This Row],[Perzona Primera]]</f>
        <v>0</v>
      </c>
      <c r="AS513" s="287">
        <f>Tabla14[[#This Row],[Columna2]]</f>
        <v>3.263157894736842</v>
      </c>
      <c r="AT513" s="288">
        <f>Tabla14[[#This Row],[Columna1]]</f>
        <v>3752.6315789473683</v>
      </c>
      <c r="AU513" s="302">
        <f>Tabla14[[#This Row],[Personas Intervienen]]</f>
        <v>19</v>
      </c>
      <c r="AV513" s="297">
        <f>Tabla14[[#This Row],[Valor Embarque Pesona5]]*Tabla14[[#This Row],[Presonas Segunda]]</f>
        <v>71300</v>
      </c>
      <c r="AW513" s="287">
        <f>Tabla14[[#This Row],[Bolsas Por Personas]]</f>
        <v>0</v>
      </c>
      <c r="AX513" s="288">
        <f>Tabla14[[#This Row],[Valor bolsas Pesona]]</f>
        <v>0</v>
      </c>
      <c r="AY513" s="309">
        <f>Tabla14[[#This Row],[Personas13]]</f>
        <v>0</v>
      </c>
      <c r="AZ513" s="310">
        <f>Tabla14[[#This Row],[Valor bolsas Pesona2]]*Tabla14[[#This Row],[Personas Rechazo]]</f>
        <v>0</v>
      </c>
      <c r="BA513" s="311">
        <f>+Tabla14[[#This Row],[Total Valor Segunda]]+Tabla14[[#This Row],[Total Valor Primera]]+Tabla14[[#This Row],[Total Valor Precorte]]</f>
        <v>71300</v>
      </c>
      <c r="BB513" s="538">
        <f>Tabla14[[#This Row],[Total Valor Segunda]]/Tabla14[[#This Row],[Presonas Segunda]]</f>
        <v>3752.6315789473683</v>
      </c>
      <c r="BC513" s="539">
        <v>40000</v>
      </c>
      <c r="BD513" s="538">
        <f>Tabla14[[#This Row],[VALOR GANADO]]-Tabla14[[#This Row],[REAJUSTADO]]</f>
        <v>-36247.368421052633</v>
      </c>
      <c r="BE513" s="250">
        <f>Tabla14[[#This Row],[CUANTO SE REAJUSTA]]*Tabla14[[#This Row],[Personas Rechazo]]</f>
        <v>0</v>
      </c>
      <c r="BF513" s="250">
        <f>Tabla14[[#This Row],[REAJUSTADO]]/25000</f>
        <v>1.6</v>
      </c>
      <c r="BG513" s="302">
        <f>Tabla14[[#This Row],[REAJUSTADO]]*Tabla14[[#This Row],[Personas Rechazo]]</f>
        <v>0</v>
      </c>
      <c r="BH513" s="292" t="str">
        <f>Tabla14[[#This Row],[Finca]]</f>
        <v>San Pedro</v>
      </c>
      <c r="BJ513" s="332">
        <f>Tabla14[[#This Row],[Numero de Ocacionales]]*Tabla14[[#This Row],[REAJUSTADO]]</f>
        <v>0</v>
      </c>
      <c r="BK513" s="332"/>
      <c r="BL513" s="332"/>
      <c r="BM513" s="332">
        <f>+Tabla14[[#This Row],[CUANTO SE REAJUSTA]]*3</f>
        <v>-108742.10526315789</v>
      </c>
    </row>
    <row r="514" spans="3:65" x14ac:dyDescent="0.25">
      <c r="C514" s="515">
        <v>45266</v>
      </c>
      <c r="D514" s="549">
        <f>YEAR(Tabla14[[#This Row],[Fecha]])</f>
        <v>2023</v>
      </c>
      <c r="E514" s="516">
        <f>IF(Tabla14[[#This Row],[Fecha]]&gt;0,_xlfn.ISOWEEKNUM(Tabla14[[#This Row],[Fecha]]),0)</f>
        <v>49</v>
      </c>
      <c r="F514" s="283">
        <v>46</v>
      </c>
      <c r="G514" s="275" t="s">
        <v>249</v>
      </c>
      <c r="H514" s="325" t="str">
        <f>_xlfn.XLOOKUP(Tabla14[[#This Row],[Codigo Finca]],Tabla4[Codigo Finca],Tabla4[Nombre Finca],"")</f>
        <v>San Pedro</v>
      </c>
      <c r="I514" s="277">
        <f>_xlfn.XLOOKUP(Tabla14[[#This Row],[Codigo Finca]],Tabla4[Codigo Finca],Tabla4[Precio Caja],0)</f>
        <v>2000</v>
      </c>
      <c r="J514" s="277">
        <f>_xlfn.XLOOKUP(Tabla14[[#This Row],[Codigo Finca]],Tabla4[Codigo Finca],Tabla4[Precio Caja Segunda],0)</f>
        <v>1150</v>
      </c>
      <c r="K514" s="277">
        <f>_xlfn.XLOOKUP(Tabla14[[#This Row],[Codigo Finca]],Tabla4[Codigo Finca],Tabla4[Precio Rechazo],0)</f>
        <v>675</v>
      </c>
      <c r="L514" s="277">
        <f t="shared" si="517"/>
        <v>0</v>
      </c>
      <c r="M514" s="278">
        <f t="shared" si="518"/>
        <v>0</v>
      </c>
      <c r="N514" s="283"/>
      <c r="O514" s="279"/>
      <c r="P514" s="280">
        <f t="shared" si="519"/>
        <v>0</v>
      </c>
      <c r="Q514" s="281">
        <f t="shared" si="520"/>
        <v>0</v>
      </c>
      <c r="R514" s="282">
        <f t="shared" si="521"/>
        <v>0</v>
      </c>
      <c r="S514" s="283"/>
      <c r="T514" s="275">
        <v>6</v>
      </c>
      <c r="U514" s="280">
        <f t="shared" si="516"/>
        <v>46</v>
      </c>
      <c r="V514" s="281">
        <f t="shared" si="522"/>
        <v>7.666666666666667</v>
      </c>
      <c r="W514" s="282">
        <f t="shared" si="523"/>
        <v>15333.333333333334</v>
      </c>
      <c r="X514" s="283"/>
      <c r="Y514" s="275"/>
      <c r="Z514" s="280">
        <f>Tabla14[[#This Row],[Cajas Segunda]]</f>
        <v>0</v>
      </c>
      <c r="AA514" s="281">
        <f t="shared" si="524"/>
        <v>0</v>
      </c>
      <c r="AB514" s="284">
        <f t="shared" si="525"/>
        <v>0</v>
      </c>
      <c r="AC514" s="285"/>
      <c r="AD514" s="286">
        <f>91+100+93.8+87+102.54+98.98</f>
        <v>573.32000000000005</v>
      </c>
      <c r="AE514" s="286"/>
      <c r="AF514" s="286"/>
      <c r="AG514" s="286">
        <v>6</v>
      </c>
      <c r="AH514" s="280">
        <f t="shared" si="526"/>
        <v>22.9328</v>
      </c>
      <c r="AI514" s="281">
        <f t="shared" si="527"/>
        <v>3.8221333333333334</v>
      </c>
      <c r="AJ514" s="282">
        <f t="shared" si="528"/>
        <v>2579.94</v>
      </c>
      <c r="AK514" s="287">
        <f>Tabla14[[#This Row],[Cajas por Personas]]</f>
        <v>0</v>
      </c>
      <c r="AL514" s="288">
        <f>Tabla14[[#This Row],[Valor Precorte Pesona]]</f>
        <v>0</v>
      </c>
      <c r="AM514" s="294">
        <f>Tabla14[[#This Row],[Personas Precorte]]</f>
        <v>0</v>
      </c>
      <c r="AN514" s="308">
        <f>Tabla14[[#This Row],[Valor Precorte Pesona Precorte]]*Tabla14[[#This Row],[Perzonas Precorte]]</f>
        <v>0</v>
      </c>
      <c r="AO514" s="287">
        <f>Tabla14[[#This Row],[Cajas por Personas2]]</f>
        <v>7.666666666666667</v>
      </c>
      <c r="AP514" s="288">
        <f>Tabla14[[#This Row],[Valor Embarque Pesona]]</f>
        <v>15333.333333333334</v>
      </c>
      <c r="AQ514" s="295">
        <f>Tabla14[[#This Row],[Personas Precorte2]]</f>
        <v>6</v>
      </c>
      <c r="AR514" s="296">
        <f>Tabla14[[#This Row],[Valor Embarque Pesona3]]*Tabla14[[#This Row],[Perzona Primera]]</f>
        <v>92000</v>
      </c>
      <c r="AS514" s="287">
        <f>Tabla14[[#This Row],[Columna2]]</f>
        <v>0</v>
      </c>
      <c r="AT514" s="288">
        <f>Tabla14[[#This Row],[Columna1]]</f>
        <v>0</v>
      </c>
      <c r="AU514" s="302">
        <f>Tabla14[[#This Row],[Personas Intervienen]]</f>
        <v>0</v>
      </c>
      <c r="AV514" s="297">
        <f>Tabla14[[#This Row],[Valor Embarque Pesona5]]*Tabla14[[#This Row],[Presonas Segunda]]</f>
        <v>0</v>
      </c>
      <c r="AW514" s="287">
        <f>Tabla14[[#This Row],[Bolsas Por Personas]]</f>
        <v>3.8221333333333334</v>
      </c>
      <c r="AX514" s="288">
        <f>Tabla14[[#This Row],[Valor bolsas Pesona]]</f>
        <v>2579.94</v>
      </c>
      <c r="AY514" s="309">
        <f>Tabla14[[#This Row],[Personas13]]</f>
        <v>6</v>
      </c>
      <c r="AZ514" s="310">
        <f>Tabla14[[#This Row],[Valor bolsas Pesona2]]*Tabla14[[#This Row],[Personas Rechazo]]</f>
        <v>15479.64</v>
      </c>
      <c r="BA514" s="311">
        <f>+Tabla14[[#This Row],[Total Valor Segunda]]+Tabla14[[#This Row],[Total Valor Primera]]+Tabla14[[#This Row],[Total Valor Precorte]]</f>
        <v>92000</v>
      </c>
      <c r="BB514" s="538">
        <f>Tabla14[[#This Row],[Valor bolsas Pesona2]]+Tabla14[[#This Row],[Valor Embarque Pesona3]]</f>
        <v>17913.273333333334</v>
      </c>
      <c r="BC514" s="539">
        <f>+Tabla14[[#This Row],[VALOR GANADO]]+BB515</f>
        <v>30598.356666666667</v>
      </c>
      <c r="BD514" s="538">
        <f>Tabla14[[#This Row],[VALOR GANADO]]-Tabla14[[#This Row],[REAJUSTADO]]</f>
        <v>-12685.083333333332</v>
      </c>
      <c r="BE514" s="250">
        <f>Tabla14[[#This Row],[CUANTO SE REAJUSTA]]*Tabla14[[#This Row],[Personas Rechazo]]</f>
        <v>-76110.5</v>
      </c>
      <c r="BF514" s="250">
        <f>Tabla14[[#This Row],[REAJUSTADO]]/25000</f>
        <v>1.2239342666666666</v>
      </c>
      <c r="BG514" s="302">
        <f>Tabla14[[#This Row],[REAJUSTADO]]*Tabla14[[#This Row],[Personas Rechazo]]</f>
        <v>183590.14</v>
      </c>
      <c r="BH514" s="292" t="str">
        <f>Tabla14[[#This Row],[Finca]]</f>
        <v>San Pedro</v>
      </c>
      <c r="BJ514" s="332">
        <f>Tabla14[[#This Row],[Numero de Ocacionales]]*Tabla14[[#This Row],[REAJUSTADO]]</f>
        <v>0</v>
      </c>
      <c r="BK514" s="332"/>
      <c r="BL514" s="332"/>
      <c r="BM514" s="332">
        <f>+Tabla14[[#This Row],[CUANTO SE REAJUSTA]]*3</f>
        <v>-38055.25</v>
      </c>
    </row>
    <row r="515" spans="3:65" x14ac:dyDescent="0.25">
      <c r="C515" s="515">
        <v>45266</v>
      </c>
      <c r="D515" s="549">
        <f>YEAR(Tabla14[[#This Row],[Fecha]])</f>
        <v>2023</v>
      </c>
      <c r="E515" s="516">
        <f>IF(Tabla14[[#This Row],[Fecha]]&gt;0,_xlfn.ISOWEEKNUM(Tabla14[[#This Row],[Fecha]]),0)</f>
        <v>49</v>
      </c>
      <c r="F515" s="283">
        <f>33+4</f>
        <v>37</v>
      </c>
      <c r="G515" s="275" t="s">
        <v>250</v>
      </c>
      <c r="H515" s="325" t="str">
        <f>_xlfn.XLOOKUP(Tabla14[[#This Row],[Codigo Finca]],Tabla4[Codigo Finca],Tabla4[Nombre Finca],"")</f>
        <v>San Pedro</v>
      </c>
      <c r="I515" s="277">
        <f>_xlfn.XLOOKUP(Tabla14[[#This Row],[Codigo Finca]],Tabla4[Codigo Finca],Tabla4[Precio Caja],0)</f>
        <v>1800</v>
      </c>
      <c r="J515" s="277">
        <f>_xlfn.XLOOKUP(Tabla14[[#This Row],[Codigo Finca]],Tabla4[Codigo Finca],Tabla4[Precio Caja Segunda],0)</f>
        <v>1150</v>
      </c>
      <c r="K515" s="277">
        <f>_xlfn.XLOOKUP(Tabla14[[#This Row],[Codigo Finca]],Tabla4[Codigo Finca],Tabla4[Precio Rechazo],0)</f>
        <v>575</v>
      </c>
      <c r="L515" s="277">
        <f t="shared" si="517"/>
        <v>0</v>
      </c>
      <c r="M515" s="278">
        <f t="shared" si="518"/>
        <v>0</v>
      </c>
      <c r="N515" s="283"/>
      <c r="O515" s="279"/>
      <c r="P515" s="280">
        <f t="shared" si="519"/>
        <v>0</v>
      </c>
      <c r="Q515" s="281">
        <f t="shared" si="520"/>
        <v>0</v>
      </c>
      <c r="R515" s="282">
        <f t="shared" si="521"/>
        <v>0</v>
      </c>
      <c r="S515" s="283"/>
      <c r="T515" s="275">
        <v>6</v>
      </c>
      <c r="U515" s="280">
        <f t="shared" si="516"/>
        <v>37</v>
      </c>
      <c r="V515" s="281">
        <f t="shared" si="522"/>
        <v>6.166666666666667</v>
      </c>
      <c r="W515" s="282">
        <f t="shared" si="523"/>
        <v>11100</v>
      </c>
      <c r="X515" s="283"/>
      <c r="Y515" s="275"/>
      <c r="Z515" s="280">
        <f>Tabla14[[#This Row],[Cajas Segunda]]</f>
        <v>0</v>
      </c>
      <c r="AA515" s="281">
        <f t="shared" si="524"/>
        <v>0</v>
      </c>
      <c r="AB515" s="284">
        <f t="shared" si="525"/>
        <v>0</v>
      </c>
      <c r="AC515" s="285"/>
      <c r="AD515" s="286">
        <f>986.82-AD514</f>
        <v>413.5</v>
      </c>
      <c r="AE515" s="286"/>
      <c r="AF515" s="286"/>
      <c r="AG515" s="286">
        <v>6</v>
      </c>
      <c r="AH515" s="280">
        <f t="shared" si="526"/>
        <v>16.54</v>
      </c>
      <c r="AI515" s="281">
        <f t="shared" si="527"/>
        <v>2.7566666666666664</v>
      </c>
      <c r="AJ515" s="282">
        <f t="shared" si="528"/>
        <v>1585.0833333333333</v>
      </c>
      <c r="AK515" s="287">
        <f>Tabla14[[#This Row],[Cajas por Personas]]</f>
        <v>0</v>
      </c>
      <c r="AL515" s="288">
        <f>Tabla14[[#This Row],[Valor Precorte Pesona]]</f>
        <v>0</v>
      </c>
      <c r="AM515" s="294">
        <f>Tabla14[[#This Row],[Personas Precorte]]</f>
        <v>0</v>
      </c>
      <c r="AN515" s="308">
        <f>Tabla14[[#This Row],[Valor Precorte Pesona Precorte]]*Tabla14[[#This Row],[Perzonas Precorte]]</f>
        <v>0</v>
      </c>
      <c r="AO515" s="287">
        <f>Tabla14[[#This Row],[Cajas por Personas2]]</f>
        <v>6.166666666666667</v>
      </c>
      <c r="AP515" s="288">
        <f>Tabla14[[#This Row],[Valor Embarque Pesona]]</f>
        <v>11100</v>
      </c>
      <c r="AQ515" s="295">
        <f>Tabla14[[#This Row],[Personas Precorte2]]</f>
        <v>6</v>
      </c>
      <c r="AR515" s="296">
        <f>Tabla14[[#This Row],[Valor Embarque Pesona3]]*Tabla14[[#This Row],[Perzona Primera]]</f>
        <v>66600</v>
      </c>
      <c r="AS515" s="287">
        <f>Tabla14[[#This Row],[Columna2]]</f>
        <v>0</v>
      </c>
      <c r="AT515" s="288">
        <f>Tabla14[[#This Row],[Columna1]]</f>
        <v>0</v>
      </c>
      <c r="AU515" s="302">
        <f>Tabla14[[#This Row],[Personas Intervienen]]</f>
        <v>0</v>
      </c>
      <c r="AV515" s="297">
        <f>Tabla14[[#This Row],[Valor Embarque Pesona5]]*Tabla14[[#This Row],[Presonas Segunda]]</f>
        <v>0</v>
      </c>
      <c r="AW515" s="287">
        <f>Tabla14[[#This Row],[Bolsas Por Personas]]</f>
        <v>2.7566666666666664</v>
      </c>
      <c r="AX515" s="288">
        <f>Tabla14[[#This Row],[Valor bolsas Pesona]]</f>
        <v>1585.0833333333333</v>
      </c>
      <c r="AY515" s="309">
        <f>Tabla14[[#This Row],[Personas13]]</f>
        <v>6</v>
      </c>
      <c r="AZ515" s="310">
        <f>Tabla14[[#This Row],[Valor bolsas Pesona2]]*Tabla14[[#This Row],[Personas Rechazo]]</f>
        <v>9510.5</v>
      </c>
      <c r="BA515" s="311">
        <f>+Tabla14[[#This Row],[Total Valor Segunda]]+Tabla14[[#This Row],[Total Valor Primera]]+Tabla14[[#This Row],[Total Valor Precorte]]</f>
        <v>66600</v>
      </c>
      <c r="BB515" s="538">
        <f>Tabla14[[#This Row],[Valor bolsas Pesona2]]+Tabla14[[#This Row],[Valor Embarque Pesona3]]</f>
        <v>12685.083333333334</v>
      </c>
      <c r="BC515" s="539">
        <v>40000</v>
      </c>
      <c r="BD515" s="538">
        <f>Tabla14[[#This Row],[VALOR GANADO]]-Tabla14[[#This Row],[REAJUSTADO]]</f>
        <v>-27314.916666666664</v>
      </c>
      <c r="BE515" s="250">
        <f>Tabla14[[#This Row],[CUANTO SE REAJUSTA]]*Tabla14[[#This Row],[Personas Rechazo]]</f>
        <v>-163889.5</v>
      </c>
      <c r="BF515" s="250">
        <f>Tabla14[[#This Row],[REAJUSTADO]]/25000</f>
        <v>1.6</v>
      </c>
      <c r="BG515" s="302">
        <f>Tabla14[[#This Row],[REAJUSTADO]]*Tabla14[[#This Row],[Personas Rechazo]]</f>
        <v>240000</v>
      </c>
      <c r="BH515" s="292" t="str">
        <f>Tabla14[[#This Row],[Finca]]</f>
        <v>San Pedro</v>
      </c>
      <c r="BJ515" s="332">
        <f>Tabla14[[#This Row],[Numero de Ocacionales]]*Tabla14[[#This Row],[REAJUSTADO]]</f>
        <v>0</v>
      </c>
      <c r="BK515" s="332"/>
      <c r="BL515" s="332"/>
      <c r="BM515" s="332">
        <f>+Tabla14[[#This Row],[CUANTO SE REAJUSTA]]*3</f>
        <v>-81944.75</v>
      </c>
    </row>
    <row r="516" spans="3:65" x14ac:dyDescent="0.25">
      <c r="C516" s="515">
        <v>45266</v>
      </c>
      <c r="D516" s="549">
        <f>YEAR(Tabla14[[#This Row],[Fecha]])</f>
        <v>2023</v>
      </c>
      <c r="E516" s="516">
        <f>IF(Tabla14[[#This Row],[Fecha]]&gt;0,_xlfn.ISOWEEKNUM(Tabla14[[#This Row],[Fecha]]),0)</f>
        <v>49</v>
      </c>
      <c r="F516" s="283">
        <v>20</v>
      </c>
      <c r="G516" s="275" t="s">
        <v>266</v>
      </c>
      <c r="H516" s="325" t="str">
        <f>_xlfn.XLOOKUP(Tabla14[[#This Row],[Codigo Finca]],Tabla4[Codigo Finca],Tabla4[Nombre Finca],"")</f>
        <v>Uveros</v>
      </c>
      <c r="I516" s="277">
        <f>_xlfn.XLOOKUP(Tabla14[[#This Row],[Codigo Finca]],Tabla4[Codigo Finca],Tabla4[Precio Caja],0)</f>
        <v>1800</v>
      </c>
      <c r="J516" s="277">
        <f>_xlfn.XLOOKUP(Tabla14[[#This Row],[Codigo Finca]],Tabla4[Codigo Finca],Tabla4[Precio Caja Segunda],0)</f>
        <v>1150</v>
      </c>
      <c r="K516" s="277">
        <f>_xlfn.XLOOKUP(Tabla14[[#This Row],[Codigo Finca]],Tabla4[Codigo Finca],Tabla4[Precio Rechazo],0)</f>
        <v>575</v>
      </c>
      <c r="L516" s="277">
        <f t="shared" si="517"/>
        <v>0</v>
      </c>
      <c r="M516" s="278">
        <f t="shared" si="518"/>
        <v>0</v>
      </c>
      <c r="N516" s="283"/>
      <c r="O516" s="279"/>
      <c r="P516" s="280">
        <f t="shared" si="519"/>
        <v>0</v>
      </c>
      <c r="Q516" s="281">
        <f t="shared" si="520"/>
        <v>0</v>
      </c>
      <c r="R516" s="282">
        <f t="shared" si="521"/>
        <v>0</v>
      </c>
      <c r="S516" s="283"/>
      <c r="T516" s="275">
        <v>4</v>
      </c>
      <c r="U516" s="280">
        <f t="shared" si="516"/>
        <v>20</v>
      </c>
      <c r="V516" s="281">
        <f t="shared" si="522"/>
        <v>5</v>
      </c>
      <c r="W516" s="282">
        <f t="shared" si="523"/>
        <v>9000</v>
      </c>
      <c r="X516" s="283"/>
      <c r="Y516" s="275"/>
      <c r="Z516" s="280">
        <f>Tabla14[[#This Row],[Cajas Segunda]]</f>
        <v>0</v>
      </c>
      <c r="AA516" s="281">
        <f t="shared" si="524"/>
        <v>0</v>
      </c>
      <c r="AB516" s="284">
        <f t="shared" si="525"/>
        <v>0</v>
      </c>
      <c r="AC516" s="285"/>
      <c r="AD516" s="286">
        <v>871</v>
      </c>
      <c r="AE516" s="286"/>
      <c r="AF516" s="286"/>
      <c r="AG516" s="286">
        <v>4</v>
      </c>
      <c r="AH516" s="280">
        <f t="shared" si="526"/>
        <v>34.840000000000003</v>
      </c>
      <c r="AI516" s="281">
        <f t="shared" si="527"/>
        <v>8.7100000000000009</v>
      </c>
      <c r="AJ516" s="282">
        <f t="shared" si="528"/>
        <v>5008.2500000000009</v>
      </c>
      <c r="AK516" s="287">
        <f>Tabla14[[#This Row],[Cajas por Personas]]</f>
        <v>0</v>
      </c>
      <c r="AL516" s="288">
        <f>Tabla14[[#This Row],[Valor Precorte Pesona]]</f>
        <v>0</v>
      </c>
      <c r="AM516" s="294">
        <f>Tabla14[[#This Row],[Personas Precorte]]</f>
        <v>0</v>
      </c>
      <c r="AN516" s="308">
        <f>Tabla14[[#This Row],[Valor Precorte Pesona Precorte]]*Tabla14[[#This Row],[Perzonas Precorte]]</f>
        <v>0</v>
      </c>
      <c r="AO516" s="287">
        <f>Tabla14[[#This Row],[Cajas por Personas2]]</f>
        <v>5</v>
      </c>
      <c r="AP516" s="288">
        <f>Tabla14[[#This Row],[Valor Embarque Pesona]]</f>
        <v>9000</v>
      </c>
      <c r="AQ516" s="295">
        <f>Tabla14[[#This Row],[Personas Precorte2]]</f>
        <v>4</v>
      </c>
      <c r="AR516" s="296">
        <f>Tabla14[[#This Row],[Valor Embarque Pesona3]]*Tabla14[[#This Row],[Perzona Primera]]</f>
        <v>36000</v>
      </c>
      <c r="AS516" s="287">
        <f>Tabla14[[#This Row],[Columna2]]</f>
        <v>0</v>
      </c>
      <c r="AT516" s="288">
        <f>Tabla14[[#This Row],[Columna1]]</f>
        <v>0</v>
      </c>
      <c r="AU516" s="302">
        <f>Tabla14[[#This Row],[Personas Intervienen]]</f>
        <v>0</v>
      </c>
      <c r="AV516" s="297">
        <f>Tabla14[[#This Row],[Valor Embarque Pesona5]]*Tabla14[[#This Row],[Presonas Segunda]]</f>
        <v>0</v>
      </c>
      <c r="AW516" s="287">
        <f>Tabla14[[#This Row],[Bolsas Por Personas]]</f>
        <v>8.7100000000000009</v>
      </c>
      <c r="AX516" s="288">
        <f>Tabla14[[#This Row],[Valor bolsas Pesona]]</f>
        <v>5008.2500000000009</v>
      </c>
      <c r="AY516" s="309">
        <f>Tabla14[[#This Row],[Personas13]]</f>
        <v>4</v>
      </c>
      <c r="AZ516" s="310">
        <f>Tabla14[[#This Row],[Valor bolsas Pesona2]]*Tabla14[[#This Row],[Personas Rechazo]]</f>
        <v>20033.000000000004</v>
      </c>
      <c r="BA516" s="311">
        <f>+Tabla14[[#This Row],[Total Valor Segunda]]+Tabla14[[#This Row],[Total Valor Primera]]+Tabla14[[#This Row],[Total Valor Precorte]]</f>
        <v>36000</v>
      </c>
      <c r="BB516" s="292">
        <f>Tabla14[[#This Row],[Valor bolsas Pesona2]]+Tabla14[[#This Row],[Valor Embarque Pesona3]]</f>
        <v>14008.25</v>
      </c>
      <c r="BC516" s="332">
        <v>40000</v>
      </c>
      <c r="BD516" s="292">
        <f>Tabla14[[#This Row],[VALOR GANADO]]-Tabla14[[#This Row],[REAJUSTADO]]</f>
        <v>-25991.75</v>
      </c>
      <c r="BE516" s="250">
        <f>Tabla14[[#This Row],[CUANTO SE REAJUSTA]]*Tabla14[[#This Row],[Personas Rechazo]]</f>
        <v>-103967</v>
      </c>
      <c r="BF516" s="250">
        <f>Tabla14[[#This Row],[REAJUSTADO]]/25000</f>
        <v>1.6</v>
      </c>
      <c r="BG516" s="302">
        <f>Tabla14[[#This Row],[REAJUSTADO]]*Tabla14[[#This Row],[Personas Rechazo]]</f>
        <v>160000</v>
      </c>
      <c r="BH516" s="292" t="str">
        <f>Tabla14[[#This Row],[Finca]]</f>
        <v>Uveros</v>
      </c>
      <c r="BJ516" s="332">
        <f>Tabla14[[#This Row],[Numero de Ocacionales]]*Tabla14[[#This Row],[REAJUSTADO]]</f>
        <v>0</v>
      </c>
      <c r="BK516" s="332"/>
      <c r="BL516" s="332"/>
      <c r="BM516" s="332">
        <f>+Tabla14[[#This Row],[CUANTO SE REAJUSTA]]*3</f>
        <v>-77975.25</v>
      </c>
    </row>
    <row r="517" spans="3:65" x14ac:dyDescent="0.25">
      <c r="C517" s="515">
        <v>45266</v>
      </c>
      <c r="D517" s="549">
        <f>YEAR(Tabla14[[#This Row],[Fecha]])</f>
        <v>2023</v>
      </c>
      <c r="E517" s="516">
        <f>IF(Tabla14[[#This Row],[Fecha]]&gt;0,_xlfn.ISOWEEKNUM(Tabla14[[#This Row],[Fecha]]),0)</f>
        <v>49</v>
      </c>
      <c r="F517" s="283">
        <v>48</v>
      </c>
      <c r="G517" s="275" t="s">
        <v>251</v>
      </c>
      <c r="H517" s="325" t="str">
        <f>_xlfn.XLOOKUP(Tabla14[[#This Row],[Codigo Finca]],Tabla4[Codigo Finca],Tabla4[Nombre Finca],"")</f>
        <v>Pedrito</v>
      </c>
      <c r="I517" s="277">
        <f>_xlfn.XLOOKUP(Tabla14[[#This Row],[Codigo Finca]],Tabla4[Codigo Finca],Tabla4[Precio Caja],0)</f>
        <v>1800</v>
      </c>
      <c r="J517" s="277">
        <f>_xlfn.XLOOKUP(Tabla14[[#This Row],[Codigo Finca]],Tabla4[Codigo Finca],Tabla4[Precio Caja Segunda],0)</f>
        <v>1150</v>
      </c>
      <c r="K517" s="277">
        <f>_xlfn.XLOOKUP(Tabla14[[#This Row],[Codigo Finca]],Tabla4[Codigo Finca],Tabla4[Precio Rechazo],0)</f>
        <v>575</v>
      </c>
      <c r="L517" s="277">
        <f t="shared" si="517"/>
        <v>734</v>
      </c>
      <c r="M517" s="278">
        <f t="shared" si="518"/>
        <v>15.291666666666666</v>
      </c>
      <c r="N517" s="283"/>
      <c r="O517" s="279"/>
      <c r="P517" s="280">
        <f t="shared" si="519"/>
        <v>0</v>
      </c>
      <c r="Q517" s="281">
        <f t="shared" si="520"/>
        <v>0</v>
      </c>
      <c r="R517" s="282">
        <f t="shared" si="521"/>
        <v>0</v>
      </c>
      <c r="S517" s="283">
        <v>734</v>
      </c>
      <c r="T517" s="275">
        <v>9</v>
      </c>
      <c r="U517" s="280">
        <f t="shared" si="516"/>
        <v>48</v>
      </c>
      <c r="V517" s="281">
        <f t="shared" si="522"/>
        <v>5.333333333333333</v>
      </c>
      <c r="W517" s="282">
        <f t="shared" si="523"/>
        <v>9600</v>
      </c>
      <c r="X517" s="283"/>
      <c r="Y517" s="275"/>
      <c r="Z517" s="280">
        <f>Tabla14[[#This Row],[Cajas Segunda]]</f>
        <v>0</v>
      </c>
      <c r="AA517" s="281">
        <f t="shared" si="524"/>
        <v>0</v>
      </c>
      <c r="AB517" s="284">
        <f t="shared" si="525"/>
        <v>0</v>
      </c>
      <c r="AC517" s="285"/>
      <c r="AD517" s="286">
        <v>3314</v>
      </c>
      <c r="AE517" s="286"/>
      <c r="AF517" s="286"/>
      <c r="AG517" s="286">
        <v>9</v>
      </c>
      <c r="AH517" s="280">
        <f t="shared" si="526"/>
        <v>132.56</v>
      </c>
      <c r="AI517" s="281">
        <f t="shared" si="527"/>
        <v>14.728888888888889</v>
      </c>
      <c r="AJ517" s="282">
        <f t="shared" si="528"/>
        <v>8469.1111111111113</v>
      </c>
      <c r="AK517" s="287">
        <f>Tabla14[[#This Row],[Cajas por Personas]]</f>
        <v>0</v>
      </c>
      <c r="AL517" s="288">
        <f>Tabla14[[#This Row],[Valor Precorte Pesona]]</f>
        <v>0</v>
      </c>
      <c r="AM517" s="294">
        <f>Tabla14[[#This Row],[Personas Precorte]]</f>
        <v>0</v>
      </c>
      <c r="AN517" s="308">
        <f>Tabla14[[#This Row],[Valor Precorte Pesona Precorte]]*Tabla14[[#This Row],[Perzonas Precorte]]</f>
        <v>0</v>
      </c>
      <c r="AO517" s="287">
        <f>Tabla14[[#This Row],[Cajas por Personas2]]</f>
        <v>5.333333333333333</v>
      </c>
      <c r="AP517" s="288">
        <f>Tabla14[[#This Row],[Valor Embarque Pesona]]</f>
        <v>9600</v>
      </c>
      <c r="AQ517" s="295">
        <f>Tabla14[[#This Row],[Personas Precorte2]]</f>
        <v>9</v>
      </c>
      <c r="AR517" s="296">
        <f>Tabla14[[#This Row],[Valor Embarque Pesona3]]*Tabla14[[#This Row],[Perzona Primera]]</f>
        <v>86400</v>
      </c>
      <c r="AS517" s="287">
        <f>Tabla14[[#This Row],[Columna2]]</f>
        <v>0</v>
      </c>
      <c r="AT517" s="288">
        <f>Tabla14[[#This Row],[Columna1]]</f>
        <v>0</v>
      </c>
      <c r="AU517" s="302">
        <f>Tabla14[[#This Row],[Personas Intervienen]]</f>
        <v>0</v>
      </c>
      <c r="AV517" s="297">
        <f>Tabla14[[#This Row],[Valor Embarque Pesona5]]*Tabla14[[#This Row],[Presonas Segunda]]</f>
        <v>0</v>
      </c>
      <c r="AW517" s="287">
        <f>Tabla14[[#This Row],[Bolsas Por Personas]]</f>
        <v>14.728888888888889</v>
      </c>
      <c r="AX517" s="288">
        <f>Tabla14[[#This Row],[Valor bolsas Pesona]]</f>
        <v>8469.1111111111113</v>
      </c>
      <c r="AY517" s="309">
        <f>Tabla14[[#This Row],[Personas13]]</f>
        <v>9</v>
      </c>
      <c r="AZ517" s="310">
        <f>Tabla14[[#This Row],[Valor bolsas Pesona2]]*Tabla14[[#This Row],[Personas Rechazo]]</f>
        <v>76222</v>
      </c>
      <c r="BA517" s="311">
        <f>+Tabla14[[#This Row],[Total Valor Segunda]]+Tabla14[[#This Row],[Total Valor Primera]]+Tabla14[[#This Row],[Total Valor Precorte]]</f>
        <v>86400</v>
      </c>
      <c r="BB517" s="292">
        <f>Tabla14[[#This Row],[Valor bolsas Pesona2]]+Tabla14[[#This Row],[Valor Embarque Pesona3]]</f>
        <v>18069.111111111109</v>
      </c>
      <c r="BC517" s="332">
        <v>40000</v>
      </c>
      <c r="BD517" s="292">
        <f>Tabla14[[#This Row],[VALOR GANADO]]-Tabla14[[#This Row],[REAJUSTADO]]</f>
        <v>-21930.888888888891</v>
      </c>
      <c r="BE517" s="250">
        <f>Tabla14[[#This Row],[CUANTO SE REAJUSTA]]*Tabla14[[#This Row],[Personas Rechazo]]</f>
        <v>-197378</v>
      </c>
      <c r="BF517" s="250">
        <f>Tabla14[[#This Row],[REAJUSTADO]]/25000</f>
        <v>1.6</v>
      </c>
      <c r="BG517" s="302">
        <f>Tabla14[[#This Row],[REAJUSTADO]]*Tabla14[[#This Row],[Personas Rechazo]]</f>
        <v>360000</v>
      </c>
      <c r="BH517" s="292" t="str">
        <f>Tabla14[[#This Row],[Finca]]</f>
        <v>Pedrito</v>
      </c>
      <c r="BJ517" s="332">
        <f>Tabla14[[#This Row],[Numero de Ocacionales]]*Tabla14[[#This Row],[REAJUSTADO]]</f>
        <v>0</v>
      </c>
      <c r="BK517" s="332"/>
      <c r="BL517" s="332"/>
      <c r="BM517" s="332">
        <f>+Tabla14[[#This Row],[CUANTO SE REAJUSTA]]*3</f>
        <v>-65792.666666666672</v>
      </c>
    </row>
    <row r="518" spans="3:65" x14ac:dyDescent="0.25">
      <c r="C518" s="515">
        <v>45271</v>
      </c>
      <c r="D518" s="549">
        <f>YEAR(Tabla14[[#This Row],[Fecha]])</f>
        <v>2023</v>
      </c>
      <c r="E518" s="516">
        <f>IF(Tabla14[[#This Row],[Fecha]]&gt;0,_xlfn.ISOWEEKNUM(Tabla14[[#This Row],[Fecha]]),0)</f>
        <v>50</v>
      </c>
      <c r="F518" s="283">
        <v>230</v>
      </c>
      <c r="G518" s="275" t="s">
        <v>250</v>
      </c>
      <c r="H518" s="325" t="str">
        <f>_xlfn.XLOOKUP(Tabla14[[#This Row],[Codigo Finca]],Tabla4[Codigo Finca],Tabla4[Nombre Finca],"")</f>
        <v>San Pedro</v>
      </c>
      <c r="I518" s="277">
        <f>_xlfn.XLOOKUP(Tabla14[[#This Row],[Codigo Finca]],Tabla4[Codigo Finca],Tabla4[Precio Caja],0)</f>
        <v>1800</v>
      </c>
      <c r="J518" s="277">
        <f>_xlfn.XLOOKUP(Tabla14[[#This Row],[Codigo Finca]],Tabla4[Codigo Finca],Tabla4[Precio Caja Segunda],0)</f>
        <v>1150</v>
      </c>
      <c r="K518" s="277">
        <f>_xlfn.XLOOKUP(Tabla14[[#This Row],[Codigo Finca]],Tabla4[Codigo Finca],Tabla4[Precio Rechazo],0)</f>
        <v>575</v>
      </c>
      <c r="L518" s="277">
        <f t="shared" ref="L518:L527" si="529">S518+N518</f>
        <v>1181</v>
      </c>
      <c r="M518" s="278">
        <f t="shared" ref="M518:M527" si="530">IF(F518&gt;0,L518/F518,0)</f>
        <v>5.1347826086956525</v>
      </c>
      <c r="N518" s="283"/>
      <c r="O518" s="279"/>
      <c r="P518" s="280">
        <f t="shared" ref="P518:P527" si="531">IF(N518&gt;0,(N518/M518)/2,0)</f>
        <v>0</v>
      </c>
      <c r="Q518" s="281">
        <f t="shared" ref="Q518:Q527" si="532">IF(O518&gt;0,P518/O518,0)</f>
        <v>0</v>
      </c>
      <c r="R518" s="282">
        <f t="shared" ref="R518:R527" si="533">IF(I518&gt;0,Q518*I518,)</f>
        <v>0</v>
      </c>
      <c r="S518" s="283">
        <f>56+133+371+142+146+197+136</f>
        <v>1181</v>
      </c>
      <c r="T518" s="275">
        <v>16</v>
      </c>
      <c r="U518" s="280">
        <f t="shared" ref="U518:U527" si="534">F518-P518</f>
        <v>230</v>
      </c>
      <c r="V518" s="281">
        <f t="shared" ref="V518:V527" si="535">IF(T518&gt;0,U518/T518,0)</f>
        <v>14.375</v>
      </c>
      <c r="W518" s="282">
        <f t="shared" ref="W518:W527" si="536">IF(T518&gt;0,(U518*I518)/T518,0)</f>
        <v>25875</v>
      </c>
      <c r="X518" s="283"/>
      <c r="Y518" s="275"/>
      <c r="Z518" s="280">
        <f>Tabla14[[#This Row],[Cajas Segunda]]</f>
        <v>0</v>
      </c>
      <c r="AA518" s="281">
        <f t="shared" ref="AA518:AA527" si="537">IF(Y518&gt;0,Z518/Y518,0)</f>
        <v>0</v>
      </c>
      <c r="AB518" s="284">
        <f t="shared" ref="AB518:AB527" si="538">IF(Y518&gt;0,(Z518*J518)/Y518,0)</f>
        <v>0</v>
      </c>
      <c r="AC518" s="285"/>
      <c r="AD518" s="286">
        <v>4040</v>
      </c>
      <c r="AE518" s="286"/>
      <c r="AF518" s="286"/>
      <c r="AG518" s="286">
        <v>16</v>
      </c>
      <c r="AH518" s="280">
        <f t="shared" ref="AH518:AH527" si="539">IF(AND(AC518&gt;0,AE518=0,AF518=0,AD518=0),AC518,IF(AND(AC518=0,AE518&gt;0,AF518&gt;0,AD518=0),AE518*AF518/25,IF(AND(AC518=0,AE518=0,AF518=0,AD518&gt;0),AD518/25,0)))</f>
        <v>161.6</v>
      </c>
      <c r="AI518" s="281">
        <f t="shared" ref="AI518:AI527" si="540">IF(AG518&gt;0,AH518/AG518,0)</f>
        <v>10.1</v>
      </c>
      <c r="AJ518" s="282">
        <f t="shared" ref="AJ518:AJ527" si="541">AI518*K518</f>
        <v>5807.5</v>
      </c>
      <c r="AK518" s="287">
        <f>Tabla14[[#This Row],[Cajas por Personas]]</f>
        <v>0</v>
      </c>
      <c r="AL518" s="288">
        <f>Tabla14[[#This Row],[Valor Precorte Pesona]]</f>
        <v>0</v>
      </c>
      <c r="AM518" s="294">
        <f>Tabla14[[#This Row],[Personas Precorte]]</f>
        <v>0</v>
      </c>
      <c r="AN518" s="308">
        <f>Tabla14[[#This Row],[Valor Precorte Pesona Precorte]]*Tabla14[[#This Row],[Perzonas Precorte]]</f>
        <v>0</v>
      </c>
      <c r="AO518" s="287">
        <f>Tabla14[[#This Row],[Cajas por Personas2]]</f>
        <v>14.375</v>
      </c>
      <c r="AP518" s="288">
        <f>Tabla14[[#This Row],[Valor Embarque Pesona]]</f>
        <v>25875</v>
      </c>
      <c r="AQ518" s="295">
        <f>Tabla14[[#This Row],[Personas Precorte2]]</f>
        <v>16</v>
      </c>
      <c r="AR518" s="296">
        <f>Tabla14[[#This Row],[Valor Embarque Pesona3]]*Tabla14[[#This Row],[Perzona Primera]]</f>
        <v>414000</v>
      </c>
      <c r="AS518" s="287">
        <f>Tabla14[[#This Row],[Columna2]]</f>
        <v>0</v>
      </c>
      <c r="AT518" s="288">
        <f>Tabla14[[#This Row],[Columna1]]</f>
        <v>0</v>
      </c>
      <c r="AU518" s="302">
        <f>Tabla14[[#This Row],[Personas Intervienen]]</f>
        <v>0</v>
      </c>
      <c r="AV518" s="297">
        <f>Tabla14[[#This Row],[Valor Embarque Pesona5]]*Tabla14[[#This Row],[Presonas Segunda]]</f>
        <v>0</v>
      </c>
      <c r="AW518" s="287">
        <f>Tabla14[[#This Row],[Bolsas Por Personas]]</f>
        <v>10.1</v>
      </c>
      <c r="AX518" s="288">
        <f>Tabla14[[#This Row],[Valor bolsas Pesona]]</f>
        <v>5807.5</v>
      </c>
      <c r="AY518" s="309">
        <f>Tabla14[[#This Row],[Personas13]]</f>
        <v>16</v>
      </c>
      <c r="AZ518" s="310">
        <f>Tabla14[[#This Row],[Valor bolsas Pesona2]]*Tabla14[[#This Row],[Personas Rechazo]]</f>
        <v>92920</v>
      </c>
      <c r="BA518" s="311">
        <f>+Tabla14[[#This Row],[Total Valor Segunda]]+Tabla14[[#This Row],[Total Valor Primera]]+Tabla14[[#This Row],[Total Valor Precorte]]</f>
        <v>414000</v>
      </c>
      <c r="BB518" s="538">
        <f>Tabla14[[#This Row],[Valor bolsas Pesona2]]+Tabla14[[#This Row],[Valor Embarque Pesona3]]</f>
        <v>31682.5</v>
      </c>
      <c r="BC518" s="539">
        <f>Tabla14[[#This Row],[VALOR GANADO]]+BB519</f>
        <v>33932.5</v>
      </c>
      <c r="BD518" s="538">
        <f>Tabla14[[#This Row],[VALOR GANADO]]-Tabla14[[#This Row],[REAJUSTADO]]</f>
        <v>-2250</v>
      </c>
      <c r="BE518" s="250">
        <f>Tabla14[[#This Row],[CUANTO SE REAJUSTA]]*Tabla14[[#This Row],[Personas Rechazo]]</f>
        <v>-36000</v>
      </c>
      <c r="BF518" s="250">
        <f>Tabla14[[#This Row],[REAJUSTADO]]/25000</f>
        <v>1.3573</v>
      </c>
      <c r="BG518" s="302">
        <f>Tabla14[[#This Row],[REAJUSTADO]]*Tabla14[[#This Row],[Personas Rechazo]]</f>
        <v>542920</v>
      </c>
      <c r="BH518" s="292" t="str">
        <f>Tabla14[[#This Row],[Finca]]</f>
        <v>San Pedro</v>
      </c>
      <c r="BJ518" s="332">
        <f>Tabla14[[#This Row],[Numero de Ocacionales]]*Tabla14[[#This Row],[REAJUSTADO]]</f>
        <v>0</v>
      </c>
      <c r="BK518" s="332"/>
      <c r="BL518" s="332"/>
      <c r="BM518" s="332">
        <f>+Tabla14[[#This Row],[CUANTO SE REAJUSTA]]*3</f>
        <v>-6750</v>
      </c>
    </row>
    <row r="519" spans="3:65" x14ac:dyDescent="0.25">
      <c r="C519" s="515">
        <v>45271</v>
      </c>
      <c r="D519" s="549">
        <f>YEAR(Tabla14[[#This Row],[Fecha]])</f>
        <v>2023</v>
      </c>
      <c r="E519" s="516">
        <f>IF(Tabla14[[#This Row],[Fecha]]&gt;0,_xlfn.ISOWEEKNUM(Tabla14[[#This Row],[Fecha]]),0)</f>
        <v>50</v>
      </c>
      <c r="F519" s="283">
        <v>18</v>
      </c>
      <c r="G519" s="275" t="s">
        <v>249</v>
      </c>
      <c r="H519" s="325" t="str">
        <f>_xlfn.XLOOKUP(Tabla14[[#This Row],[Codigo Finca]],Tabla4[Codigo Finca],Tabla4[Nombre Finca],"")</f>
        <v>San Pedro</v>
      </c>
      <c r="I519" s="277">
        <f>_xlfn.XLOOKUP(Tabla14[[#This Row],[Codigo Finca]],Tabla4[Codigo Finca],Tabla4[Precio Caja],0)</f>
        <v>2000</v>
      </c>
      <c r="J519" s="277">
        <f>_xlfn.XLOOKUP(Tabla14[[#This Row],[Codigo Finca]],Tabla4[Codigo Finca],Tabla4[Precio Caja Segunda],0)</f>
        <v>1150</v>
      </c>
      <c r="K519" s="277">
        <f>_xlfn.XLOOKUP(Tabla14[[#This Row],[Codigo Finca]],Tabla4[Codigo Finca],Tabla4[Precio Rechazo],0)</f>
        <v>675</v>
      </c>
      <c r="L519" s="277">
        <f t="shared" si="529"/>
        <v>65</v>
      </c>
      <c r="M519" s="278">
        <f t="shared" si="530"/>
        <v>3.6111111111111112</v>
      </c>
      <c r="N519" s="283"/>
      <c r="O519" s="279"/>
      <c r="P519" s="280">
        <f t="shared" si="531"/>
        <v>0</v>
      </c>
      <c r="Q519" s="281">
        <f t="shared" si="532"/>
        <v>0</v>
      </c>
      <c r="R519" s="282">
        <f t="shared" si="533"/>
        <v>0</v>
      </c>
      <c r="S519" s="283">
        <v>65</v>
      </c>
      <c r="T519" s="275">
        <v>16</v>
      </c>
      <c r="U519" s="280">
        <f t="shared" si="534"/>
        <v>18</v>
      </c>
      <c r="V519" s="281">
        <f t="shared" si="535"/>
        <v>1.125</v>
      </c>
      <c r="W519" s="282">
        <f t="shared" si="536"/>
        <v>2250</v>
      </c>
      <c r="X519" s="283"/>
      <c r="Y519" s="275"/>
      <c r="Z519" s="280">
        <f>Tabla14[[#This Row],[Cajas Segunda]]</f>
        <v>0</v>
      </c>
      <c r="AA519" s="281">
        <f t="shared" si="537"/>
        <v>0</v>
      </c>
      <c r="AB519" s="284">
        <f t="shared" si="538"/>
        <v>0</v>
      </c>
      <c r="AC519" s="285"/>
      <c r="AD519" s="286"/>
      <c r="AE519" s="286"/>
      <c r="AF519" s="286"/>
      <c r="AG519" s="286">
        <v>16</v>
      </c>
      <c r="AH519" s="280">
        <f t="shared" si="539"/>
        <v>0</v>
      </c>
      <c r="AI519" s="281">
        <f t="shared" si="540"/>
        <v>0</v>
      </c>
      <c r="AJ519" s="282">
        <f t="shared" si="541"/>
        <v>0</v>
      </c>
      <c r="AK519" s="287">
        <f>Tabla14[[#This Row],[Cajas por Personas]]</f>
        <v>0</v>
      </c>
      <c r="AL519" s="288">
        <f>Tabla14[[#This Row],[Valor Precorte Pesona]]</f>
        <v>0</v>
      </c>
      <c r="AM519" s="294">
        <f>Tabla14[[#This Row],[Personas Precorte]]</f>
        <v>0</v>
      </c>
      <c r="AN519" s="308">
        <f>Tabla14[[#This Row],[Valor Precorte Pesona Precorte]]*Tabla14[[#This Row],[Perzonas Precorte]]</f>
        <v>0</v>
      </c>
      <c r="AO519" s="287">
        <f>Tabla14[[#This Row],[Cajas por Personas2]]</f>
        <v>1.125</v>
      </c>
      <c r="AP519" s="288">
        <f>Tabla14[[#This Row],[Valor Embarque Pesona]]</f>
        <v>2250</v>
      </c>
      <c r="AQ519" s="295">
        <f>Tabla14[[#This Row],[Personas Precorte2]]</f>
        <v>16</v>
      </c>
      <c r="AR519" s="296">
        <f>Tabla14[[#This Row],[Valor Embarque Pesona3]]*Tabla14[[#This Row],[Perzona Primera]]</f>
        <v>36000</v>
      </c>
      <c r="AS519" s="287">
        <f>Tabla14[[#This Row],[Columna2]]</f>
        <v>0</v>
      </c>
      <c r="AT519" s="288">
        <f>Tabla14[[#This Row],[Columna1]]</f>
        <v>0</v>
      </c>
      <c r="AU519" s="302">
        <f>Tabla14[[#This Row],[Personas Intervienen]]</f>
        <v>0</v>
      </c>
      <c r="AV519" s="297">
        <f>Tabla14[[#This Row],[Valor Embarque Pesona5]]*Tabla14[[#This Row],[Presonas Segunda]]</f>
        <v>0</v>
      </c>
      <c r="AW519" s="287">
        <f>Tabla14[[#This Row],[Bolsas Por Personas]]</f>
        <v>0</v>
      </c>
      <c r="AX519" s="288">
        <f>Tabla14[[#This Row],[Valor bolsas Pesona]]</f>
        <v>0</v>
      </c>
      <c r="AY519" s="309">
        <f>Tabla14[[#This Row],[Personas13]]</f>
        <v>16</v>
      </c>
      <c r="AZ519" s="310">
        <f>Tabla14[[#This Row],[Valor bolsas Pesona2]]*Tabla14[[#This Row],[Personas Rechazo]]</f>
        <v>0</v>
      </c>
      <c r="BA519" s="311">
        <f>+Tabla14[[#This Row],[Total Valor Segunda]]+Tabla14[[#This Row],[Total Valor Primera]]+Tabla14[[#This Row],[Total Valor Precorte]]</f>
        <v>36000</v>
      </c>
      <c r="BB519" s="538">
        <f>Tabla14[[#This Row],[Valor bolsas Pesona2]]+Tabla14[[#This Row],[Valor Embarque Pesona3]]</f>
        <v>2250</v>
      </c>
      <c r="BC519" s="539">
        <v>40000</v>
      </c>
      <c r="BD519" s="538">
        <f>Tabla14[[#This Row],[VALOR GANADO]]-Tabla14[[#This Row],[REAJUSTADO]]</f>
        <v>-37750</v>
      </c>
      <c r="BE519" s="250">
        <f>Tabla14[[#This Row],[CUANTO SE REAJUSTA]]*Tabla14[[#This Row],[Personas Rechazo]]</f>
        <v>-604000</v>
      </c>
      <c r="BF519" s="250">
        <f>Tabla14[[#This Row],[REAJUSTADO]]/25000</f>
        <v>1.6</v>
      </c>
      <c r="BG519" s="302">
        <f>Tabla14[[#This Row],[REAJUSTADO]]*Tabla14[[#This Row],[Personas Rechazo]]</f>
        <v>640000</v>
      </c>
      <c r="BH519" s="292" t="str">
        <f>Tabla14[[#This Row],[Finca]]</f>
        <v>San Pedro</v>
      </c>
      <c r="BJ519" s="332">
        <f>Tabla14[[#This Row],[Numero de Ocacionales]]*Tabla14[[#This Row],[REAJUSTADO]]</f>
        <v>0</v>
      </c>
      <c r="BK519" s="332"/>
      <c r="BL519" s="332"/>
      <c r="BM519" s="332">
        <f>+Tabla14[[#This Row],[CUANTO SE REAJUSTA]]*3</f>
        <v>-113250</v>
      </c>
    </row>
    <row r="520" spans="3:65" x14ac:dyDescent="0.25">
      <c r="C520" s="515">
        <v>45271</v>
      </c>
      <c r="D520" s="549">
        <f>YEAR(Tabla14[[#This Row],[Fecha]])</f>
        <v>2023</v>
      </c>
      <c r="E520" s="516">
        <f>IF(Tabla14[[#This Row],[Fecha]]&gt;0,_xlfn.ISOWEEKNUM(Tabla14[[#This Row],[Fecha]]),0)</f>
        <v>50</v>
      </c>
      <c r="F520" s="283">
        <v>18</v>
      </c>
      <c r="G520" s="275" t="s">
        <v>247</v>
      </c>
      <c r="H520" s="325" t="str">
        <f>_xlfn.XLOOKUP(Tabla14[[#This Row],[Codigo Finca]],Tabla4[Codigo Finca],Tabla4[Nombre Finca],"")</f>
        <v>Uveros</v>
      </c>
      <c r="I520" s="277">
        <f>_xlfn.XLOOKUP(Tabla14[[#This Row],[Codigo Finca]],Tabla4[Codigo Finca],Tabla4[Precio Caja],0)</f>
        <v>1800</v>
      </c>
      <c r="J520" s="277">
        <f>_xlfn.XLOOKUP(Tabla14[[#This Row],[Codigo Finca]],Tabla4[Codigo Finca],Tabla4[Precio Caja Segunda],0)</f>
        <v>1150</v>
      </c>
      <c r="K520" s="277">
        <f>_xlfn.XLOOKUP(Tabla14[[#This Row],[Codigo Finca]],Tabla4[Codigo Finca],Tabla4[Precio Rechazo],0)</f>
        <v>575</v>
      </c>
      <c r="L520" s="277">
        <f t="shared" si="529"/>
        <v>0</v>
      </c>
      <c r="M520" s="278">
        <f t="shared" si="530"/>
        <v>0</v>
      </c>
      <c r="N520" s="283"/>
      <c r="O520" s="279"/>
      <c r="P520" s="280">
        <f t="shared" si="531"/>
        <v>0</v>
      </c>
      <c r="Q520" s="281">
        <f t="shared" si="532"/>
        <v>0</v>
      </c>
      <c r="R520" s="282">
        <f t="shared" si="533"/>
        <v>0</v>
      </c>
      <c r="S520" s="283"/>
      <c r="T520" s="275"/>
      <c r="U520" s="280">
        <f t="shared" si="534"/>
        <v>18</v>
      </c>
      <c r="V520" s="281">
        <f t="shared" si="535"/>
        <v>0</v>
      </c>
      <c r="W520" s="282">
        <f t="shared" si="536"/>
        <v>0</v>
      </c>
      <c r="X520" s="283"/>
      <c r="Y520" s="275"/>
      <c r="Z520" s="280">
        <f>Tabla14[[#This Row],[Cajas Segunda]]</f>
        <v>0</v>
      </c>
      <c r="AA520" s="281">
        <f t="shared" si="537"/>
        <v>0</v>
      </c>
      <c r="AB520" s="284">
        <f t="shared" si="538"/>
        <v>0</v>
      </c>
      <c r="AC520" s="285"/>
      <c r="AD520" s="286">
        <v>1092</v>
      </c>
      <c r="AE520" s="286"/>
      <c r="AF520" s="286"/>
      <c r="AG520" s="286"/>
      <c r="AH520" s="280">
        <f t="shared" si="539"/>
        <v>43.68</v>
      </c>
      <c r="AI520" s="281">
        <f t="shared" si="540"/>
        <v>0</v>
      </c>
      <c r="AJ520" s="282">
        <f t="shared" si="541"/>
        <v>0</v>
      </c>
      <c r="AK520" s="287">
        <f>Tabla14[[#This Row],[Cajas por Personas]]</f>
        <v>0</v>
      </c>
      <c r="AL520" s="288">
        <f>Tabla14[[#This Row],[Valor Precorte Pesona]]</f>
        <v>0</v>
      </c>
      <c r="AM520" s="294">
        <f>Tabla14[[#This Row],[Personas Precorte]]</f>
        <v>0</v>
      </c>
      <c r="AN520" s="308">
        <f>Tabla14[[#This Row],[Valor Precorte Pesona Precorte]]*Tabla14[[#This Row],[Perzonas Precorte]]</f>
        <v>0</v>
      </c>
      <c r="AO520" s="287">
        <f>Tabla14[[#This Row],[Cajas por Personas2]]</f>
        <v>0</v>
      </c>
      <c r="AP520" s="288">
        <f>Tabla14[[#This Row],[Valor Embarque Pesona]]</f>
        <v>0</v>
      </c>
      <c r="AQ520" s="295">
        <f>Tabla14[[#This Row],[Personas Precorte2]]</f>
        <v>0</v>
      </c>
      <c r="AR520" s="296">
        <f>Tabla14[[#This Row],[Valor Embarque Pesona3]]*Tabla14[[#This Row],[Perzona Primera]]</f>
        <v>0</v>
      </c>
      <c r="AS520" s="287">
        <f>Tabla14[[#This Row],[Columna2]]</f>
        <v>0</v>
      </c>
      <c r="AT520" s="288">
        <f>Tabla14[[#This Row],[Columna1]]</f>
        <v>0</v>
      </c>
      <c r="AU520" s="302">
        <f>Tabla14[[#This Row],[Personas Intervienen]]</f>
        <v>0</v>
      </c>
      <c r="AV520" s="297">
        <f>Tabla14[[#This Row],[Valor Embarque Pesona5]]*Tabla14[[#This Row],[Presonas Segunda]]</f>
        <v>0</v>
      </c>
      <c r="AW520" s="287">
        <f>Tabla14[[#This Row],[Bolsas Por Personas]]</f>
        <v>0</v>
      </c>
      <c r="AX520" s="288">
        <f>Tabla14[[#This Row],[Valor bolsas Pesona]]</f>
        <v>0</v>
      </c>
      <c r="AY520" s="309">
        <f>Tabla14[[#This Row],[Personas13]]</f>
        <v>0</v>
      </c>
      <c r="AZ520" s="310">
        <f>Tabla14[[#This Row],[Valor bolsas Pesona2]]*Tabla14[[#This Row],[Personas Rechazo]]</f>
        <v>0</v>
      </c>
      <c r="BA520" s="311">
        <f>+Tabla14[[#This Row],[Total Valor Segunda]]+Tabla14[[#This Row],[Total Valor Primera]]+Tabla14[[#This Row],[Total Valor Precorte]]</f>
        <v>0</v>
      </c>
      <c r="BB520" s="292">
        <f>Tabla14[[#This Row],[Valor bolsas Pesona2]]+Tabla14[[#This Row],[Valor Embarque Pesona3]]</f>
        <v>0</v>
      </c>
      <c r="BD520" s="292">
        <f>Tabla14[[#This Row],[VALOR GANADO]]-Tabla14[[#This Row],[REAJUSTADO]]</f>
        <v>0</v>
      </c>
      <c r="BE520" s="250">
        <f>Tabla14[[#This Row],[CUANTO SE REAJUSTA]]*Tabla14[[#This Row],[Personas Rechazo]]</f>
        <v>0</v>
      </c>
      <c r="BF520" s="250">
        <f>Tabla14[[#This Row],[REAJUSTADO]]/25000</f>
        <v>0</v>
      </c>
      <c r="BG520" s="302">
        <f>Tabla14[[#This Row],[REAJUSTADO]]*Tabla14[[#This Row],[Personas Rechazo]]</f>
        <v>0</v>
      </c>
      <c r="BH520" s="292" t="str">
        <f>Tabla14[[#This Row],[Finca]]</f>
        <v>Uveros</v>
      </c>
      <c r="BJ520" s="332">
        <f>Tabla14[[#This Row],[Numero de Ocacionales]]*Tabla14[[#This Row],[REAJUSTADO]]</f>
        <v>0</v>
      </c>
      <c r="BK520" s="332"/>
      <c r="BL520" s="332"/>
      <c r="BM520" s="332">
        <f>+Tabla14[[#This Row],[CUANTO SE REAJUSTA]]*3</f>
        <v>0</v>
      </c>
    </row>
    <row r="521" spans="3:65" x14ac:dyDescent="0.25">
      <c r="C521" s="515">
        <v>45272</v>
      </c>
      <c r="D521" s="549">
        <f>YEAR(Tabla14[[#This Row],[Fecha]])</f>
        <v>2023</v>
      </c>
      <c r="E521" s="516">
        <f>IF(Tabla14[[#This Row],[Fecha]]&gt;0,_xlfn.ISOWEEKNUM(Tabla14[[#This Row],[Fecha]]),0)</f>
        <v>50</v>
      </c>
      <c r="F521" s="283">
        <v>59</v>
      </c>
      <c r="G521" s="275" t="s">
        <v>250</v>
      </c>
      <c r="H521" s="325" t="str">
        <f>_xlfn.XLOOKUP(Tabla14[[#This Row],[Codigo Finca]],Tabla4[Codigo Finca],Tabla4[Nombre Finca],"")</f>
        <v>San Pedro</v>
      </c>
      <c r="I521" s="277">
        <f>_xlfn.XLOOKUP(Tabla14[[#This Row],[Codigo Finca]],Tabla4[Codigo Finca],Tabla4[Precio Caja],0)</f>
        <v>1800</v>
      </c>
      <c r="J521" s="277">
        <f>_xlfn.XLOOKUP(Tabla14[[#This Row],[Codigo Finca]],Tabla4[Codigo Finca],Tabla4[Precio Caja Segunda],0)</f>
        <v>1150</v>
      </c>
      <c r="K521" s="277">
        <f>_xlfn.XLOOKUP(Tabla14[[#This Row],[Codigo Finca]],Tabla4[Codigo Finca],Tabla4[Precio Rechazo],0)</f>
        <v>575</v>
      </c>
      <c r="L521" s="277">
        <f t="shared" si="529"/>
        <v>0</v>
      </c>
      <c r="M521" s="278">
        <f t="shared" si="530"/>
        <v>0</v>
      </c>
      <c r="N521" s="283"/>
      <c r="O521" s="279"/>
      <c r="P521" s="280">
        <f t="shared" si="531"/>
        <v>0</v>
      </c>
      <c r="Q521" s="281">
        <f t="shared" si="532"/>
        <v>0</v>
      </c>
      <c r="R521" s="282">
        <f t="shared" si="533"/>
        <v>0</v>
      </c>
      <c r="S521" s="283"/>
      <c r="T521" s="275">
        <v>6</v>
      </c>
      <c r="U521" s="280">
        <f t="shared" si="534"/>
        <v>59</v>
      </c>
      <c r="V521" s="281">
        <f t="shared" si="535"/>
        <v>9.8333333333333339</v>
      </c>
      <c r="W521" s="282">
        <f t="shared" si="536"/>
        <v>17700</v>
      </c>
      <c r="X521" s="283"/>
      <c r="Y521" s="275"/>
      <c r="Z521" s="280">
        <f>Tabla14[[#This Row],[Cajas Segunda]]</f>
        <v>0</v>
      </c>
      <c r="AA521" s="281">
        <f t="shared" si="537"/>
        <v>0</v>
      </c>
      <c r="AB521" s="284">
        <f t="shared" si="538"/>
        <v>0</v>
      </c>
      <c r="AC521" s="285"/>
      <c r="AD521" s="286"/>
      <c r="AE521" s="286"/>
      <c r="AF521" s="286"/>
      <c r="AG521" s="286">
        <v>6</v>
      </c>
      <c r="AH521" s="280">
        <f t="shared" si="539"/>
        <v>0</v>
      </c>
      <c r="AI521" s="281">
        <f t="shared" si="540"/>
        <v>0</v>
      </c>
      <c r="AJ521" s="282">
        <f t="shared" si="541"/>
        <v>0</v>
      </c>
      <c r="AK521" s="287">
        <f>Tabla14[[#This Row],[Cajas por Personas]]</f>
        <v>0</v>
      </c>
      <c r="AL521" s="288">
        <f>Tabla14[[#This Row],[Valor Precorte Pesona]]</f>
        <v>0</v>
      </c>
      <c r="AM521" s="294">
        <f>Tabla14[[#This Row],[Personas Precorte]]</f>
        <v>0</v>
      </c>
      <c r="AN521" s="308">
        <f>Tabla14[[#This Row],[Valor Precorte Pesona Precorte]]*Tabla14[[#This Row],[Perzonas Precorte]]</f>
        <v>0</v>
      </c>
      <c r="AO521" s="287">
        <f>Tabla14[[#This Row],[Cajas por Personas2]]</f>
        <v>9.8333333333333339</v>
      </c>
      <c r="AP521" s="288">
        <f>Tabla14[[#This Row],[Valor Embarque Pesona]]</f>
        <v>17700</v>
      </c>
      <c r="AQ521" s="295">
        <f>Tabla14[[#This Row],[Personas Precorte2]]</f>
        <v>6</v>
      </c>
      <c r="AR521" s="296">
        <f>Tabla14[[#This Row],[Valor Embarque Pesona3]]*Tabla14[[#This Row],[Perzona Primera]]</f>
        <v>106200</v>
      </c>
      <c r="AS521" s="287">
        <f>Tabla14[[#This Row],[Columna2]]</f>
        <v>0</v>
      </c>
      <c r="AT521" s="288">
        <f>Tabla14[[#This Row],[Columna1]]</f>
        <v>0</v>
      </c>
      <c r="AU521" s="302">
        <f>Tabla14[[#This Row],[Personas Intervienen]]</f>
        <v>0</v>
      </c>
      <c r="AV521" s="297">
        <f>Tabla14[[#This Row],[Valor Embarque Pesona5]]*Tabla14[[#This Row],[Presonas Segunda]]</f>
        <v>0</v>
      </c>
      <c r="AW521" s="287">
        <f>Tabla14[[#This Row],[Bolsas Por Personas]]</f>
        <v>0</v>
      </c>
      <c r="AX521" s="288">
        <f>Tabla14[[#This Row],[Valor bolsas Pesona]]</f>
        <v>0</v>
      </c>
      <c r="AY521" s="309">
        <f>Tabla14[[#This Row],[Personas13]]</f>
        <v>6</v>
      </c>
      <c r="AZ521" s="310">
        <f>Tabla14[[#This Row],[Valor bolsas Pesona2]]*Tabla14[[#This Row],[Personas Rechazo]]</f>
        <v>0</v>
      </c>
      <c r="BA521" s="311">
        <f>+Tabla14[[#This Row],[Total Valor Segunda]]+Tabla14[[#This Row],[Total Valor Primera]]+Tabla14[[#This Row],[Total Valor Precorte]]</f>
        <v>106200</v>
      </c>
      <c r="BB521" s="292">
        <f>Tabla14[[#This Row],[Valor bolsas Pesona2]]+Tabla14[[#This Row],[Valor Embarque Pesona3]]</f>
        <v>17700</v>
      </c>
      <c r="BC521" s="332">
        <v>40000</v>
      </c>
      <c r="BD521" s="292">
        <f>Tabla14[[#This Row],[VALOR GANADO]]-Tabla14[[#This Row],[REAJUSTADO]]</f>
        <v>-22300</v>
      </c>
      <c r="BE521" s="250">
        <f>Tabla14[[#This Row],[CUANTO SE REAJUSTA]]*Tabla14[[#This Row],[Personas Rechazo]]</f>
        <v>-133800</v>
      </c>
      <c r="BF521" s="250">
        <f>Tabla14[[#This Row],[REAJUSTADO]]/25000</f>
        <v>1.6</v>
      </c>
      <c r="BG521" s="302">
        <f>Tabla14[[#This Row],[REAJUSTADO]]*Tabla14[[#This Row],[Personas Rechazo]]</f>
        <v>240000</v>
      </c>
      <c r="BH521" s="292" t="str">
        <f>Tabla14[[#This Row],[Finca]]</f>
        <v>San Pedro</v>
      </c>
      <c r="BJ521" s="332">
        <f>Tabla14[[#This Row],[Numero de Ocacionales]]*Tabla14[[#This Row],[REAJUSTADO]]</f>
        <v>0</v>
      </c>
      <c r="BK521" s="332"/>
      <c r="BL521" s="332"/>
      <c r="BM521" s="332">
        <f>+Tabla14[[#This Row],[CUANTO SE REAJUSTA]]*3</f>
        <v>-66900</v>
      </c>
    </row>
    <row r="522" spans="3:65" x14ac:dyDescent="0.25">
      <c r="C522" s="515">
        <v>45272</v>
      </c>
      <c r="D522" s="549">
        <f>YEAR(Tabla14[[#This Row],[Fecha]])</f>
        <v>2023</v>
      </c>
      <c r="E522" s="516">
        <f>IF(Tabla14[[#This Row],[Fecha]]&gt;0,_xlfn.ISOWEEKNUM(Tabla14[[#This Row],[Fecha]]),0)</f>
        <v>50</v>
      </c>
      <c r="F522" s="283">
        <v>40</v>
      </c>
      <c r="G522" s="275" t="s">
        <v>251</v>
      </c>
      <c r="H522" s="325" t="str">
        <f>_xlfn.XLOOKUP(Tabla14[[#This Row],[Codigo Finca]],Tabla4[Codigo Finca],Tabla4[Nombre Finca],"")</f>
        <v>Pedrito</v>
      </c>
      <c r="I522" s="277">
        <f>_xlfn.XLOOKUP(Tabla14[[#This Row],[Codigo Finca]],Tabla4[Codigo Finca],Tabla4[Precio Caja],0)</f>
        <v>1800</v>
      </c>
      <c r="J522" s="277">
        <f>_xlfn.XLOOKUP(Tabla14[[#This Row],[Codigo Finca]],Tabla4[Codigo Finca],Tabla4[Precio Caja Segunda],0)</f>
        <v>1150</v>
      </c>
      <c r="K522" s="277">
        <f>_xlfn.XLOOKUP(Tabla14[[#This Row],[Codigo Finca]],Tabla4[Codigo Finca],Tabla4[Precio Rechazo],0)</f>
        <v>575</v>
      </c>
      <c r="L522" s="277">
        <f t="shared" si="529"/>
        <v>686</v>
      </c>
      <c r="M522" s="278">
        <f t="shared" si="530"/>
        <v>17.149999999999999</v>
      </c>
      <c r="N522" s="283"/>
      <c r="O522" s="279"/>
      <c r="P522" s="280">
        <f t="shared" si="531"/>
        <v>0</v>
      </c>
      <c r="Q522" s="281">
        <f t="shared" si="532"/>
        <v>0</v>
      </c>
      <c r="R522" s="282">
        <f t="shared" si="533"/>
        <v>0</v>
      </c>
      <c r="S522" s="283">
        <v>686</v>
      </c>
      <c r="T522" s="275"/>
      <c r="U522" s="280">
        <f t="shared" si="534"/>
        <v>40</v>
      </c>
      <c r="V522" s="281">
        <f t="shared" si="535"/>
        <v>0</v>
      </c>
      <c r="W522" s="282">
        <f t="shared" si="536"/>
        <v>0</v>
      </c>
      <c r="X522" s="283"/>
      <c r="Y522" s="275"/>
      <c r="Z522" s="280">
        <f>Tabla14[[#This Row],[Cajas Segunda]]</f>
        <v>0</v>
      </c>
      <c r="AA522" s="281">
        <f t="shared" si="537"/>
        <v>0</v>
      </c>
      <c r="AB522" s="284">
        <f t="shared" si="538"/>
        <v>0</v>
      </c>
      <c r="AC522" s="285"/>
      <c r="AD522" s="286">
        <v>3125</v>
      </c>
      <c r="AE522" s="286"/>
      <c r="AF522" s="286"/>
      <c r="AG522" s="286"/>
      <c r="AH522" s="280">
        <f t="shared" si="539"/>
        <v>125</v>
      </c>
      <c r="AI522" s="281">
        <f t="shared" si="540"/>
        <v>0</v>
      </c>
      <c r="AJ522" s="282">
        <f t="shared" si="541"/>
        <v>0</v>
      </c>
      <c r="AK522" s="287">
        <f>Tabla14[[#This Row],[Cajas por Personas]]</f>
        <v>0</v>
      </c>
      <c r="AL522" s="288">
        <f>Tabla14[[#This Row],[Valor Precorte Pesona]]</f>
        <v>0</v>
      </c>
      <c r="AM522" s="294">
        <f>Tabla14[[#This Row],[Personas Precorte]]</f>
        <v>0</v>
      </c>
      <c r="AN522" s="308">
        <f>Tabla14[[#This Row],[Valor Precorte Pesona Precorte]]*Tabla14[[#This Row],[Perzonas Precorte]]</f>
        <v>0</v>
      </c>
      <c r="AO522" s="287">
        <f>Tabla14[[#This Row],[Cajas por Personas2]]</f>
        <v>0</v>
      </c>
      <c r="AP522" s="288">
        <f>Tabla14[[#This Row],[Valor Embarque Pesona]]</f>
        <v>0</v>
      </c>
      <c r="AQ522" s="295">
        <f>Tabla14[[#This Row],[Personas Precorte2]]</f>
        <v>0</v>
      </c>
      <c r="AR522" s="296">
        <f>Tabla14[[#This Row],[Valor Embarque Pesona3]]*Tabla14[[#This Row],[Perzona Primera]]</f>
        <v>0</v>
      </c>
      <c r="AS522" s="287">
        <f>Tabla14[[#This Row],[Columna2]]</f>
        <v>0</v>
      </c>
      <c r="AT522" s="288">
        <f>Tabla14[[#This Row],[Columna1]]</f>
        <v>0</v>
      </c>
      <c r="AU522" s="302">
        <f>Tabla14[[#This Row],[Personas Intervienen]]</f>
        <v>0</v>
      </c>
      <c r="AV522" s="297">
        <f>Tabla14[[#This Row],[Valor Embarque Pesona5]]*Tabla14[[#This Row],[Presonas Segunda]]</f>
        <v>0</v>
      </c>
      <c r="AW522" s="287">
        <f>Tabla14[[#This Row],[Bolsas Por Personas]]</f>
        <v>0</v>
      </c>
      <c r="AX522" s="288">
        <f>Tabla14[[#This Row],[Valor bolsas Pesona]]</f>
        <v>0</v>
      </c>
      <c r="AY522" s="309">
        <f>Tabla14[[#This Row],[Personas13]]</f>
        <v>0</v>
      </c>
      <c r="AZ522" s="310">
        <f>Tabla14[[#This Row],[Valor bolsas Pesona2]]*Tabla14[[#This Row],[Personas Rechazo]]</f>
        <v>0</v>
      </c>
      <c r="BA522" s="311">
        <f>+Tabla14[[#This Row],[Total Valor Segunda]]+Tabla14[[#This Row],[Total Valor Primera]]+Tabla14[[#This Row],[Total Valor Precorte]]</f>
        <v>0</v>
      </c>
      <c r="BB522" s="292">
        <f>Tabla14[[#This Row],[Valor bolsas Pesona2]]+Tabla14[[#This Row],[Valor Embarque Pesona3]]</f>
        <v>0</v>
      </c>
      <c r="BD522" s="292">
        <f>Tabla14[[#This Row],[VALOR GANADO]]-Tabla14[[#This Row],[REAJUSTADO]]</f>
        <v>0</v>
      </c>
      <c r="BE522" s="250">
        <f>Tabla14[[#This Row],[CUANTO SE REAJUSTA]]*Tabla14[[#This Row],[Personas Rechazo]]</f>
        <v>0</v>
      </c>
      <c r="BF522" s="250">
        <f>Tabla14[[#This Row],[REAJUSTADO]]/25000</f>
        <v>0</v>
      </c>
      <c r="BG522" s="302">
        <f>Tabla14[[#This Row],[REAJUSTADO]]*Tabla14[[#This Row],[Personas Rechazo]]</f>
        <v>0</v>
      </c>
      <c r="BH522" s="292" t="str">
        <f>Tabla14[[#This Row],[Finca]]</f>
        <v>Pedrito</v>
      </c>
      <c r="BJ522" s="332">
        <f>Tabla14[[#This Row],[Numero de Ocacionales]]*Tabla14[[#This Row],[REAJUSTADO]]</f>
        <v>0</v>
      </c>
      <c r="BK522" s="332"/>
      <c r="BL522" s="332"/>
      <c r="BM522" s="332">
        <f>+Tabla14[[#This Row],[CUANTO SE REAJUSTA]]*3</f>
        <v>0</v>
      </c>
    </row>
    <row r="523" spans="3:65" x14ac:dyDescent="0.25">
      <c r="C523" s="515">
        <v>45278</v>
      </c>
      <c r="D523" s="549">
        <f>YEAR(Tabla14[[#This Row],[Fecha]])</f>
        <v>2023</v>
      </c>
      <c r="E523" s="516">
        <f>IF(Tabla14[[#This Row],[Fecha]]&gt;0,_xlfn.ISOWEEKNUM(Tabla14[[#This Row],[Fecha]]),0)</f>
        <v>51</v>
      </c>
      <c r="F523" s="283">
        <v>390</v>
      </c>
      <c r="G523" s="275" t="s">
        <v>250</v>
      </c>
      <c r="H523" s="325" t="str">
        <f>_xlfn.XLOOKUP(Tabla14[[#This Row],[Codigo Finca]],Tabla4[Codigo Finca],Tabla4[Nombre Finca],"")</f>
        <v>San Pedro</v>
      </c>
      <c r="I523" s="277">
        <f>_xlfn.XLOOKUP(Tabla14[[#This Row],[Codigo Finca]],Tabla4[Codigo Finca],Tabla4[Precio Caja],0)</f>
        <v>1800</v>
      </c>
      <c r="J523" s="277">
        <f>_xlfn.XLOOKUP(Tabla14[[#This Row],[Codigo Finca]],Tabla4[Codigo Finca],Tabla4[Precio Caja Segunda],0)</f>
        <v>1150</v>
      </c>
      <c r="K523" s="277">
        <f>_xlfn.XLOOKUP(Tabla14[[#This Row],[Codigo Finca]],Tabla4[Codigo Finca],Tabla4[Precio Rechazo],0)</f>
        <v>575</v>
      </c>
      <c r="L523" s="277">
        <f t="shared" si="529"/>
        <v>1246</v>
      </c>
      <c r="M523" s="278">
        <f t="shared" si="530"/>
        <v>3.1948717948717951</v>
      </c>
      <c r="N523" s="283"/>
      <c r="O523" s="279"/>
      <c r="P523" s="280">
        <f t="shared" si="531"/>
        <v>0</v>
      </c>
      <c r="Q523" s="281">
        <f t="shared" si="532"/>
        <v>0</v>
      </c>
      <c r="R523" s="282">
        <f t="shared" si="533"/>
        <v>0</v>
      </c>
      <c r="S523" s="283">
        <v>1246</v>
      </c>
      <c r="T523" s="275">
        <v>19</v>
      </c>
      <c r="U523" s="280">
        <f t="shared" si="534"/>
        <v>390</v>
      </c>
      <c r="V523" s="281">
        <f t="shared" si="535"/>
        <v>20.526315789473685</v>
      </c>
      <c r="W523" s="282">
        <f t="shared" si="536"/>
        <v>36947.368421052633</v>
      </c>
      <c r="X523" s="283"/>
      <c r="Y523" s="275"/>
      <c r="Z523" s="280">
        <f>Tabla14[[#This Row],[Cajas Segunda]]</f>
        <v>0</v>
      </c>
      <c r="AA523" s="281">
        <f t="shared" si="537"/>
        <v>0</v>
      </c>
      <c r="AB523" s="284">
        <f t="shared" si="538"/>
        <v>0</v>
      </c>
      <c r="AC523" s="285"/>
      <c r="AD523" s="286">
        <f>2050+3628.74</f>
        <v>5678.74</v>
      </c>
      <c r="AE523" s="286"/>
      <c r="AF523" s="286"/>
      <c r="AG523" s="286">
        <v>19</v>
      </c>
      <c r="AH523" s="280">
        <f t="shared" si="539"/>
        <v>227.14959999999999</v>
      </c>
      <c r="AI523" s="281">
        <f t="shared" si="540"/>
        <v>11.955242105263158</v>
      </c>
      <c r="AJ523" s="282">
        <f t="shared" si="541"/>
        <v>6874.2642105263158</v>
      </c>
      <c r="AK523" s="287">
        <f>Tabla14[[#This Row],[Cajas por Personas]]</f>
        <v>0</v>
      </c>
      <c r="AL523" s="288">
        <f>Tabla14[[#This Row],[Valor Precorte Pesona]]</f>
        <v>0</v>
      </c>
      <c r="AM523" s="294">
        <f>Tabla14[[#This Row],[Personas Precorte]]</f>
        <v>0</v>
      </c>
      <c r="AN523" s="308">
        <f>Tabla14[[#This Row],[Valor Precorte Pesona Precorte]]*Tabla14[[#This Row],[Perzonas Precorte]]</f>
        <v>0</v>
      </c>
      <c r="AO523" s="287">
        <f>Tabla14[[#This Row],[Cajas por Personas2]]</f>
        <v>20.526315789473685</v>
      </c>
      <c r="AP523" s="288">
        <f>Tabla14[[#This Row],[Valor Embarque Pesona]]</f>
        <v>36947.368421052633</v>
      </c>
      <c r="AQ523" s="295">
        <f>Tabla14[[#This Row],[Personas Precorte2]]</f>
        <v>19</v>
      </c>
      <c r="AR523" s="296">
        <f>Tabla14[[#This Row],[Valor Embarque Pesona3]]*Tabla14[[#This Row],[Perzona Primera]]</f>
        <v>702000</v>
      </c>
      <c r="AS523" s="287">
        <f>Tabla14[[#This Row],[Columna2]]</f>
        <v>0</v>
      </c>
      <c r="AT523" s="288">
        <f>Tabla14[[#This Row],[Columna1]]</f>
        <v>0</v>
      </c>
      <c r="AU523" s="302">
        <f>Tabla14[[#This Row],[Personas Intervienen]]</f>
        <v>0</v>
      </c>
      <c r="AV523" s="297">
        <f>Tabla14[[#This Row],[Valor Embarque Pesona5]]*Tabla14[[#This Row],[Presonas Segunda]]</f>
        <v>0</v>
      </c>
      <c r="AW523" s="287">
        <f>Tabla14[[#This Row],[Bolsas Por Personas]]</f>
        <v>11.955242105263158</v>
      </c>
      <c r="AX523" s="288">
        <f>Tabla14[[#This Row],[Valor bolsas Pesona]]</f>
        <v>6874.2642105263158</v>
      </c>
      <c r="AY523" s="309">
        <f>Tabla14[[#This Row],[Personas13]]</f>
        <v>19</v>
      </c>
      <c r="AZ523" s="310">
        <f>Tabla14[[#This Row],[Valor bolsas Pesona2]]*Tabla14[[#This Row],[Personas Rechazo]]</f>
        <v>130611.02</v>
      </c>
      <c r="BA523" s="311">
        <f>+Tabla14[[#This Row],[Total Valor Segunda]]+Tabla14[[#This Row],[Total Valor Primera]]+Tabla14[[#This Row],[Total Valor Precorte]]</f>
        <v>702000</v>
      </c>
      <c r="BB523" s="292">
        <f>Tabla14[[#This Row],[Valor bolsas Pesona2]]+Tabla14[[#This Row],[Valor Embarque Pesona3]]</f>
        <v>43821.632631578948</v>
      </c>
      <c r="BC523" s="332">
        <v>50000</v>
      </c>
      <c r="BD523" s="292">
        <f>Tabla14[[#This Row],[VALOR GANADO]]-Tabla14[[#This Row],[REAJUSTADO]]</f>
        <v>-6178.3673684210517</v>
      </c>
      <c r="BE523" s="250">
        <f>Tabla14[[#This Row],[CUANTO SE REAJUSTA]]*Tabla14[[#This Row],[Personas Rechazo]]</f>
        <v>-117388.97999999998</v>
      </c>
      <c r="BF523" s="250">
        <f>Tabla14[[#This Row],[REAJUSTADO]]/25000</f>
        <v>2</v>
      </c>
      <c r="BG523" s="302">
        <f>Tabla14[[#This Row],[REAJUSTADO]]*Tabla14[[#This Row],[Personas Rechazo]]</f>
        <v>950000</v>
      </c>
      <c r="BH523" s="292" t="str">
        <f>Tabla14[[#This Row],[Finca]]</f>
        <v>San Pedro</v>
      </c>
      <c r="BJ523" s="332">
        <f>Tabla14[[#This Row],[Numero de Ocacionales]]*Tabla14[[#This Row],[REAJUSTADO]]</f>
        <v>0</v>
      </c>
      <c r="BK523" s="332"/>
      <c r="BL523" s="332"/>
      <c r="BM523" s="332">
        <f>+Tabla14[[#This Row],[CUANTO SE REAJUSTA]]*3</f>
        <v>-18535.102105263155</v>
      </c>
    </row>
    <row r="524" spans="3:65" x14ac:dyDescent="0.25">
      <c r="C524" s="515">
        <v>45279</v>
      </c>
      <c r="D524" s="549">
        <f>YEAR(Tabla14[[#This Row],[Fecha]])</f>
        <v>2023</v>
      </c>
      <c r="E524" s="516">
        <f>IF(Tabla14[[#This Row],[Fecha]]&gt;0,_xlfn.ISOWEEKNUM(Tabla14[[#This Row],[Fecha]]),0)</f>
        <v>51</v>
      </c>
      <c r="F524" s="283">
        <v>77</v>
      </c>
      <c r="G524" s="275" t="s">
        <v>249</v>
      </c>
      <c r="H524" s="325" t="str">
        <f>_xlfn.XLOOKUP(Tabla14[[#This Row],[Codigo Finca]],Tabla4[Codigo Finca],Tabla4[Nombre Finca],"")</f>
        <v>San Pedro</v>
      </c>
      <c r="I524" s="277">
        <f>_xlfn.XLOOKUP(Tabla14[[#This Row],[Codigo Finca]],Tabla4[Codigo Finca],Tabla4[Precio Caja],0)</f>
        <v>2000</v>
      </c>
      <c r="J524" s="277">
        <f>_xlfn.XLOOKUP(Tabla14[[#This Row],[Codigo Finca]],Tabla4[Codigo Finca],Tabla4[Precio Caja Segunda],0)</f>
        <v>1150</v>
      </c>
      <c r="K524" s="277">
        <f>_xlfn.XLOOKUP(Tabla14[[#This Row],[Codigo Finca]],Tabla4[Codigo Finca],Tabla4[Precio Rechazo],0)</f>
        <v>675</v>
      </c>
      <c r="L524" s="277">
        <f t="shared" si="529"/>
        <v>0</v>
      </c>
      <c r="M524" s="278">
        <f t="shared" si="530"/>
        <v>0</v>
      </c>
      <c r="N524" s="283"/>
      <c r="O524" s="279"/>
      <c r="P524" s="280">
        <f t="shared" si="531"/>
        <v>0</v>
      </c>
      <c r="Q524" s="281">
        <f t="shared" si="532"/>
        <v>0</v>
      </c>
      <c r="R524" s="282">
        <f t="shared" si="533"/>
        <v>0</v>
      </c>
      <c r="S524" s="283"/>
      <c r="T524" s="275">
        <v>6</v>
      </c>
      <c r="U524" s="280">
        <f t="shared" si="534"/>
        <v>77</v>
      </c>
      <c r="V524" s="281">
        <f t="shared" si="535"/>
        <v>12.833333333333334</v>
      </c>
      <c r="W524" s="282">
        <f t="shared" si="536"/>
        <v>25666.666666666668</v>
      </c>
      <c r="X524" s="283"/>
      <c r="Y524" s="275"/>
      <c r="Z524" s="280">
        <f>Tabla14[[#This Row],[Cajas Segunda]]</f>
        <v>0</v>
      </c>
      <c r="AA524" s="281">
        <f t="shared" si="537"/>
        <v>0</v>
      </c>
      <c r="AB524" s="284">
        <f t="shared" si="538"/>
        <v>0</v>
      </c>
      <c r="AC524" s="285"/>
      <c r="AD524" s="286"/>
      <c r="AE524" s="286"/>
      <c r="AF524" s="286"/>
      <c r="AG524" s="286">
        <v>6</v>
      </c>
      <c r="AH524" s="280">
        <f t="shared" si="539"/>
        <v>0</v>
      </c>
      <c r="AI524" s="281">
        <f t="shared" si="540"/>
        <v>0</v>
      </c>
      <c r="AJ524" s="282">
        <f t="shared" si="541"/>
        <v>0</v>
      </c>
      <c r="AK524" s="287">
        <f>Tabla14[[#This Row],[Cajas por Personas]]</f>
        <v>0</v>
      </c>
      <c r="AL524" s="288">
        <f>Tabla14[[#This Row],[Valor Precorte Pesona]]</f>
        <v>0</v>
      </c>
      <c r="AM524" s="294">
        <f>Tabla14[[#This Row],[Personas Precorte]]</f>
        <v>0</v>
      </c>
      <c r="AN524" s="308">
        <f>Tabla14[[#This Row],[Valor Precorte Pesona Precorte]]*Tabla14[[#This Row],[Perzonas Precorte]]</f>
        <v>0</v>
      </c>
      <c r="AO524" s="287">
        <f>Tabla14[[#This Row],[Cajas por Personas2]]</f>
        <v>12.833333333333334</v>
      </c>
      <c r="AP524" s="288">
        <f>Tabla14[[#This Row],[Valor Embarque Pesona]]</f>
        <v>25666.666666666668</v>
      </c>
      <c r="AQ524" s="295">
        <f>Tabla14[[#This Row],[Personas Precorte2]]</f>
        <v>6</v>
      </c>
      <c r="AR524" s="296">
        <f>Tabla14[[#This Row],[Valor Embarque Pesona3]]*Tabla14[[#This Row],[Perzona Primera]]</f>
        <v>154000</v>
      </c>
      <c r="AS524" s="287">
        <f>Tabla14[[#This Row],[Columna2]]</f>
        <v>0</v>
      </c>
      <c r="AT524" s="288">
        <f>Tabla14[[#This Row],[Columna1]]</f>
        <v>0</v>
      </c>
      <c r="AU524" s="302">
        <f>Tabla14[[#This Row],[Personas Intervienen]]</f>
        <v>0</v>
      </c>
      <c r="AV524" s="297">
        <f>Tabla14[[#This Row],[Valor Embarque Pesona5]]*Tabla14[[#This Row],[Presonas Segunda]]</f>
        <v>0</v>
      </c>
      <c r="AW524" s="287">
        <f>Tabla14[[#This Row],[Bolsas Por Personas]]</f>
        <v>0</v>
      </c>
      <c r="AX524" s="288">
        <f>Tabla14[[#This Row],[Valor bolsas Pesona]]</f>
        <v>0</v>
      </c>
      <c r="AY524" s="309">
        <f>Tabla14[[#This Row],[Personas13]]</f>
        <v>6</v>
      </c>
      <c r="AZ524" s="310">
        <f>Tabla14[[#This Row],[Valor bolsas Pesona2]]*Tabla14[[#This Row],[Personas Rechazo]]</f>
        <v>0</v>
      </c>
      <c r="BA524" s="311">
        <f>+Tabla14[[#This Row],[Total Valor Segunda]]+Tabla14[[#This Row],[Total Valor Primera]]+Tabla14[[#This Row],[Total Valor Precorte]]</f>
        <v>154000</v>
      </c>
      <c r="BB524" s="292">
        <f>Tabla14[[#This Row],[Valor bolsas Pesona2]]+Tabla14[[#This Row],[Valor Embarque Pesona3]]</f>
        <v>25666.666666666668</v>
      </c>
      <c r="BC524" s="332">
        <f>+Tabla14[[#This Row],[VALOR GANADO]]+BB525</f>
        <v>45166.666666666672</v>
      </c>
      <c r="BD524" s="292">
        <f>Tabla14[[#This Row],[VALOR GANADO]]-Tabla14[[#This Row],[REAJUSTADO]]</f>
        <v>-19500.000000000004</v>
      </c>
      <c r="BE524" s="250">
        <f>Tabla14[[#This Row],[CUANTO SE REAJUSTA]]*Tabla14[[#This Row],[Personas Rechazo]]</f>
        <v>-117000.00000000003</v>
      </c>
      <c r="BF524" s="250">
        <f>Tabla14[[#This Row],[REAJUSTADO]]/25000</f>
        <v>1.8066666666666669</v>
      </c>
      <c r="BG524" s="302">
        <f>Tabla14[[#This Row],[REAJUSTADO]]*Tabla14[[#This Row],[Personas Rechazo]]</f>
        <v>271000</v>
      </c>
      <c r="BH524" s="292" t="str">
        <f>Tabla14[[#This Row],[Finca]]</f>
        <v>San Pedro</v>
      </c>
      <c r="BJ524" s="332">
        <f>Tabla14[[#This Row],[Numero de Ocacionales]]*Tabla14[[#This Row],[REAJUSTADO]]</f>
        <v>0</v>
      </c>
      <c r="BK524" s="332"/>
      <c r="BL524" s="332"/>
      <c r="BM524" s="332">
        <f>+Tabla14[[#This Row],[CUANTO SE REAJUSTA]]*3</f>
        <v>-58500.000000000015</v>
      </c>
    </row>
    <row r="525" spans="3:65" x14ac:dyDescent="0.25">
      <c r="C525" s="515">
        <v>45279</v>
      </c>
      <c r="D525" s="549">
        <f>YEAR(Tabla14[[#This Row],[Fecha]])</f>
        <v>2023</v>
      </c>
      <c r="E525" s="518">
        <f>IF(Tabla14[[#This Row],[Fecha]]&gt;0,_xlfn.ISOWEEKNUM(Tabla14[[#This Row],[Fecha]]),0)</f>
        <v>51</v>
      </c>
      <c r="F525" s="269">
        <v>65</v>
      </c>
      <c r="G525" s="275" t="s">
        <v>250</v>
      </c>
      <c r="H525" s="266" t="str">
        <f>_xlfn.XLOOKUP(Tabla14[[#This Row],[Codigo Finca]],Tabla4[Codigo Finca],Tabla4[Nombre Finca],"")</f>
        <v>San Pedro</v>
      </c>
      <c r="I525" s="262">
        <f>_xlfn.XLOOKUP(Tabla14[[#This Row],[Codigo Finca]],Tabla4[Codigo Finca],Tabla4[Precio Caja],0)</f>
        <v>1800</v>
      </c>
      <c r="J525" s="262">
        <f>_xlfn.XLOOKUP(Tabla14[[#This Row],[Codigo Finca]],Tabla4[Codigo Finca],Tabla4[Precio Caja Segunda],0)</f>
        <v>1150</v>
      </c>
      <c r="K525" s="262">
        <f>_xlfn.XLOOKUP(Tabla14[[#This Row],[Codigo Finca]],Tabla4[Codigo Finca],Tabla4[Precio Rechazo],0)</f>
        <v>575</v>
      </c>
      <c r="L525" s="262">
        <f>S525+N525</f>
        <v>0</v>
      </c>
      <c r="M525" s="272">
        <f>IF(F525&gt;0,L525/F525,0)</f>
        <v>0</v>
      </c>
      <c r="N525" s="269"/>
      <c r="O525" s="270"/>
      <c r="P525" s="280">
        <f>IF(N525&gt;0,(N525/M525)/2,0)</f>
        <v>0</v>
      </c>
      <c r="Q525" s="263">
        <f>IF(O525&gt;0,P525/O525,0)</f>
        <v>0</v>
      </c>
      <c r="R525" s="322">
        <f>IF(I525&gt;0,Q525*I525,)</f>
        <v>0</v>
      </c>
      <c r="S525" s="269"/>
      <c r="T525" s="268">
        <v>6</v>
      </c>
      <c r="U525" s="251">
        <f>F525-P525</f>
        <v>65</v>
      </c>
      <c r="V525" s="263">
        <f>IF(T525&gt;0,U525/T525,0)</f>
        <v>10.833333333333334</v>
      </c>
      <c r="W525" s="322">
        <f>IF(T525&gt;0,(U525*I525)/T525,0)</f>
        <v>19500</v>
      </c>
      <c r="X525" s="269"/>
      <c r="Y525" s="268"/>
      <c r="Z525" s="251">
        <f>Tabla14[[#This Row],[Cajas Segunda]]</f>
        <v>0</v>
      </c>
      <c r="AA525" s="263">
        <f>IF(Y525&gt;0,Z525/Y525,0)</f>
        <v>0</v>
      </c>
      <c r="AB525" s="265">
        <f>IF(Y525&gt;0,(Z525*J525)/Y525,0)</f>
        <v>0</v>
      </c>
      <c r="AC525" s="273"/>
      <c r="AD525" s="271"/>
      <c r="AE525" s="271"/>
      <c r="AF525" s="271"/>
      <c r="AG525" s="271"/>
      <c r="AH525" s="251">
        <f>IF(AND(AC525&gt;0,AE525=0,AF525=0,AD525=0),AC525,IF(AND(AC525=0,AE525&gt;0,AF525&gt;0,AD525=0),AE525*AF525/25,IF(AND(AC525=0,AE525=0,AF525=0,AD525&gt;0),AD525/25,0)))</f>
        <v>0</v>
      </c>
      <c r="AI525" s="263">
        <f>IF(AG525&gt;0,AH525/AG525,0)</f>
        <v>0</v>
      </c>
      <c r="AJ525" s="322">
        <f>AI525*K525</f>
        <v>0</v>
      </c>
      <c r="AK525" s="264">
        <f>Tabla14[[#This Row],[Cajas por Personas]]</f>
        <v>0</v>
      </c>
      <c r="AL525" s="267">
        <f>Tabla14[[#This Row],[Valor Precorte Pesona]]</f>
        <v>0</v>
      </c>
      <c r="AM525" s="294">
        <f>Tabla14[[#This Row],[Personas Precorte]]</f>
        <v>0</v>
      </c>
      <c r="AN525" s="308">
        <f>Tabla14[[#This Row],[Valor Precorte Pesona Precorte]]*Tabla14[[#This Row],[Perzonas Precorte]]</f>
        <v>0</v>
      </c>
      <c r="AO525" s="264">
        <f>Tabla14[[#This Row],[Cajas por Personas2]]</f>
        <v>10.833333333333334</v>
      </c>
      <c r="AP525" s="267">
        <f>Tabla14[[#This Row],[Valor Embarque Pesona]]</f>
        <v>19500</v>
      </c>
      <c r="AQ525" s="295">
        <f>Tabla14[[#This Row],[Personas Precorte2]]</f>
        <v>6</v>
      </c>
      <c r="AR525" s="296">
        <f>Tabla14[[#This Row],[Valor Embarque Pesona3]]*Tabla14[[#This Row],[Perzona Primera]]</f>
        <v>117000</v>
      </c>
      <c r="AS525" s="264">
        <f>Tabla14[[#This Row],[Columna2]]</f>
        <v>0</v>
      </c>
      <c r="AT525" s="267">
        <f>Tabla14[[#This Row],[Columna1]]</f>
        <v>0</v>
      </c>
      <c r="AU525" s="302">
        <f>Tabla14[[#This Row],[Personas Intervienen]]</f>
        <v>0</v>
      </c>
      <c r="AV525" s="297">
        <f>Tabla14[[#This Row],[Valor Embarque Pesona5]]*Tabla14[[#This Row],[Presonas Segunda]]</f>
        <v>0</v>
      </c>
      <c r="AW525" s="264">
        <f>Tabla14[[#This Row],[Bolsas Por Personas]]</f>
        <v>0</v>
      </c>
      <c r="AX525" s="267">
        <f>Tabla14[[#This Row],[Valor bolsas Pesona]]</f>
        <v>0</v>
      </c>
      <c r="AY525" s="290">
        <f>Tabla14[[#This Row],[Personas13]]</f>
        <v>0</v>
      </c>
      <c r="AZ525" s="323">
        <f>Tabla14[[#This Row],[Valor bolsas Pesona2]]*Tabla14[[#This Row],[Personas Rechazo]]</f>
        <v>0</v>
      </c>
      <c r="BA525" s="324">
        <f>+Tabla14[[#This Row],[Total Valor Segunda]]+Tabla14[[#This Row],[Total Valor Primera]]+Tabla14[[#This Row],[Total Valor Precorte]]</f>
        <v>117000</v>
      </c>
      <c r="BB525" s="292">
        <f>Tabla14[[#This Row],[Valor bolsas Pesona2]]+Tabla14[[#This Row],[Valor Embarque Pesona3]]</f>
        <v>19500</v>
      </c>
      <c r="BC525" s="332">
        <v>40000</v>
      </c>
      <c r="BD525" s="292">
        <f>Tabla14[[#This Row],[VALOR GANADO]]-Tabla14[[#This Row],[REAJUSTADO]]</f>
        <v>-20500</v>
      </c>
      <c r="BE525" s="250">
        <f>Tabla14[[#This Row],[CUANTO SE REAJUSTA]]*Tabla14[[#This Row],[Personas Rechazo]]</f>
        <v>0</v>
      </c>
      <c r="BF525" s="250">
        <f>Tabla14[[#This Row],[REAJUSTADO]]/25000</f>
        <v>1.6</v>
      </c>
      <c r="BG525" s="302">
        <f>Tabla14[[#This Row],[REAJUSTADO]]*Tabla14[[#This Row],[Personas Rechazo]]</f>
        <v>0</v>
      </c>
      <c r="BH525" s="292" t="str">
        <f>Tabla14[[#This Row],[Finca]]</f>
        <v>San Pedro</v>
      </c>
      <c r="BJ525" s="332">
        <f>Tabla14[[#This Row],[Numero de Ocacionales]]*Tabla14[[#This Row],[REAJUSTADO]]</f>
        <v>0</v>
      </c>
      <c r="BK525" s="332"/>
      <c r="BL525" s="332"/>
      <c r="BM525" s="332">
        <f>+Tabla14[[#This Row],[CUANTO SE REAJUSTA]]*3</f>
        <v>-61500</v>
      </c>
    </row>
    <row r="526" spans="3:65" x14ac:dyDescent="0.25">
      <c r="C526" s="515">
        <v>45279</v>
      </c>
      <c r="D526" s="549">
        <f>YEAR(Tabla14[[#This Row],[Fecha]])</f>
        <v>2023</v>
      </c>
      <c r="E526" s="516">
        <f>IF(Tabla14[[#This Row],[Fecha]]&gt;0,_xlfn.ISOWEEKNUM(Tabla14[[#This Row],[Fecha]]),0)</f>
        <v>51</v>
      </c>
      <c r="F526" s="283">
        <v>20</v>
      </c>
      <c r="G526" s="275" t="s">
        <v>266</v>
      </c>
      <c r="H526" s="325" t="str">
        <f>_xlfn.XLOOKUP(Tabla14[[#This Row],[Codigo Finca]],Tabla4[Codigo Finca],Tabla4[Nombre Finca],"")</f>
        <v>Uveros</v>
      </c>
      <c r="I526" s="277">
        <f>_xlfn.XLOOKUP(Tabla14[[#This Row],[Codigo Finca]],Tabla4[Codigo Finca],Tabla4[Precio Caja],0)</f>
        <v>1800</v>
      </c>
      <c r="J526" s="277">
        <f>_xlfn.XLOOKUP(Tabla14[[#This Row],[Codigo Finca]],Tabla4[Codigo Finca],Tabla4[Precio Caja Segunda],0)</f>
        <v>1150</v>
      </c>
      <c r="K526" s="277">
        <f>_xlfn.XLOOKUP(Tabla14[[#This Row],[Codigo Finca]],Tabla4[Codigo Finca],Tabla4[Precio Rechazo],0)</f>
        <v>575</v>
      </c>
      <c r="L526" s="277">
        <f t="shared" si="529"/>
        <v>0</v>
      </c>
      <c r="M526" s="278">
        <f t="shared" si="530"/>
        <v>0</v>
      </c>
      <c r="N526" s="283"/>
      <c r="O526" s="279"/>
      <c r="P526" s="280">
        <f t="shared" si="531"/>
        <v>0</v>
      </c>
      <c r="Q526" s="281">
        <f t="shared" si="532"/>
        <v>0</v>
      </c>
      <c r="R526" s="282">
        <f t="shared" si="533"/>
        <v>0</v>
      </c>
      <c r="S526" s="283"/>
      <c r="T526" s="275">
        <v>3</v>
      </c>
      <c r="U526" s="280">
        <f t="shared" si="534"/>
        <v>20</v>
      </c>
      <c r="V526" s="281">
        <f t="shared" si="535"/>
        <v>6.666666666666667</v>
      </c>
      <c r="W526" s="282">
        <f t="shared" si="536"/>
        <v>12000</v>
      </c>
      <c r="X526" s="283"/>
      <c r="Y526" s="275"/>
      <c r="Z526" s="280">
        <f>Tabla14[[#This Row],[Cajas Segunda]]</f>
        <v>0</v>
      </c>
      <c r="AA526" s="281">
        <f t="shared" si="537"/>
        <v>0</v>
      </c>
      <c r="AB526" s="284">
        <f t="shared" si="538"/>
        <v>0</v>
      </c>
      <c r="AC526" s="285"/>
      <c r="AD526" s="286">
        <v>1054</v>
      </c>
      <c r="AE526" s="286"/>
      <c r="AF526" s="286"/>
      <c r="AG526" s="286">
        <v>3</v>
      </c>
      <c r="AH526" s="280">
        <f t="shared" si="539"/>
        <v>42.16</v>
      </c>
      <c r="AI526" s="281">
        <f t="shared" si="540"/>
        <v>14.053333333333333</v>
      </c>
      <c r="AJ526" s="282">
        <f t="shared" si="541"/>
        <v>8080.6666666666661</v>
      </c>
      <c r="AK526" s="287">
        <f>Tabla14[[#This Row],[Cajas por Personas]]</f>
        <v>0</v>
      </c>
      <c r="AL526" s="288">
        <f>Tabla14[[#This Row],[Valor Precorte Pesona]]</f>
        <v>0</v>
      </c>
      <c r="AM526" s="294">
        <f>Tabla14[[#This Row],[Personas Precorte]]</f>
        <v>0</v>
      </c>
      <c r="AN526" s="308">
        <f>Tabla14[[#This Row],[Valor Precorte Pesona Precorte]]*Tabla14[[#This Row],[Perzonas Precorte]]</f>
        <v>0</v>
      </c>
      <c r="AO526" s="287">
        <f>Tabla14[[#This Row],[Cajas por Personas2]]</f>
        <v>6.666666666666667</v>
      </c>
      <c r="AP526" s="288">
        <f>Tabla14[[#This Row],[Valor Embarque Pesona]]</f>
        <v>12000</v>
      </c>
      <c r="AQ526" s="295">
        <f>Tabla14[[#This Row],[Personas Precorte2]]</f>
        <v>3</v>
      </c>
      <c r="AR526" s="296">
        <f>Tabla14[[#This Row],[Valor Embarque Pesona3]]*Tabla14[[#This Row],[Perzona Primera]]</f>
        <v>36000</v>
      </c>
      <c r="AS526" s="287">
        <f>Tabla14[[#This Row],[Columna2]]</f>
        <v>0</v>
      </c>
      <c r="AT526" s="288">
        <f>Tabla14[[#This Row],[Columna1]]</f>
        <v>0</v>
      </c>
      <c r="AU526" s="302">
        <f>Tabla14[[#This Row],[Personas Intervienen]]</f>
        <v>0</v>
      </c>
      <c r="AV526" s="297">
        <f>Tabla14[[#This Row],[Valor Embarque Pesona5]]*Tabla14[[#This Row],[Presonas Segunda]]</f>
        <v>0</v>
      </c>
      <c r="AW526" s="287">
        <f>Tabla14[[#This Row],[Bolsas Por Personas]]</f>
        <v>14.053333333333333</v>
      </c>
      <c r="AX526" s="288">
        <f>Tabla14[[#This Row],[Valor bolsas Pesona]]</f>
        <v>8080.6666666666661</v>
      </c>
      <c r="AY526" s="309">
        <f>Tabla14[[#This Row],[Personas13]]</f>
        <v>3</v>
      </c>
      <c r="AZ526" s="310">
        <f>Tabla14[[#This Row],[Valor bolsas Pesona2]]*Tabla14[[#This Row],[Personas Rechazo]]</f>
        <v>24242</v>
      </c>
      <c r="BA526" s="311">
        <f>+Tabla14[[#This Row],[Total Valor Segunda]]+Tabla14[[#This Row],[Total Valor Primera]]+Tabla14[[#This Row],[Total Valor Precorte]]</f>
        <v>36000</v>
      </c>
      <c r="BB526" s="292">
        <f>Tabla14[[#This Row],[Valor bolsas Pesona2]]+Tabla14[[#This Row],[Valor Embarque Pesona3]]</f>
        <v>20080.666666666664</v>
      </c>
      <c r="BC526" s="332">
        <v>40000</v>
      </c>
      <c r="BD526" s="292">
        <f>Tabla14[[#This Row],[VALOR GANADO]]-Tabla14[[#This Row],[REAJUSTADO]]</f>
        <v>-19919.333333333336</v>
      </c>
      <c r="BE526" s="250">
        <f>Tabla14[[#This Row],[CUANTO SE REAJUSTA]]*Tabla14[[#This Row],[Personas Rechazo]]</f>
        <v>-59758.000000000007</v>
      </c>
      <c r="BF526" s="250">
        <f>Tabla14[[#This Row],[REAJUSTADO]]/25000</f>
        <v>1.6</v>
      </c>
      <c r="BG526" s="302">
        <f>Tabla14[[#This Row],[REAJUSTADO]]*Tabla14[[#This Row],[Personas Rechazo]]</f>
        <v>120000</v>
      </c>
      <c r="BH526" s="292" t="str">
        <f>Tabla14[[#This Row],[Finca]]</f>
        <v>Uveros</v>
      </c>
      <c r="BJ526" s="332">
        <f>Tabla14[[#This Row],[Numero de Ocacionales]]*Tabla14[[#This Row],[REAJUSTADO]]</f>
        <v>0</v>
      </c>
      <c r="BK526" s="332"/>
      <c r="BL526" s="332"/>
      <c r="BM526" s="332">
        <f>+Tabla14[[#This Row],[CUANTO SE REAJUSTA]]*3</f>
        <v>-59758.000000000007</v>
      </c>
    </row>
    <row r="527" spans="3:65" x14ac:dyDescent="0.25">
      <c r="C527" s="515">
        <v>45279</v>
      </c>
      <c r="D527" s="549">
        <f>YEAR(Tabla14[[#This Row],[Fecha]])</f>
        <v>2023</v>
      </c>
      <c r="E527" s="516">
        <f>IF(Tabla14[[#This Row],[Fecha]]&gt;0,_xlfn.ISOWEEKNUM(Tabla14[[#This Row],[Fecha]]),0)</f>
        <v>51</v>
      </c>
      <c r="F527" s="283">
        <v>20</v>
      </c>
      <c r="G527" s="275" t="s">
        <v>251</v>
      </c>
      <c r="H527" s="325" t="str">
        <f>_xlfn.XLOOKUP(Tabla14[[#This Row],[Codigo Finca]],Tabla4[Codigo Finca],Tabla4[Nombre Finca],"")</f>
        <v>Pedrito</v>
      </c>
      <c r="I527" s="277">
        <f>_xlfn.XLOOKUP(Tabla14[[#This Row],[Codigo Finca]],Tabla4[Codigo Finca],Tabla4[Precio Caja],0)</f>
        <v>1800</v>
      </c>
      <c r="J527" s="277">
        <f>_xlfn.XLOOKUP(Tabla14[[#This Row],[Codigo Finca]],Tabla4[Codigo Finca],Tabla4[Precio Caja Segunda],0)</f>
        <v>1150</v>
      </c>
      <c r="K527" s="277">
        <f>_xlfn.XLOOKUP(Tabla14[[#This Row],[Codigo Finca]],Tabla4[Codigo Finca],Tabla4[Precio Rechazo],0)</f>
        <v>575</v>
      </c>
      <c r="L527" s="277">
        <f t="shared" si="529"/>
        <v>889</v>
      </c>
      <c r="M527" s="278">
        <f t="shared" si="530"/>
        <v>44.45</v>
      </c>
      <c r="N527" s="283"/>
      <c r="O527" s="279"/>
      <c r="P527" s="280">
        <f t="shared" si="531"/>
        <v>0</v>
      </c>
      <c r="Q527" s="281">
        <f t="shared" si="532"/>
        <v>0</v>
      </c>
      <c r="R527" s="282">
        <f t="shared" si="533"/>
        <v>0</v>
      </c>
      <c r="S527" s="283">
        <v>889</v>
      </c>
      <c r="T527" s="275">
        <v>12</v>
      </c>
      <c r="U527" s="280">
        <f t="shared" si="534"/>
        <v>20</v>
      </c>
      <c r="V527" s="281">
        <f t="shared" si="535"/>
        <v>1.6666666666666667</v>
      </c>
      <c r="W527" s="282">
        <f t="shared" si="536"/>
        <v>3000</v>
      </c>
      <c r="X527" s="283"/>
      <c r="Y527" s="275"/>
      <c r="Z527" s="280">
        <f>Tabla14[[#This Row],[Cajas Segunda]]</f>
        <v>0</v>
      </c>
      <c r="AA527" s="281">
        <f t="shared" si="537"/>
        <v>0</v>
      </c>
      <c r="AB527" s="284">
        <f t="shared" si="538"/>
        <v>0</v>
      </c>
      <c r="AC527" s="285"/>
      <c r="AD527" s="286">
        <v>4841</v>
      </c>
      <c r="AE527" s="286"/>
      <c r="AF527" s="286"/>
      <c r="AG527" s="286">
        <v>12</v>
      </c>
      <c r="AH527" s="280">
        <f t="shared" si="539"/>
        <v>193.64</v>
      </c>
      <c r="AI527" s="281">
        <f t="shared" si="540"/>
        <v>16.136666666666667</v>
      </c>
      <c r="AJ527" s="282">
        <f t="shared" si="541"/>
        <v>9278.5833333333339</v>
      </c>
      <c r="AK527" s="287">
        <f>Tabla14[[#This Row],[Cajas por Personas]]</f>
        <v>0</v>
      </c>
      <c r="AL527" s="288">
        <f>Tabla14[[#This Row],[Valor Precorte Pesona]]</f>
        <v>0</v>
      </c>
      <c r="AM527" s="294">
        <f>Tabla14[[#This Row],[Personas Precorte]]</f>
        <v>0</v>
      </c>
      <c r="AN527" s="308">
        <f>Tabla14[[#This Row],[Valor Precorte Pesona Precorte]]*Tabla14[[#This Row],[Perzonas Precorte]]</f>
        <v>0</v>
      </c>
      <c r="AO527" s="287">
        <f>Tabla14[[#This Row],[Cajas por Personas2]]</f>
        <v>1.6666666666666667</v>
      </c>
      <c r="AP527" s="288">
        <f>Tabla14[[#This Row],[Valor Embarque Pesona]]</f>
        <v>3000</v>
      </c>
      <c r="AQ527" s="295">
        <f>Tabla14[[#This Row],[Personas Precorte2]]</f>
        <v>12</v>
      </c>
      <c r="AR527" s="296">
        <f>Tabla14[[#This Row],[Valor Embarque Pesona3]]*Tabla14[[#This Row],[Perzona Primera]]</f>
        <v>36000</v>
      </c>
      <c r="AS527" s="287">
        <f>Tabla14[[#This Row],[Columna2]]</f>
        <v>0</v>
      </c>
      <c r="AT527" s="288">
        <f>Tabla14[[#This Row],[Columna1]]</f>
        <v>0</v>
      </c>
      <c r="AU527" s="302"/>
      <c r="AV527" s="297">
        <f>Tabla14[[#This Row],[Valor Embarque Pesona5]]*Tabla14[[#This Row],[Presonas Segunda]]</f>
        <v>0</v>
      </c>
      <c r="AW527" s="287">
        <f>Tabla14[[#This Row],[Bolsas Por Personas]]</f>
        <v>16.136666666666667</v>
      </c>
      <c r="AX527" s="288">
        <f>Tabla14[[#This Row],[Valor bolsas Pesona]]</f>
        <v>9278.5833333333339</v>
      </c>
      <c r="AY527" s="309">
        <f>Tabla14[[#This Row],[Personas13]]</f>
        <v>12</v>
      </c>
      <c r="AZ527" s="310">
        <f>Tabla14[[#This Row],[Valor bolsas Pesona2]]*Tabla14[[#This Row],[Personas Rechazo]]</f>
        <v>111343</v>
      </c>
      <c r="BA527" s="311">
        <f>+Tabla14[[#This Row],[Total Valor Segunda]]+Tabla14[[#This Row],[Total Valor Primera]]+Tabla14[[#This Row],[Total Valor Precorte]]</f>
        <v>36000</v>
      </c>
      <c r="BB527" s="292">
        <f>Tabla14[[#This Row],[Valor bolsas Pesona2]]+Tabla14[[#This Row],[Valor Embarque Pesona3]]</f>
        <v>12278.583333333334</v>
      </c>
      <c r="BC527" s="332">
        <v>40000</v>
      </c>
      <c r="BD527" s="292">
        <f>Tabla14[[#This Row],[VALOR GANADO]]-Tabla14[[#This Row],[REAJUSTADO]]</f>
        <v>-27721.416666666664</v>
      </c>
      <c r="BE527" s="250">
        <f>Tabla14[[#This Row],[CUANTO SE REAJUSTA]]*Tabla14[[#This Row],[Personas Rechazo]]</f>
        <v>-332657</v>
      </c>
      <c r="BF527" s="250">
        <f>Tabla14[[#This Row],[REAJUSTADO]]/25000</f>
        <v>1.6</v>
      </c>
      <c r="BG527" s="302">
        <f>Tabla14[[#This Row],[REAJUSTADO]]*Tabla14[[#This Row],[Personas Rechazo]]</f>
        <v>480000</v>
      </c>
      <c r="BH527" s="292" t="str">
        <f>Tabla14[[#This Row],[Finca]]</f>
        <v>Pedrito</v>
      </c>
      <c r="BJ527" s="332">
        <f>Tabla14[[#This Row],[Numero de Ocacionales]]*Tabla14[[#This Row],[REAJUSTADO]]</f>
        <v>0</v>
      </c>
      <c r="BK527" s="332"/>
      <c r="BL527" s="332"/>
      <c r="BM527" s="332">
        <f>+Tabla14[[#This Row],[CUANTO SE REAJUSTA]]*3</f>
        <v>-83164.25</v>
      </c>
    </row>
    <row r="528" spans="3:65" x14ac:dyDescent="0.25">
      <c r="C528" s="515">
        <v>45286</v>
      </c>
      <c r="D528" s="549">
        <f>YEAR(Tabla14[[#This Row],[Fecha]])</f>
        <v>2023</v>
      </c>
      <c r="E528" s="516">
        <f>IF(Tabla14[[#This Row],[Fecha]]&gt;0,_xlfn.ISOWEEKNUM(Tabla14[[#This Row],[Fecha]]),0)</f>
        <v>52</v>
      </c>
      <c r="F528" s="283">
        <v>347</v>
      </c>
      <c r="G528" s="275" t="s">
        <v>250</v>
      </c>
      <c r="H528" s="325" t="str">
        <f>_xlfn.XLOOKUP(Tabla14[[#This Row],[Codigo Finca]],Tabla4[Codigo Finca],Tabla4[Nombre Finca],"")</f>
        <v>San Pedro</v>
      </c>
      <c r="I528" s="277">
        <f>_xlfn.XLOOKUP(Tabla14[[#This Row],[Codigo Finca]],Tabla4[Codigo Finca],Tabla4[Precio Caja],0)</f>
        <v>1800</v>
      </c>
      <c r="J528" s="277">
        <f>_xlfn.XLOOKUP(Tabla14[[#This Row],[Codigo Finca]],Tabla4[Codigo Finca],Tabla4[Precio Caja Segunda],0)</f>
        <v>1150</v>
      </c>
      <c r="K528" s="277">
        <f>_xlfn.XLOOKUP(Tabla14[[#This Row],[Codigo Finca]],Tabla4[Codigo Finca],Tabla4[Precio Rechazo],0)</f>
        <v>575</v>
      </c>
      <c r="L528" s="277">
        <f t="shared" ref="L528:L532" si="542">S528+N528</f>
        <v>1218</v>
      </c>
      <c r="M528" s="278">
        <f t="shared" ref="M528:M532" si="543">IF(F528&gt;0,L528/F528,0)</f>
        <v>3.5100864553314119</v>
      </c>
      <c r="N528" s="283"/>
      <c r="O528" s="279"/>
      <c r="P528" s="280">
        <f t="shared" ref="P528:P532" si="544">IF(N528&gt;0,(N528/M528)/2,0)</f>
        <v>0</v>
      </c>
      <c r="Q528" s="281">
        <f t="shared" ref="Q528:Q532" si="545">IF(O528&gt;0,P528/O528,0)</f>
        <v>0</v>
      </c>
      <c r="R528" s="282">
        <f t="shared" ref="R528:R532" si="546">IF(I528&gt;0,Q528*I528,)</f>
        <v>0</v>
      </c>
      <c r="S528" s="283">
        <v>1218</v>
      </c>
      <c r="T528" s="275">
        <v>20</v>
      </c>
      <c r="U528" s="280">
        <f t="shared" ref="U528:U532" si="547">F528-P528</f>
        <v>347</v>
      </c>
      <c r="V528" s="281">
        <f t="shared" ref="V528:V532" si="548">IF(T528&gt;0,U528/T528,0)</f>
        <v>17.350000000000001</v>
      </c>
      <c r="W528" s="282">
        <f t="shared" ref="W528:W532" si="549">IF(T528&gt;0,(U528*I528)/T528,0)</f>
        <v>31230</v>
      </c>
      <c r="X528" s="283"/>
      <c r="Y528" s="275"/>
      <c r="Z528" s="280">
        <f>Tabla14[[#This Row],[Cajas Segunda]]</f>
        <v>0</v>
      </c>
      <c r="AA528" s="281">
        <f t="shared" ref="AA528:AA532" si="550">IF(Y528&gt;0,Z528/Y528,0)</f>
        <v>0</v>
      </c>
      <c r="AB528" s="284">
        <f t="shared" ref="AB528:AB532" si="551">IF(Y528&gt;0,(Z528*J528)/Y528,0)</f>
        <v>0</v>
      </c>
      <c r="AC528" s="285">
        <v>64</v>
      </c>
      <c r="AD528" s="286"/>
      <c r="AE528" s="286"/>
      <c r="AF528" s="286"/>
      <c r="AG528" s="286">
        <v>20</v>
      </c>
      <c r="AH528" s="280">
        <f t="shared" ref="AH528:AH532" si="552">IF(AND(AC528&gt;0,AE528=0,AF528=0,AD528=0),AC528,IF(AND(AC528=0,AE528&gt;0,AF528&gt;0,AD528=0),AE528*AF528/25,IF(AND(AC528=0,AE528=0,AF528=0,AD528&gt;0),AD528/25,0)))</f>
        <v>64</v>
      </c>
      <c r="AI528" s="281">
        <f t="shared" ref="AI528:AI532" si="553">IF(AG528&gt;0,AH528/AG528,0)</f>
        <v>3.2</v>
      </c>
      <c r="AJ528" s="282">
        <f t="shared" ref="AJ528:AJ532" si="554">AI528*K528</f>
        <v>1840</v>
      </c>
      <c r="AK528" s="287">
        <f>Tabla14[[#This Row],[Cajas por Personas]]</f>
        <v>0</v>
      </c>
      <c r="AL528" s="288">
        <f>Tabla14[[#This Row],[Valor Precorte Pesona]]</f>
        <v>0</v>
      </c>
      <c r="AM528" s="294">
        <f>Tabla14[[#This Row],[Personas Precorte]]</f>
        <v>0</v>
      </c>
      <c r="AN528" s="308">
        <f>Tabla14[[#This Row],[Valor Precorte Pesona Precorte]]*Tabla14[[#This Row],[Perzonas Precorte]]</f>
        <v>0</v>
      </c>
      <c r="AO528" s="287">
        <f>Tabla14[[#This Row],[Cajas por Personas2]]</f>
        <v>17.350000000000001</v>
      </c>
      <c r="AP528" s="288">
        <f>Tabla14[[#This Row],[Valor Embarque Pesona]]</f>
        <v>31230</v>
      </c>
      <c r="AQ528" s="295">
        <f>Tabla14[[#This Row],[Personas Precorte2]]</f>
        <v>20</v>
      </c>
      <c r="AR528" s="296">
        <f>Tabla14[[#This Row],[Valor Embarque Pesona3]]*Tabla14[[#This Row],[Perzona Primera]]</f>
        <v>624600</v>
      </c>
      <c r="AS528" s="287">
        <f>Tabla14[[#This Row],[Columna2]]</f>
        <v>0</v>
      </c>
      <c r="AT528" s="288">
        <f>Tabla14[[#This Row],[Columna1]]</f>
        <v>0</v>
      </c>
      <c r="AU528" s="302">
        <f>Tabla14[[#This Row],[Personas Intervienen]]</f>
        <v>0</v>
      </c>
      <c r="AV528" s="297">
        <f>Tabla14[[#This Row],[Valor Embarque Pesona5]]*Tabla14[[#This Row],[Presonas Segunda]]</f>
        <v>0</v>
      </c>
      <c r="AW528" s="287">
        <f>Tabla14[[#This Row],[Bolsas Por Personas]]</f>
        <v>3.2</v>
      </c>
      <c r="AX528" s="288">
        <f>Tabla14[[#This Row],[Valor bolsas Pesona]]</f>
        <v>1840</v>
      </c>
      <c r="AY528" s="309">
        <f>Tabla14[[#This Row],[Personas13]]</f>
        <v>20</v>
      </c>
      <c r="AZ528" s="310">
        <f>Tabla14[[#This Row],[Valor bolsas Pesona2]]*Tabla14[[#This Row],[Personas Rechazo]]</f>
        <v>36800</v>
      </c>
      <c r="BA528" s="311">
        <f>+Tabla14[[#This Row],[Total Valor Segunda]]+Tabla14[[#This Row],[Total Valor Primera]]+Tabla14[[#This Row],[Total Valor Precorte]]</f>
        <v>624600</v>
      </c>
      <c r="BB528" s="292">
        <f>Tabla14[[#This Row],[Valor bolsas Pesona2]]+Tabla14[[#This Row],[Valor Embarque Pesona3]]</f>
        <v>33070</v>
      </c>
      <c r="BC528" s="332">
        <v>45000</v>
      </c>
      <c r="BD528" s="292">
        <f>Tabla14[[#This Row],[VALOR GANADO]]-Tabla14[[#This Row],[REAJUSTADO]]</f>
        <v>-11930</v>
      </c>
      <c r="BE528" s="250">
        <f>Tabla14[[#This Row],[CUANTO SE REAJUSTA]]*Tabla14[[#This Row],[Personas Rechazo]]</f>
        <v>-238600</v>
      </c>
      <c r="BF528" s="250">
        <f>Tabla14[[#This Row],[REAJUSTADO]]/25000</f>
        <v>1.8</v>
      </c>
      <c r="BG528" s="302">
        <f>Tabla14[[#This Row],[REAJUSTADO]]*Tabla14[[#This Row],[Personas Rechazo]]</f>
        <v>900000</v>
      </c>
      <c r="BH528" s="292" t="str">
        <f>Tabla14[[#This Row],[Finca]]</f>
        <v>San Pedro</v>
      </c>
      <c r="BJ528" s="332">
        <f>Tabla14[[#This Row],[Numero de Ocacionales]]*Tabla14[[#This Row],[REAJUSTADO]]</f>
        <v>0</v>
      </c>
      <c r="BK528" s="332"/>
      <c r="BL528" s="332"/>
      <c r="BM528" s="332">
        <f>+Tabla14[[#This Row],[CUANTO SE REAJUSTA]]*3</f>
        <v>-35790</v>
      </c>
    </row>
    <row r="529" spans="3:65" x14ac:dyDescent="0.25">
      <c r="C529" s="515">
        <v>45287</v>
      </c>
      <c r="D529" s="549">
        <f>YEAR(Tabla14[[#This Row],[Fecha]])</f>
        <v>2023</v>
      </c>
      <c r="E529" s="516">
        <f>IF(Tabla14[[#This Row],[Fecha]]&gt;0,_xlfn.ISOWEEKNUM(Tabla14[[#This Row],[Fecha]]),0)</f>
        <v>52</v>
      </c>
      <c r="F529" s="283">
        <v>39</v>
      </c>
      <c r="G529" s="275" t="s">
        <v>249</v>
      </c>
      <c r="H529" s="325" t="str">
        <f>_xlfn.XLOOKUP(Tabla14[[#This Row],[Codigo Finca]],Tabla4[Codigo Finca],Tabla4[Nombre Finca],"")</f>
        <v>San Pedro</v>
      </c>
      <c r="I529" s="277">
        <f>_xlfn.XLOOKUP(Tabla14[[#This Row],[Codigo Finca]],Tabla4[Codigo Finca],Tabla4[Precio Caja],0)</f>
        <v>2000</v>
      </c>
      <c r="J529" s="277">
        <f>_xlfn.XLOOKUP(Tabla14[[#This Row],[Codigo Finca]],Tabla4[Codigo Finca],Tabla4[Precio Caja Segunda],0)</f>
        <v>1150</v>
      </c>
      <c r="K529" s="277">
        <f>_xlfn.XLOOKUP(Tabla14[[#This Row],[Codigo Finca]],Tabla4[Codigo Finca],Tabla4[Precio Rechazo],0)</f>
        <v>675</v>
      </c>
      <c r="L529" s="277">
        <f t="shared" si="542"/>
        <v>0</v>
      </c>
      <c r="M529" s="278">
        <f t="shared" si="543"/>
        <v>0</v>
      </c>
      <c r="N529" s="283"/>
      <c r="O529" s="279"/>
      <c r="P529" s="280">
        <f t="shared" si="544"/>
        <v>0</v>
      </c>
      <c r="Q529" s="281">
        <f t="shared" si="545"/>
        <v>0</v>
      </c>
      <c r="R529" s="282">
        <f t="shared" si="546"/>
        <v>0</v>
      </c>
      <c r="S529" s="283"/>
      <c r="T529" s="275">
        <v>7</v>
      </c>
      <c r="U529" s="280">
        <f t="shared" si="547"/>
        <v>39</v>
      </c>
      <c r="V529" s="281">
        <f t="shared" si="548"/>
        <v>5.5714285714285712</v>
      </c>
      <c r="W529" s="282">
        <f t="shared" si="549"/>
        <v>11142.857142857143</v>
      </c>
      <c r="X529" s="283"/>
      <c r="Y529" s="275"/>
      <c r="Z529" s="280">
        <f>Tabla14[[#This Row],[Cajas Segunda]]</f>
        <v>0</v>
      </c>
      <c r="AA529" s="281">
        <f t="shared" si="550"/>
        <v>0</v>
      </c>
      <c r="AB529" s="284">
        <f t="shared" si="551"/>
        <v>0</v>
      </c>
      <c r="AC529" s="285"/>
      <c r="AD529" s="286"/>
      <c r="AE529" s="286"/>
      <c r="AF529" s="286"/>
      <c r="AG529" s="286"/>
      <c r="AH529" s="280">
        <f t="shared" si="552"/>
        <v>0</v>
      </c>
      <c r="AI529" s="281">
        <f t="shared" si="553"/>
        <v>0</v>
      </c>
      <c r="AJ529" s="282">
        <f t="shared" si="554"/>
        <v>0</v>
      </c>
      <c r="AK529" s="287">
        <f>Tabla14[[#This Row],[Cajas por Personas]]</f>
        <v>0</v>
      </c>
      <c r="AL529" s="288">
        <f>Tabla14[[#This Row],[Valor Precorte Pesona]]</f>
        <v>0</v>
      </c>
      <c r="AM529" s="294">
        <f>Tabla14[[#This Row],[Personas Precorte]]</f>
        <v>0</v>
      </c>
      <c r="AN529" s="308">
        <f>Tabla14[[#This Row],[Valor Precorte Pesona Precorte]]*Tabla14[[#This Row],[Perzonas Precorte]]</f>
        <v>0</v>
      </c>
      <c r="AO529" s="287">
        <f>Tabla14[[#This Row],[Cajas por Personas2]]</f>
        <v>5.5714285714285712</v>
      </c>
      <c r="AP529" s="288">
        <f>Tabla14[[#This Row],[Valor Embarque Pesona]]</f>
        <v>11142.857142857143</v>
      </c>
      <c r="AQ529" s="295">
        <f>Tabla14[[#This Row],[Personas Precorte2]]</f>
        <v>7</v>
      </c>
      <c r="AR529" s="296">
        <f>Tabla14[[#This Row],[Valor Embarque Pesona3]]*Tabla14[[#This Row],[Perzona Primera]]</f>
        <v>78000</v>
      </c>
      <c r="AS529" s="287">
        <f>Tabla14[[#This Row],[Columna2]]</f>
        <v>0</v>
      </c>
      <c r="AT529" s="288">
        <f>Tabla14[[#This Row],[Columna1]]</f>
        <v>0</v>
      </c>
      <c r="AU529" s="302">
        <f>Tabla14[[#This Row],[Personas Intervienen]]</f>
        <v>0</v>
      </c>
      <c r="AV529" s="297">
        <f>Tabla14[[#This Row],[Valor Embarque Pesona5]]*Tabla14[[#This Row],[Presonas Segunda]]</f>
        <v>0</v>
      </c>
      <c r="AW529" s="287">
        <f>Tabla14[[#This Row],[Bolsas Por Personas]]</f>
        <v>0</v>
      </c>
      <c r="AX529" s="288">
        <f>Tabla14[[#This Row],[Valor bolsas Pesona]]</f>
        <v>0</v>
      </c>
      <c r="AY529" s="309">
        <f>Tabla14[[#This Row],[Personas13]]</f>
        <v>0</v>
      </c>
      <c r="AZ529" s="310">
        <f>Tabla14[[#This Row],[Valor bolsas Pesona2]]*Tabla14[[#This Row],[Personas Rechazo]]</f>
        <v>0</v>
      </c>
      <c r="BA529" s="311">
        <f>+Tabla14[[#This Row],[Total Valor Segunda]]+Tabla14[[#This Row],[Total Valor Primera]]+Tabla14[[#This Row],[Total Valor Precorte]]</f>
        <v>78000</v>
      </c>
      <c r="BB529" s="292">
        <f>Tabla14[[#This Row],[Valor bolsas Pesona2]]+Tabla14[[#This Row],[Valor Embarque Pesona3]]</f>
        <v>11142.857142857143</v>
      </c>
      <c r="BD529" s="292">
        <f>Tabla14[[#This Row],[VALOR GANADO]]-Tabla14[[#This Row],[REAJUSTADO]]</f>
        <v>11142.857142857143</v>
      </c>
      <c r="BE529" s="250">
        <f>Tabla14[[#This Row],[CUANTO SE REAJUSTA]]*Tabla14[[#This Row],[Personas Rechazo]]</f>
        <v>0</v>
      </c>
      <c r="BF529" s="250">
        <f>Tabla14[[#This Row],[REAJUSTADO]]/25000</f>
        <v>0</v>
      </c>
      <c r="BG529" s="302">
        <f>Tabla14[[#This Row],[REAJUSTADO]]*Tabla14[[#This Row],[Personas Rechazo]]</f>
        <v>0</v>
      </c>
      <c r="BH529" s="292" t="str">
        <f>Tabla14[[#This Row],[Finca]]</f>
        <v>San Pedro</v>
      </c>
      <c r="BJ529" s="332">
        <f>Tabla14[[#This Row],[Numero de Ocacionales]]*Tabla14[[#This Row],[REAJUSTADO]]</f>
        <v>0</v>
      </c>
      <c r="BK529" s="332"/>
      <c r="BL529" s="332"/>
      <c r="BM529" s="332">
        <f>+Tabla14[[#This Row],[CUANTO SE REAJUSTA]]*3</f>
        <v>33428.571428571428</v>
      </c>
    </row>
    <row r="530" spans="3:65" x14ac:dyDescent="0.25">
      <c r="C530" s="515">
        <v>45287</v>
      </c>
      <c r="D530" s="549">
        <f>YEAR(Tabla14[[#This Row],[Fecha]])</f>
        <v>2023</v>
      </c>
      <c r="E530" s="516">
        <f>IF(Tabla14[[#This Row],[Fecha]]&gt;0,_xlfn.ISOWEEKNUM(Tabla14[[#This Row],[Fecha]]),0)</f>
        <v>52</v>
      </c>
      <c r="F530" s="283">
        <f>100-39</f>
        <v>61</v>
      </c>
      <c r="G530" s="275" t="s">
        <v>250</v>
      </c>
      <c r="H530" s="325" t="str">
        <f>_xlfn.XLOOKUP(Tabla14[[#This Row],[Codigo Finca]],Tabla4[Codigo Finca],Tabla4[Nombre Finca],"")</f>
        <v>San Pedro</v>
      </c>
      <c r="I530" s="277">
        <f>_xlfn.XLOOKUP(Tabla14[[#This Row],[Codigo Finca]],Tabla4[Codigo Finca],Tabla4[Precio Caja],0)</f>
        <v>1800</v>
      </c>
      <c r="J530" s="277">
        <f>_xlfn.XLOOKUP(Tabla14[[#This Row],[Codigo Finca]],Tabla4[Codigo Finca],Tabla4[Precio Caja Segunda],0)</f>
        <v>1150</v>
      </c>
      <c r="K530" s="277">
        <f>_xlfn.XLOOKUP(Tabla14[[#This Row],[Codigo Finca]],Tabla4[Codigo Finca],Tabla4[Precio Rechazo],0)</f>
        <v>575</v>
      </c>
      <c r="L530" s="277">
        <f t="shared" si="542"/>
        <v>0</v>
      </c>
      <c r="M530" s="278">
        <f t="shared" si="543"/>
        <v>0</v>
      </c>
      <c r="N530" s="283"/>
      <c r="O530" s="279"/>
      <c r="P530" s="280">
        <f t="shared" si="544"/>
        <v>0</v>
      </c>
      <c r="Q530" s="281">
        <f t="shared" si="545"/>
        <v>0</v>
      </c>
      <c r="R530" s="282">
        <f t="shared" si="546"/>
        <v>0</v>
      </c>
      <c r="S530" s="283"/>
      <c r="T530" s="275">
        <v>7</v>
      </c>
      <c r="U530" s="280">
        <f t="shared" si="547"/>
        <v>61</v>
      </c>
      <c r="V530" s="281">
        <f t="shared" si="548"/>
        <v>8.7142857142857135</v>
      </c>
      <c r="W530" s="282">
        <f t="shared" si="549"/>
        <v>15685.714285714286</v>
      </c>
      <c r="X530" s="283"/>
      <c r="Y530" s="275"/>
      <c r="Z530" s="280">
        <f>Tabla14[[#This Row],[Cajas Segunda]]</f>
        <v>0</v>
      </c>
      <c r="AA530" s="281">
        <f t="shared" si="550"/>
        <v>0</v>
      </c>
      <c r="AB530" s="284">
        <f t="shared" si="551"/>
        <v>0</v>
      </c>
      <c r="AC530" s="285">
        <v>23</v>
      </c>
      <c r="AD530" s="286"/>
      <c r="AE530" s="286"/>
      <c r="AF530" s="286"/>
      <c r="AG530" s="286">
        <v>7</v>
      </c>
      <c r="AH530" s="280">
        <f t="shared" si="552"/>
        <v>23</v>
      </c>
      <c r="AI530" s="281">
        <f t="shared" si="553"/>
        <v>3.2857142857142856</v>
      </c>
      <c r="AJ530" s="282">
        <f t="shared" si="554"/>
        <v>1889.2857142857142</v>
      </c>
      <c r="AK530" s="287">
        <f>Tabla14[[#This Row],[Cajas por Personas]]</f>
        <v>0</v>
      </c>
      <c r="AL530" s="288">
        <f>Tabla14[[#This Row],[Valor Precorte Pesona]]</f>
        <v>0</v>
      </c>
      <c r="AM530" s="294">
        <f>Tabla14[[#This Row],[Personas Precorte]]</f>
        <v>0</v>
      </c>
      <c r="AN530" s="308">
        <f>Tabla14[[#This Row],[Valor Precorte Pesona Precorte]]*Tabla14[[#This Row],[Perzonas Precorte]]</f>
        <v>0</v>
      </c>
      <c r="AO530" s="287">
        <f>Tabla14[[#This Row],[Cajas por Personas2]]</f>
        <v>8.7142857142857135</v>
      </c>
      <c r="AP530" s="288">
        <f>Tabla14[[#This Row],[Valor Embarque Pesona]]</f>
        <v>15685.714285714286</v>
      </c>
      <c r="AQ530" s="295">
        <f>Tabla14[[#This Row],[Personas Precorte2]]</f>
        <v>7</v>
      </c>
      <c r="AR530" s="296">
        <f>Tabla14[[#This Row],[Valor Embarque Pesona3]]*Tabla14[[#This Row],[Perzona Primera]]</f>
        <v>109800</v>
      </c>
      <c r="AS530" s="287">
        <f>Tabla14[[#This Row],[Columna2]]</f>
        <v>0</v>
      </c>
      <c r="AT530" s="288">
        <f>Tabla14[[#This Row],[Columna1]]</f>
        <v>0</v>
      </c>
      <c r="AU530" s="302">
        <f>Tabla14[[#This Row],[Personas Intervienen]]</f>
        <v>0</v>
      </c>
      <c r="AV530" s="297">
        <f>Tabla14[[#This Row],[Valor Embarque Pesona5]]*Tabla14[[#This Row],[Presonas Segunda]]</f>
        <v>0</v>
      </c>
      <c r="AW530" s="287">
        <f>Tabla14[[#This Row],[Bolsas Por Personas]]</f>
        <v>3.2857142857142856</v>
      </c>
      <c r="AX530" s="288">
        <f>Tabla14[[#This Row],[Valor bolsas Pesona]]</f>
        <v>1889.2857142857142</v>
      </c>
      <c r="AY530" s="309">
        <f>Tabla14[[#This Row],[Personas13]]</f>
        <v>7</v>
      </c>
      <c r="AZ530" s="310">
        <f>Tabla14[[#This Row],[Valor bolsas Pesona2]]*Tabla14[[#This Row],[Personas Rechazo]]</f>
        <v>13225</v>
      </c>
      <c r="BA530" s="311">
        <f>+Tabla14[[#This Row],[Total Valor Segunda]]+Tabla14[[#This Row],[Total Valor Primera]]+Tabla14[[#This Row],[Total Valor Precorte]]</f>
        <v>109800</v>
      </c>
      <c r="BB530" s="292">
        <f>Tabla14[[#This Row],[Valor bolsas Pesona2]]+Tabla14[[#This Row],[Valor Embarque Pesona3]]</f>
        <v>17575</v>
      </c>
      <c r="BC530" s="332">
        <v>40000</v>
      </c>
      <c r="BD530" s="292">
        <f>Tabla14[[#This Row],[VALOR GANADO]]-Tabla14[[#This Row],[REAJUSTADO]]</f>
        <v>-22425</v>
      </c>
      <c r="BE530" s="250">
        <f>Tabla14[[#This Row],[CUANTO SE REAJUSTA]]*Tabla14[[#This Row],[Personas Rechazo]]</f>
        <v>-156975</v>
      </c>
      <c r="BF530" s="250">
        <f>Tabla14[[#This Row],[REAJUSTADO]]/25000</f>
        <v>1.6</v>
      </c>
      <c r="BG530" s="302">
        <f>Tabla14[[#This Row],[REAJUSTADO]]*Tabla14[[#This Row],[Personas Rechazo]]</f>
        <v>280000</v>
      </c>
      <c r="BH530" s="292" t="str">
        <f>Tabla14[[#This Row],[Finca]]</f>
        <v>San Pedro</v>
      </c>
      <c r="BJ530" s="332">
        <f>Tabla14[[#This Row],[Numero de Ocacionales]]*Tabla14[[#This Row],[REAJUSTADO]]</f>
        <v>0</v>
      </c>
      <c r="BK530" s="332"/>
      <c r="BL530" s="332"/>
      <c r="BM530" s="332">
        <f>+Tabla14[[#This Row],[CUANTO SE REAJUSTA]]*3</f>
        <v>-67275</v>
      </c>
    </row>
    <row r="531" spans="3:65" x14ac:dyDescent="0.25">
      <c r="C531" s="515">
        <v>45287</v>
      </c>
      <c r="D531" s="549">
        <f>YEAR(Tabla14[[#This Row],[Fecha]])</f>
        <v>2023</v>
      </c>
      <c r="E531" s="516">
        <f>IF(Tabla14[[#This Row],[Fecha]]&gt;0,_xlfn.ISOWEEKNUM(Tabla14[[#This Row],[Fecha]]),0)</f>
        <v>52</v>
      </c>
      <c r="F531" s="283">
        <v>26</v>
      </c>
      <c r="G531" s="275" t="s">
        <v>251</v>
      </c>
      <c r="H531" s="325" t="str">
        <f>_xlfn.XLOOKUP(Tabla14[[#This Row],[Codigo Finca]],Tabla4[Codigo Finca],Tabla4[Nombre Finca],"")</f>
        <v>Pedrito</v>
      </c>
      <c r="I531" s="277">
        <f>_xlfn.XLOOKUP(Tabla14[[#This Row],[Codigo Finca]],Tabla4[Codigo Finca],Tabla4[Precio Caja],0)</f>
        <v>1800</v>
      </c>
      <c r="J531" s="277">
        <f>_xlfn.XLOOKUP(Tabla14[[#This Row],[Codigo Finca]],Tabla4[Codigo Finca],Tabla4[Precio Caja Segunda],0)</f>
        <v>1150</v>
      </c>
      <c r="K531" s="277">
        <f>_xlfn.XLOOKUP(Tabla14[[#This Row],[Codigo Finca]],Tabla4[Codigo Finca],Tabla4[Precio Rechazo],0)</f>
        <v>575</v>
      </c>
      <c r="L531" s="277">
        <f t="shared" si="542"/>
        <v>831</v>
      </c>
      <c r="M531" s="278">
        <f t="shared" si="543"/>
        <v>31.96153846153846</v>
      </c>
      <c r="N531" s="283"/>
      <c r="O531" s="279"/>
      <c r="P531" s="280">
        <f t="shared" si="544"/>
        <v>0</v>
      </c>
      <c r="Q531" s="281">
        <f t="shared" si="545"/>
        <v>0</v>
      </c>
      <c r="R531" s="282">
        <f t="shared" si="546"/>
        <v>0</v>
      </c>
      <c r="S531" s="283">
        <v>831</v>
      </c>
      <c r="T531" s="275">
        <v>13</v>
      </c>
      <c r="U531" s="280">
        <f t="shared" si="547"/>
        <v>26</v>
      </c>
      <c r="V531" s="281">
        <f t="shared" si="548"/>
        <v>2</v>
      </c>
      <c r="W531" s="282">
        <f t="shared" si="549"/>
        <v>3600</v>
      </c>
      <c r="X531" s="283"/>
      <c r="Y531" s="275"/>
      <c r="Z531" s="280">
        <f>Tabla14[[#This Row],[Cajas Segunda]]</f>
        <v>0</v>
      </c>
      <c r="AA531" s="281">
        <f t="shared" si="550"/>
        <v>0</v>
      </c>
      <c r="AB531" s="284">
        <f t="shared" si="551"/>
        <v>0</v>
      </c>
      <c r="AC531" s="285"/>
      <c r="AD531" s="286">
        <f>4370+300</f>
        <v>4670</v>
      </c>
      <c r="AE531" s="286"/>
      <c r="AF531" s="286"/>
      <c r="AG531" s="286">
        <v>13</v>
      </c>
      <c r="AH531" s="280">
        <f t="shared" si="552"/>
        <v>186.8</v>
      </c>
      <c r="AI531" s="281">
        <f t="shared" si="553"/>
        <v>14.36923076923077</v>
      </c>
      <c r="AJ531" s="282">
        <f t="shared" si="554"/>
        <v>8262.3076923076933</v>
      </c>
      <c r="AK531" s="287">
        <f>Tabla14[[#This Row],[Cajas por Personas]]</f>
        <v>0</v>
      </c>
      <c r="AL531" s="288">
        <f>Tabla14[[#This Row],[Valor Precorte Pesona]]</f>
        <v>0</v>
      </c>
      <c r="AM531" s="294">
        <f>Tabla14[[#This Row],[Personas Precorte]]</f>
        <v>0</v>
      </c>
      <c r="AN531" s="308">
        <f>Tabla14[[#This Row],[Valor Precorte Pesona Precorte]]*Tabla14[[#This Row],[Perzonas Precorte]]</f>
        <v>0</v>
      </c>
      <c r="AO531" s="287">
        <f>Tabla14[[#This Row],[Cajas por Personas2]]</f>
        <v>2</v>
      </c>
      <c r="AP531" s="288">
        <f>Tabla14[[#This Row],[Valor Embarque Pesona]]</f>
        <v>3600</v>
      </c>
      <c r="AQ531" s="295">
        <f>Tabla14[[#This Row],[Personas Precorte2]]</f>
        <v>13</v>
      </c>
      <c r="AR531" s="296">
        <f>Tabla14[[#This Row],[Valor Embarque Pesona3]]*Tabla14[[#This Row],[Perzona Primera]]</f>
        <v>46800</v>
      </c>
      <c r="AS531" s="287">
        <f>Tabla14[[#This Row],[Columna2]]</f>
        <v>0</v>
      </c>
      <c r="AT531" s="288">
        <f>Tabla14[[#This Row],[Columna1]]</f>
        <v>0</v>
      </c>
      <c r="AU531" s="302">
        <f>Tabla14[[#This Row],[Personas Intervienen]]</f>
        <v>0</v>
      </c>
      <c r="AV531" s="297">
        <f>Tabla14[[#This Row],[Valor Embarque Pesona5]]*Tabla14[[#This Row],[Presonas Segunda]]</f>
        <v>0</v>
      </c>
      <c r="AW531" s="287">
        <f>Tabla14[[#This Row],[Bolsas Por Personas]]</f>
        <v>14.36923076923077</v>
      </c>
      <c r="AX531" s="288">
        <f>Tabla14[[#This Row],[Valor bolsas Pesona]]</f>
        <v>8262.3076923076933</v>
      </c>
      <c r="AY531" s="309">
        <f>Tabla14[[#This Row],[Personas13]]</f>
        <v>13</v>
      </c>
      <c r="AZ531" s="310">
        <f>Tabla14[[#This Row],[Valor bolsas Pesona2]]*Tabla14[[#This Row],[Personas Rechazo]]</f>
        <v>107410.00000000001</v>
      </c>
      <c r="BA531" s="311">
        <f>+Tabla14[[#This Row],[Total Valor Segunda]]+Tabla14[[#This Row],[Total Valor Primera]]+Tabla14[[#This Row],[Total Valor Precorte]]</f>
        <v>46800</v>
      </c>
      <c r="BB531" s="292">
        <f>Tabla14[[#This Row],[Valor bolsas Pesona2]]+Tabla14[[#This Row],[Valor Embarque Pesona3]]</f>
        <v>11862.307692307693</v>
      </c>
      <c r="BC531" s="332">
        <v>40000</v>
      </c>
      <c r="BD531" s="292">
        <f>Tabla14[[#This Row],[VALOR GANADO]]-Tabla14[[#This Row],[REAJUSTADO]]</f>
        <v>-28137.692307692305</v>
      </c>
      <c r="BE531" s="250">
        <f>Tabla14[[#This Row],[CUANTO SE REAJUSTA]]*Tabla14[[#This Row],[Personas Rechazo]]</f>
        <v>-365789.99999999994</v>
      </c>
      <c r="BF531" s="250">
        <f>Tabla14[[#This Row],[REAJUSTADO]]/25000</f>
        <v>1.6</v>
      </c>
      <c r="BG531" s="302">
        <f>Tabla14[[#This Row],[REAJUSTADO]]*Tabla14[[#This Row],[Personas Rechazo]]</f>
        <v>520000</v>
      </c>
      <c r="BH531" s="292" t="str">
        <f>Tabla14[[#This Row],[Finca]]</f>
        <v>Pedrito</v>
      </c>
      <c r="BJ531" s="332">
        <f>Tabla14[[#This Row],[Numero de Ocacionales]]*Tabla14[[#This Row],[REAJUSTADO]]</f>
        <v>0</v>
      </c>
      <c r="BK531" s="332"/>
      <c r="BL531" s="332"/>
      <c r="BM531" s="332">
        <f>+Tabla14[[#This Row],[CUANTO SE REAJUSTA]]*3</f>
        <v>-84413.076923076907</v>
      </c>
    </row>
    <row r="532" spans="3:65" x14ac:dyDescent="0.25">
      <c r="C532" s="515">
        <v>45287</v>
      </c>
      <c r="D532" s="549">
        <f>YEAR(Tabla14[[#This Row],[Fecha]])</f>
        <v>2023</v>
      </c>
      <c r="E532" s="516">
        <f>IF(Tabla14[[#This Row],[Fecha]]&gt;0,_xlfn.ISOWEEKNUM(Tabla14[[#This Row],[Fecha]]),0)</f>
        <v>52</v>
      </c>
      <c r="F532" s="283">
        <v>22</v>
      </c>
      <c r="G532" s="275" t="s">
        <v>247</v>
      </c>
      <c r="H532" s="325" t="str">
        <f>_xlfn.XLOOKUP(Tabla14[[#This Row],[Codigo Finca]],Tabla4[Codigo Finca],Tabla4[Nombre Finca],"")</f>
        <v>Uveros</v>
      </c>
      <c r="I532" s="277">
        <f>_xlfn.XLOOKUP(Tabla14[[#This Row],[Codigo Finca]],Tabla4[Codigo Finca],Tabla4[Precio Caja],0)</f>
        <v>1800</v>
      </c>
      <c r="J532" s="277">
        <f>_xlfn.XLOOKUP(Tabla14[[#This Row],[Codigo Finca]],Tabla4[Codigo Finca],Tabla4[Precio Caja Segunda],0)</f>
        <v>1150</v>
      </c>
      <c r="K532" s="277">
        <f>_xlfn.XLOOKUP(Tabla14[[#This Row],[Codigo Finca]],Tabla4[Codigo Finca],Tabla4[Precio Rechazo],0)</f>
        <v>575</v>
      </c>
      <c r="L532" s="277">
        <f t="shared" si="542"/>
        <v>0</v>
      </c>
      <c r="M532" s="278">
        <f t="shared" si="543"/>
        <v>0</v>
      </c>
      <c r="N532" s="283"/>
      <c r="O532" s="279"/>
      <c r="P532" s="280">
        <f t="shared" si="544"/>
        <v>0</v>
      </c>
      <c r="Q532" s="281">
        <f t="shared" si="545"/>
        <v>0</v>
      </c>
      <c r="R532" s="282">
        <f t="shared" si="546"/>
        <v>0</v>
      </c>
      <c r="S532" s="283"/>
      <c r="T532" s="275">
        <v>2</v>
      </c>
      <c r="U532" s="280">
        <f t="shared" si="547"/>
        <v>22</v>
      </c>
      <c r="V532" s="281">
        <f t="shared" si="548"/>
        <v>11</v>
      </c>
      <c r="W532" s="282">
        <f t="shared" si="549"/>
        <v>19800</v>
      </c>
      <c r="X532" s="283"/>
      <c r="Y532" s="275"/>
      <c r="Z532" s="280">
        <f>Tabla14[[#This Row],[Cajas Segunda]]</f>
        <v>0</v>
      </c>
      <c r="AA532" s="281">
        <f t="shared" si="550"/>
        <v>0</v>
      </c>
      <c r="AB532" s="284">
        <f t="shared" si="551"/>
        <v>0</v>
      </c>
      <c r="AC532" s="285"/>
      <c r="AD532" s="286">
        <f>200+971</f>
        <v>1171</v>
      </c>
      <c r="AE532" s="286"/>
      <c r="AF532" s="286"/>
      <c r="AG532" s="286">
        <v>2</v>
      </c>
      <c r="AH532" s="280">
        <f t="shared" si="552"/>
        <v>46.84</v>
      </c>
      <c r="AI532" s="281">
        <f t="shared" si="553"/>
        <v>23.42</v>
      </c>
      <c r="AJ532" s="282">
        <f t="shared" si="554"/>
        <v>13466.500000000002</v>
      </c>
      <c r="AK532" s="287">
        <f>Tabla14[[#This Row],[Cajas por Personas]]</f>
        <v>0</v>
      </c>
      <c r="AL532" s="288">
        <f>Tabla14[[#This Row],[Valor Precorte Pesona]]</f>
        <v>0</v>
      </c>
      <c r="AM532" s="294">
        <f>Tabla14[[#This Row],[Personas Precorte]]</f>
        <v>0</v>
      </c>
      <c r="AN532" s="308">
        <f>Tabla14[[#This Row],[Valor Precorte Pesona Precorte]]*Tabla14[[#This Row],[Perzonas Precorte]]</f>
        <v>0</v>
      </c>
      <c r="AO532" s="287">
        <f>Tabla14[[#This Row],[Cajas por Personas2]]</f>
        <v>11</v>
      </c>
      <c r="AP532" s="288">
        <f>Tabla14[[#This Row],[Valor Embarque Pesona]]</f>
        <v>19800</v>
      </c>
      <c r="AQ532" s="295">
        <f>Tabla14[[#This Row],[Personas Precorte2]]</f>
        <v>2</v>
      </c>
      <c r="AR532" s="296">
        <f>Tabla14[[#This Row],[Valor Embarque Pesona3]]*Tabla14[[#This Row],[Perzona Primera]]</f>
        <v>39600</v>
      </c>
      <c r="AS532" s="287">
        <f>Tabla14[[#This Row],[Columna2]]</f>
        <v>0</v>
      </c>
      <c r="AT532" s="288">
        <f>Tabla14[[#This Row],[Columna1]]</f>
        <v>0</v>
      </c>
      <c r="AU532" s="302">
        <f>Tabla14[[#This Row],[Personas Intervienen]]</f>
        <v>0</v>
      </c>
      <c r="AV532" s="297">
        <f>Tabla14[[#This Row],[Valor Embarque Pesona5]]*Tabla14[[#This Row],[Presonas Segunda]]</f>
        <v>0</v>
      </c>
      <c r="AW532" s="287">
        <f>Tabla14[[#This Row],[Bolsas Por Personas]]</f>
        <v>23.42</v>
      </c>
      <c r="AX532" s="288">
        <f>Tabla14[[#This Row],[Valor bolsas Pesona]]</f>
        <v>13466.500000000002</v>
      </c>
      <c r="AY532" s="309">
        <f>Tabla14[[#This Row],[Personas13]]</f>
        <v>2</v>
      </c>
      <c r="AZ532" s="310">
        <f>Tabla14[[#This Row],[Valor bolsas Pesona2]]*Tabla14[[#This Row],[Personas Rechazo]]</f>
        <v>26933.000000000004</v>
      </c>
      <c r="BA532" s="311">
        <f>+Tabla14[[#This Row],[Total Valor Segunda]]+Tabla14[[#This Row],[Total Valor Primera]]+Tabla14[[#This Row],[Total Valor Precorte]]</f>
        <v>39600</v>
      </c>
      <c r="BB532" s="292">
        <f>Tabla14[[#This Row],[Valor bolsas Pesona2]]+Tabla14[[#This Row],[Valor Embarque Pesona3]]</f>
        <v>33266.5</v>
      </c>
      <c r="BC532" s="332">
        <v>40000</v>
      </c>
      <c r="BD532" s="292">
        <f>Tabla14[[#This Row],[VALOR GANADO]]-Tabla14[[#This Row],[REAJUSTADO]]</f>
        <v>-6733.5</v>
      </c>
      <c r="BE532" s="250">
        <f>Tabla14[[#This Row],[CUANTO SE REAJUSTA]]*Tabla14[[#This Row],[Personas Rechazo]]</f>
        <v>-13467</v>
      </c>
      <c r="BF532" s="250">
        <f>Tabla14[[#This Row],[REAJUSTADO]]/25000</f>
        <v>1.6</v>
      </c>
      <c r="BG532" s="302">
        <f>Tabla14[[#This Row],[REAJUSTADO]]*Tabla14[[#This Row],[Personas Rechazo]]</f>
        <v>80000</v>
      </c>
      <c r="BH532" s="292" t="str">
        <f>Tabla14[[#This Row],[Finca]]</f>
        <v>Uveros</v>
      </c>
      <c r="BJ532" s="332">
        <f>Tabla14[[#This Row],[Numero de Ocacionales]]*Tabla14[[#This Row],[REAJUSTADO]]</f>
        <v>0</v>
      </c>
      <c r="BK532" s="332"/>
      <c r="BL532" s="332"/>
      <c r="BM532" s="332">
        <f>+Tabla14[[#This Row],[CUANTO SE REAJUSTA]]*3</f>
        <v>-20200.5</v>
      </c>
    </row>
    <row r="533" spans="3:65" x14ac:dyDescent="0.25">
      <c r="C533" s="515">
        <v>45293</v>
      </c>
      <c r="D533" s="549">
        <f>YEAR(Tabla14[[#This Row],[Fecha]])</f>
        <v>2024</v>
      </c>
      <c r="E533" s="516">
        <f>IF(Tabla14[[#This Row],[Fecha]]&gt;0,_xlfn.ISOWEEKNUM(Tabla14[[#This Row],[Fecha]]),0)</f>
        <v>1</v>
      </c>
      <c r="F533" s="283">
        <v>313</v>
      </c>
      <c r="G533" s="275" t="s">
        <v>250</v>
      </c>
      <c r="H533" s="325" t="str">
        <f>_xlfn.XLOOKUP(Tabla14[[#This Row],[Codigo Finca]],Tabla4[Codigo Finca],Tabla4[Nombre Finca],"")</f>
        <v>San Pedro</v>
      </c>
      <c r="I533" s="277">
        <f>_xlfn.XLOOKUP(Tabla14[[#This Row],[Codigo Finca]],Tabla4[Codigo Finca],Tabla4[Precio Caja],0)</f>
        <v>1800</v>
      </c>
      <c r="J533" s="277">
        <f>_xlfn.XLOOKUP(Tabla14[[#This Row],[Codigo Finca]],Tabla4[Codigo Finca],Tabla4[Precio Caja Segunda],0)</f>
        <v>1150</v>
      </c>
      <c r="K533" s="277">
        <f>_xlfn.XLOOKUP(Tabla14[[#This Row],[Codigo Finca]],Tabla4[Codigo Finca],Tabla4[Precio Rechazo],0)</f>
        <v>575</v>
      </c>
      <c r="L533" s="277">
        <f t="shared" ref="L533:L564" si="555">S533+N533</f>
        <v>1354</v>
      </c>
      <c r="M533" s="278">
        <f t="shared" ref="M533:M564" si="556">IF(F533&gt;0,L533/F533,0)</f>
        <v>4.3258785942492013</v>
      </c>
      <c r="N533" s="283"/>
      <c r="O533" s="279"/>
      <c r="P533" s="280">
        <f t="shared" ref="P533:P564" si="557">IF(N533&gt;0,(N533/M533)/2,0)</f>
        <v>0</v>
      </c>
      <c r="Q533" s="281">
        <f t="shared" ref="Q533:Q564" si="558">IF(O533&gt;0,P533/O533,0)</f>
        <v>0</v>
      </c>
      <c r="R533" s="282">
        <f t="shared" ref="R533:R564" si="559">IF(I533&gt;0,Q533*I533,)</f>
        <v>0</v>
      </c>
      <c r="S533" s="283">
        <v>1354</v>
      </c>
      <c r="T533" s="275">
        <v>20</v>
      </c>
      <c r="U533" s="280">
        <f t="shared" ref="U533:U564" si="560">F533-P533</f>
        <v>313</v>
      </c>
      <c r="V533" s="281">
        <f t="shared" ref="V533:V564" si="561">IF(T533&gt;0,U533/T533,0)</f>
        <v>15.65</v>
      </c>
      <c r="W533" s="282">
        <f t="shared" ref="W533:W564" si="562">IF(T533&gt;0,(U533*I533)/T533,0)</f>
        <v>28170</v>
      </c>
      <c r="X533" s="283"/>
      <c r="Y533" s="275"/>
      <c r="Z533" s="280">
        <f>Tabla14[[#This Row],[Cajas Segunda]]</f>
        <v>0</v>
      </c>
      <c r="AA533" s="281">
        <f t="shared" ref="AA533:AA564" si="563">IF(Y533&gt;0,Z533/Y533,0)</f>
        <v>0</v>
      </c>
      <c r="AB533" s="284">
        <f t="shared" ref="AB533:AB564" si="564">IF(Y533&gt;0,(Z533*J533)/Y533,0)</f>
        <v>0</v>
      </c>
      <c r="AC533" s="285"/>
      <c r="AD533" s="286">
        <f>2325+866</f>
        <v>3191</v>
      </c>
      <c r="AE533" s="286"/>
      <c r="AF533" s="286"/>
      <c r="AG533" s="286">
        <v>20</v>
      </c>
      <c r="AH533" s="280">
        <f t="shared" ref="AH533:AH564" si="565">IF(AND(AC533&gt;0,AE533=0,AF533=0,AD533=0),AC533,IF(AND(AC533=0,AE533&gt;0,AF533&gt;0,AD533=0),AE533*AF533/25,IF(AND(AC533=0,AE533=0,AF533=0,AD533&gt;0),AD533/25,0)))</f>
        <v>127.64</v>
      </c>
      <c r="AI533" s="281">
        <f t="shared" ref="AI533:AI564" si="566">IF(AG533&gt;0,AH533/AG533,0)</f>
        <v>6.3819999999999997</v>
      </c>
      <c r="AJ533" s="282">
        <f t="shared" ref="AJ533:AJ564" si="567">AI533*K533</f>
        <v>3669.6499999999996</v>
      </c>
      <c r="AK533" s="287">
        <f>Tabla14[[#This Row],[Cajas por Personas]]</f>
        <v>0</v>
      </c>
      <c r="AL533" s="288">
        <f>Tabla14[[#This Row],[Valor Precorte Pesona]]</f>
        <v>0</v>
      </c>
      <c r="AM533" s="294">
        <f>Tabla14[[#This Row],[Personas Precorte]]</f>
        <v>0</v>
      </c>
      <c r="AN533" s="308">
        <f>Tabla14[[#This Row],[Valor Precorte Pesona Precorte]]*Tabla14[[#This Row],[Perzonas Precorte]]</f>
        <v>0</v>
      </c>
      <c r="AO533" s="287">
        <f>Tabla14[[#This Row],[Cajas por Personas2]]</f>
        <v>15.65</v>
      </c>
      <c r="AP533" s="288">
        <f>Tabla14[[#This Row],[Valor Embarque Pesona]]</f>
        <v>28170</v>
      </c>
      <c r="AQ533" s="295">
        <f>Tabla14[[#This Row],[Personas Precorte2]]</f>
        <v>20</v>
      </c>
      <c r="AR533" s="296">
        <f>Tabla14[[#This Row],[Valor Embarque Pesona3]]*Tabla14[[#This Row],[Perzona Primera]]</f>
        <v>563400</v>
      </c>
      <c r="AS533" s="287">
        <f>Tabla14[[#This Row],[Columna2]]</f>
        <v>0</v>
      </c>
      <c r="AT533" s="288">
        <f>Tabla14[[#This Row],[Columna1]]</f>
        <v>0</v>
      </c>
      <c r="AU533" s="302">
        <f>Tabla14[[#This Row],[Personas Intervienen]]</f>
        <v>0</v>
      </c>
      <c r="AV533" s="297">
        <f>Tabla14[[#This Row],[Valor Embarque Pesona5]]*Tabla14[[#This Row],[Presonas Segunda]]</f>
        <v>0</v>
      </c>
      <c r="AW533" s="287">
        <f>Tabla14[[#This Row],[Bolsas Por Personas]]</f>
        <v>6.3819999999999997</v>
      </c>
      <c r="AX533" s="288">
        <f>Tabla14[[#This Row],[Valor bolsas Pesona]]</f>
        <v>3669.6499999999996</v>
      </c>
      <c r="AY533" s="309">
        <f>Tabla14[[#This Row],[Personas13]]</f>
        <v>20</v>
      </c>
      <c r="AZ533" s="310">
        <f>Tabla14[[#This Row],[Valor bolsas Pesona2]]*Tabla14[[#This Row],[Personas Rechazo]]</f>
        <v>73393</v>
      </c>
      <c r="BA533" s="311">
        <f>+Tabla14[[#This Row],[Total Valor Segunda]]+Tabla14[[#This Row],[Total Valor Primera]]+Tabla14[[#This Row],[Total Valor Precorte]]</f>
        <v>563400</v>
      </c>
      <c r="BB533" s="292">
        <f>Tabla14[[#This Row],[Valor bolsas Pesona2]]+Tabla14[[#This Row],[Valor Embarque Pesona3]]</f>
        <v>31839.65</v>
      </c>
      <c r="BC533" s="332">
        <v>50000</v>
      </c>
      <c r="BD533" s="292">
        <f>Tabla14[[#This Row],[VALOR GANADO]]-Tabla14[[#This Row],[REAJUSTADO]]</f>
        <v>-18160.349999999999</v>
      </c>
      <c r="BE533" s="250">
        <f>Tabla14[[#This Row],[CUANTO SE REAJUSTA]]*Tabla14[[#This Row],[Personas Rechazo]]</f>
        <v>-363207</v>
      </c>
      <c r="BF533" s="250">
        <f>Tabla14[[#This Row],[REAJUSTADO]]/25000</f>
        <v>2</v>
      </c>
      <c r="BG533" s="302">
        <f>Tabla14[[#This Row],[REAJUSTADO]]*Tabla14[[#This Row],[Personas Rechazo]]</f>
        <v>1000000</v>
      </c>
      <c r="BH533" s="292" t="str">
        <f>Tabla14[[#This Row],[Finca]]</f>
        <v>San Pedro</v>
      </c>
      <c r="BJ533" s="332">
        <f>Tabla14[[#This Row],[Numero de Ocacionales]]*Tabla14[[#This Row],[REAJUSTADO]]</f>
        <v>0</v>
      </c>
      <c r="BK533" s="332"/>
      <c r="BL533" s="332"/>
      <c r="BM533" s="332">
        <f>+Tabla14[[#This Row],[CUANTO SE REAJUSTA]]*3</f>
        <v>-54481.049999999996</v>
      </c>
    </row>
    <row r="534" spans="3:65" x14ac:dyDescent="0.25">
      <c r="C534" s="515">
        <v>45294</v>
      </c>
      <c r="D534" s="549">
        <f>YEAR(Tabla14[[#This Row],[Fecha]])</f>
        <v>2024</v>
      </c>
      <c r="E534" s="516">
        <f>IF(Tabla14[[#This Row],[Fecha]]&gt;0,_xlfn.ISOWEEKNUM(Tabla14[[#This Row],[Fecha]]),0)</f>
        <v>1</v>
      </c>
      <c r="F534" s="283">
        <v>17</v>
      </c>
      <c r="G534" s="275" t="s">
        <v>249</v>
      </c>
      <c r="H534" s="325" t="str">
        <f>_xlfn.XLOOKUP(Tabla14[[#This Row],[Codigo Finca]],Tabla4[Codigo Finca],Tabla4[Nombre Finca],"")</f>
        <v>San Pedro</v>
      </c>
      <c r="I534" s="277">
        <f>_xlfn.XLOOKUP(Tabla14[[#This Row],[Codigo Finca]],Tabla4[Codigo Finca],Tabla4[Precio Caja],0)</f>
        <v>2000</v>
      </c>
      <c r="J534" s="277">
        <f>_xlfn.XLOOKUP(Tabla14[[#This Row],[Codigo Finca]],Tabla4[Codigo Finca],Tabla4[Precio Caja Segunda],0)</f>
        <v>1150</v>
      </c>
      <c r="K534" s="277">
        <f>_xlfn.XLOOKUP(Tabla14[[#This Row],[Codigo Finca]],Tabla4[Codigo Finca],Tabla4[Precio Rechazo],0)</f>
        <v>675</v>
      </c>
      <c r="L534" s="277">
        <f t="shared" si="555"/>
        <v>0</v>
      </c>
      <c r="M534" s="278">
        <f t="shared" si="556"/>
        <v>0</v>
      </c>
      <c r="N534" s="283"/>
      <c r="O534" s="279"/>
      <c r="P534" s="280">
        <f t="shared" si="557"/>
        <v>0</v>
      </c>
      <c r="Q534" s="281">
        <f t="shared" si="558"/>
        <v>0</v>
      </c>
      <c r="R534" s="282">
        <f t="shared" si="559"/>
        <v>0</v>
      </c>
      <c r="S534" s="283"/>
      <c r="T534" s="275">
        <v>20</v>
      </c>
      <c r="U534" s="280">
        <f t="shared" si="560"/>
        <v>17</v>
      </c>
      <c r="V534" s="281">
        <f t="shared" si="561"/>
        <v>0.85</v>
      </c>
      <c r="W534" s="282">
        <f t="shared" si="562"/>
        <v>1700</v>
      </c>
      <c r="X534" s="283"/>
      <c r="Y534" s="275"/>
      <c r="Z534" s="280">
        <f>Tabla14[[#This Row],[Cajas Segunda]]</f>
        <v>0</v>
      </c>
      <c r="AA534" s="281">
        <f t="shared" si="563"/>
        <v>0</v>
      </c>
      <c r="AB534" s="284">
        <f t="shared" si="564"/>
        <v>0</v>
      </c>
      <c r="AC534" s="285"/>
      <c r="AD534" s="286"/>
      <c r="AE534" s="286"/>
      <c r="AF534" s="286"/>
      <c r="AG534" s="286">
        <v>20</v>
      </c>
      <c r="AH534" s="280">
        <f t="shared" si="565"/>
        <v>0</v>
      </c>
      <c r="AI534" s="281">
        <f t="shared" si="566"/>
        <v>0</v>
      </c>
      <c r="AJ534" s="282">
        <f t="shared" si="567"/>
        <v>0</v>
      </c>
      <c r="AK534" s="287">
        <f>Tabla14[[#This Row],[Cajas por Personas]]</f>
        <v>0</v>
      </c>
      <c r="AL534" s="288">
        <f>Tabla14[[#This Row],[Valor Precorte Pesona]]</f>
        <v>0</v>
      </c>
      <c r="AM534" s="294">
        <f>Tabla14[[#This Row],[Personas Precorte]]</f>
        <v>0</v>
      </c>
      <c r="AN534" s="308">
        <f>Tabla14[[#This Row],[Valor Precorte Pesona Precorte]]*Tabla14[[#This Row],[Perzonas Precorte]]</f>
        <v>0</v>
      </c>
      <c r="AO534" s="287">
        <f>Tabla14[[#This Row],[Cajas por Personas2]]</f>
        <v>0.85</v>
      </c>
      <c r="AP534" s="288">
        <f>Tabla14[[#This Row],[Valor Embarque Pesona]]</f>
        <v>1700</v>
      </c>
      <c r="AQ534" s="295">
        <f>Tabla14[[#This Row],[Personas Precorte2]]</f>
        <v>20</v>
      </c>
      <c r="AR534" s="296">
        <f>Tabla14[[#This Row],[Valor Embarque Pesona3]]*Tabla14[[#This Row],[Perzona Primera]]</f>
        <v>34000</v>
      </c>
      <c r="AS534" s="287">
        <f>Tabla14[[#This Row],[Columna2]]</f>
        <v>0</v>
      </c>
      <c r="AT534" s="288">
        <f>Tabla14[[#This Row],[Columna1]]</f>
        <v>0</v>
      </c>
      <c r="AU534" s="302">
        <f>Tabla14[[#This Row],[Personas Intervienen]]</f>
        <v>0</v>
      </c>
      <c r="AV534" s="297">
        <f>Tabla14[[#This Row],[Valor Embarque Pesona5]]*Tabla14[[#This Row],[Presonas Segunda]]</f>
        <v>0</v>
      </c>
      <c r="AW534" s="287">
        <f>Tabla14[[#This Row],[Bolsas Por Personas]]</f>
        <v>0</v>
      </c>
      <c r="AX534" s="288">
        <f>Tabla14[[#This Row],[Valor bolsas Pesona]]</f>
        <v>0</v>
      </c>
      <c r="AY534" s="309">
        <f>Tabla14[[#This Row],[Personas13]]</f>
        <v>20</v>
      </c>
      <c r="AZ534" s="310">
        <f>Tabla14[[#This Row],[Valor bolsas Pesona2]]*Tabla14[[#This Row],[Personas Rechazo]]</f>
        <v>0</v>
      </c>
      <c r="BA534" s="311">
        <f>+Tabla14[[#This Row],[Total Valor Segunda]]+Tabla14[[#This Row],[Total Valor Primera]]+Tabla14[[#This Row],[Total Valor Precorte]]</f>
        <v>34000</v>
      </c>
      <c r="BB534" s="470">
        <f>Tabla14[[#This Row],[Valor bolsas Pesona2]]+Tabla14[[#This Row],[Valor Embarque Pesona3]]</f>
        <v>1700</v>
      </c>
      <c r="BC534" s="471">
        <f>+Tabla14[[#This Row],[VALOR GANADO]]+BB535</f>
        <v>14708.928571428571</v>
      </c>
      <c r="BD534" s="470">
        <f>Tabla14[[#This Row],[VALOR GANADO]]-Tabla14[[#This Row],[REAJUSTADO]]</f>
        <v>-13008.928571428571</v>
      </c>
      <c r="BE534" s="250">
        <f>Tabla14[[#This Row],[CUANTO SE REAJUSTA]]*Tabla14[[#This Row],[Personas Rechazo]]</f>
        <v>-260178.57142857142</v>
      </c>
      <c r="BF534" s="250">
        <f>Tabla14[[#This Row],[REAJUSTADO]]/25000</f>
        <v>0.5883571428571428</v>
      </c>
      <c r="BG534" s="302">
        <f>Tabla14[[#This Row],[REAJUSTADO]]*Tabla14[[#This Row],[Personas Rechazo]]</f>
        <v>294178.57142857142</v>
      </c>
      <c r="BH534" s="292" t="str">
        <f>Tabla14[[#This Row],[Finca]]</f>
        <v>San Pedro</v>
      </c>
      <c r="BJ534" s="332">
        <f>Tabla14[[#This Row],[Numero de Ocacionales]]*Tabla14[[#This Row],[REAJUSTADO]]</f>
        <v>0</v>
      </c>
      <c r="BK534" s="332"/>
      <c r="BL534" s="332"/>
      <c r="BM534" s="332">
        <f>+Tabla14[[#This Row],[CUANTO SE REAJUSTA]]*3</f>
        <v>-39026.78571428571</v>
      </c>
    </row>
    <row r="535" spans="3:65" x14ac:dyDescent="0.25">
      <c r="C535" s="515">
        <v>45294</v>
      </c>
      <c r="D535" s="549">
        <f>YEAR(Tabla14[[#This Row],[Fecha]])</f>
        <v>2024</v>
      </c>
      <c r="E535" s="516">
        <f>IF(Tabla14[[#This Row],[Fecha]]&gt;0,_xlfn.ISOWEEKNUM(Tabla14[[#This Row],[Fecha]]),0)</f>
        <v>1</v>
      </c>
      <c r="F535" s="283">
        <v>45</v>
      </c>
      <c r="G535" s="275" t="s">
        <v>250</v>
      </c>
      <c r="H535" s="325" t="str">
        <f>_xlfn.XLOOKUP(Tabla14[[#This Row],[Codigo Finca]],Tabla4[Codigo Finca],Tabla4[Nombre Finca],"")</f>
        <v>San Pedro</v>
      </c>
      <c r="I535" s="277">
        <f>_xlfn.XLOOKUP(Tabla14[[#This Row],[Codigo Finca]],Tabla4[Codigo Finca],Tabla4[Precio Caja],0)</f>
        <v>1800</v>
      </c>
      <c r="J535" s="277">
        <f>_xlfn.XLOOKUP(Tabla14[[#This Row],[Codigo Finca]],Tabla4[Codigo Finca],Tabla4[Precio Caja Segunda],0)</f>
        <v>1150</v>
      </c>
      <c r="K535" s="277">
        <f>_xlfn.XLOOKUP(Tabla14[[#This Row],[Codigo Finca]],Tabla4[Codigo Finca],Tabla4[Precio Rechazo],0)</f>
        <v>575</v>
      </c>
      <c r="L535" s="277">
        <f t="shared" si="555"/>
        <v>0</v>
      </c>
      <c r="M535" s="278">
        <f t="shared" si="556"/>
        <v>0</v>
      </c>
      <c r="N535" s="283"/>
      <c r="O535" s="279"/>
      <c r="P535" s="280">
        <f t="shared" si="557"/>
        <v>0</v>
      </c>
      <c r="Q535" s="281">
        <f t="shared" si="558"/>
        <v>0</v>
      </c>
      <c r="R535" s="282">
        <f t="shared" si="559"/>
        <v>0</v>
      </c>
      <c r="S535" s="283"/>
      <c r="T535" s="275">
        <v>7</v>
      </c>
      <c r="U535" s="280">
        <f t="shared" si="560"/>
        <v>45</v>
      </c>
      <c r="V535" s="281">
        <f t="shared" si="561"/>
        <v>6.4285714285714288</v>
      </c>
      <c r="W535" s="282">
        <f t="shared" si="562"/>
        <v>11571.428571428571</v>
      </c>
      <c r="X535" s="283"/>
      <c r="Y535" s="275"/>
      <c r="Z535" s="280">
        <f>Tabla14[[#This Row],[Cajas Segunda]]</f>
        <v>0</v>
      </c>
      <c r="AA535" s="281">
        <f t="shared" si="563"/>
        <v>0</v>
      </c>
      <c r="AB535" s="284">
        <f t="shared" si="564"/>
        <v>0</v>
      </c>
      <c r="AC535" s="285">
        <v>17.5</v>
      </c>
      <c r="AD535" s="286"/>
      <c r="AE535" s="286"/>
      <c r="AF535" s="286"/>
      <c r="AG535" s="286">
        <v>7</v>
      </c>
      <c r="AH535" s="280">
        <f t="shared" si="565"/>
        <v>17.5</v>
      </c>
      <c r="AI535" s="281">
        <f t="shared" si="566"/>
        <v>2.5</v>
      </c>
      <c r="AJ535" s="282">
        <f t="shared" si="567"/>
        <v>1437.5</v>
      </c>
      <c r="AK535" s="287">
        <f>Tabla14[[#This Row],[Cajas por Personas]]</f>
        <v>0</v>
      </c>
      <c r="AL535" s="288">
        <f>Tabla14[[#This Row],[Valor Precorte Pesona]]</f>
        <v>0</v>
      </c>
      <c r="AM535" s="294">
        <f>Tabla14[[#This Row],[Personas Precorte]]</f>
        <v>0</v>
      </c>
      <c r="AN535" s="308">
        <f>Tabla14[[#This Row],[Valor Precorte Pesona Precorte]]*Tabla14[[#This Row],[Perzonas Precorte]]</f>
        <v>0</v>
      </c>
      <c r="AO535" s="287">
        <f>Tabla14[[#This Row],[Cajas por Personas2]]</f>
        <v>6.4285714285714288</v>
      </c>
      <c r="AP535" s="288">
        <f>Tabla14[[#This Row],[Valor Embarque Pesona]]</f>
        <v>11571.428571428571</v>
      </c>
      <c r="AQ535" s="295">
        <f>Tabla14[[#This Row],[Personas Precorte2]]</f>
        <v>7</v>
      </c>
      <c r="AR535" s="296">
        <f>Tabla14[[#This Row],[Valor Embarque Pesona3]]*Tabla14[[#This Row],[Perzona Primera]]</f>
        <v>81000</v>
      </c>
      <c r="AS535" s="287">
        <f>Tabla14[[#This Row],[Columna2]]</f>
        <v>0</v>
      </c>
      <c r="AT535" s="288">
        <f>Tabla14[[#This Row],[Columna1]]</f>
        <v>0</v>
      </c>
      <c r="AU535" s="302">
        <f>Tabla14[[#This Row],[Personas Intervienen]]</f>
        <v>0</v>
      </c>
      <c r="AV535" s="297">
        <f>Tabla14[[#This Row],[Valor Embarque Pesona5]]*Tabla14[[#This Row],[Presonas Segunda]]</f>
        <v>0</v>
      </c>
      <c r="AW535" s="287">
        <f>Tabla14[[#This Row],[Bolsas Por Personas]]</f>
        <v>2.5</v>
      </c>
      <c r="AX535" s="288">
        <f>Tabla14[[#This Row],[Valor bolsas Pesona]]</f>
        <v>1437.5</v>
      </c>
      <c r="AY535" s="309">
        <f>Tabla14[[#This Row],[Personas13]]</f>
        <v>7</v>
      </c>
      <c r="AZ535" s="310">
        <f>Tabla14[[#This Row],[Valor bolsas Pesona2]]*Tabla14[[#This Row],[Personas Rechazo]]</f>
        <v>10062.5</v>
      </c>
      <c r="BA535" s="311">
        <f>+Tabla14[[#This Row],[Total Valor Segunda]]+Tabla14[[#This Row],[Total Valor Primera]]+Tabla14[[#This Row],[Total Valor Precorte]]</f>
        <v>81000</v>
      </c>
      <c r="BB535" s="470">
        <f>Tabla14[[#This Row],[Valor bolsas Pesona2]]+Tabla14[[#This Row],[Valor Embarque Pesona3]]</f>
        <v>13008.928571428571</v>
      </c>
      <c r="BC535" s="539">
        <v>40000</v>
      </c>
      <c r="BD535" s="470">
        <f>Tabla14[[#This Row],[VALOR GANADO]]-Tabla14[[#This Row],[REAJUSTADO]]</f>
        <v>-26991.071428571428</v>
      </c>
      <c r="BE535" s="250">
        <f>Tabla14[[#This Row],[CUANTO SE REAJUSTA]]*Tabla14[[#This Row],[Personas Rechazo]]</f>
        <v>-188937.5</v>
      </c>
      <c r="BF535" s="250">
        <f>Tabla14[[#This Row],[REAJUSTADO]]/25000</f>
        <v>1.6</v>
      </c>
      <c r="BG535" s="302">
        <f>Tabla14[[#This Row],[REAJUSTADO]]*Tabla14[[#This Row],[Personas Rechazo]]</f>
        <v>280000</v>
      </c>
      <c r="BH535" s="292" t="str">
        <f>Tabla14[[#This Row],[Finca]]</f>
        <v>San Pedro</v>
      </c>
      <c r="BJ535" s="332">
        <f>Tabla14[[#This Row],[Numero de Ocacionales]]*Tabla14[[#This Row],[REAJUSTADO]]</f>
        <v>0</v>
      </c>
      <c r="BK535" s="332"/>
      <c r="BL535" s="332"/>
      <c r="BM535" s="332">
        <f>+Tabla14[[#This Row],[CUANTO SE REAJUSTA]]*3</f>
        <v>-80973.21428571429</v>
      </c>
    </row>
    <row r="536" spans="3:65" x14ac:dyDescent="0.25">
      <c r="C536" s="515">
        <v>45294</v>
      </c>
      <c r="D536" s="549">
        <f>YEAR(Tabla14[[#This Row],[Fecha]])</f>
        <v>2024</v>
      </c>
      <c r="E536" s="516">
        <f>IF(Tabla14[[#This Row],[Fecha]]&gt;0,_xlfn.ISOWEEKNUM(Tabla14[[#This Row],[Fecha]]),0)</f>
        <v>1</v>
      </c>
      <c r="F536" s="283">
        <v>52</v>
      </c>
      <c r="G536" s="275" t="s">
        <v>251</v>
      </c>
      <c r="H536" s="325" t="str">
        <f>_xlfn.XLOOKUP(Tabla14[[#This Row],[Codigo Finca]],Tabla4[Codigo Finca],Tabla4[Nombre Finca],"")</f>
        <v>Pedrito</v>
      </c>
      <c r="I536" s="277">
        <f>_xlfn.XLOOKUP(Tabla14[[#This Row],[Codigo Finca]],Tabla4[Codigo Finca],Tabla4[Precio Caja],0)</f>
        <v>1800</v>
      </c>
      <c r="J536" s="277">
        <f>_xlfn.XLOOKUP(Tabla14[[#This Row],[Codigo Finca]],Tabla4[Codigo Finca],Tabla4[Precio Caja Segunda],0)</f>
        <v>1150</v>
      </c>
      <c r="K536" s="277">
        <f>_xlfn.XLOOKUP(Tabla14[[#This Row],[Codigo Finca]],Tabla4[Codigo Finca],Tabla4[Precio Rechazo],0)</f>
        <v>575</v>
      </c>
      <c r="L536" s="277">
        <f t="shared" si="555"/>
        <v>793</v>
      </c>
      <c r="M536" s="278">
        <f t="shared" si="556"/>
        <v>15.25</v>
      </c>
      <c r="N536" s="283"/>
      <c r="O536" s="279"/>
      <c r="P536" s="280">
        <f t="shared" si="557"/>
        <v>0</v>
      </c>
      <c r="Q536" s="281">
        <f t="shared" si="558"/>
        <v>0</v>
      </c>
      <c r="R536" s="282">
        <f t="shared" si="559"/>
        <v>0</v>
      </c>
      <c r="S536" s="283">
        <v>793</v>
      </c>
      <c r="T536" s="275">
        <v>7</v>
      </c>
      <c r="U536" s="280">
        <f t="shared" si="560"/>
        <v>52</v>
      </c>
      <c r="V536" s="281">
        <f t="shared" si="561"/>
        <v>7.4285714285714288</v>
      </c>
      <c r="W536" s="282">
        <f t="shared" si="562"/>
        <v>13371.428571428571</v>
      </c>
      <c r="X536" s="283"/>
      <c r="Y536" s="275"/>
      <c r="Z536" s="280">
        <f>Tabla14[[#This Row],[Cajas Segunda]]</f>
        <v>0</v>
      </c>
      <c r="AA536" s="281">
        <f t="shared" si="563"/>
        <v>0</v>
      </c>
      <c r="AB536" s="284">
        <f t="shared" si="564"/>
        <v>0</v>
      </c>
      <c r="AC536" s="285">
        <v>14</v>
      </c>
      <c r="AD536" s="286"/>
      <c r="AE536" s="286"/>
      <c r="AF536" s="286"/>
      <c r="AG536" s="286">
        <v>7</v>
      </c>
      <c r="AH536" s="280">
        <f t="shared" si="565"/>
        <v>14</v>
      </c>
      <c r="AI536" s="281">
        <f t="shared" si="566"/>
        <v>2</v>
      </c>
      <c r="AJ536" s="282">
        <f t="shared" si="567"/>
        <v>1150</v>
      </c>
      <c r="AK536" s="287">
        <f>Tabla14[[#This Row],[Cajas por Personas]]</f>
        <v>0</v>
      </c>
      <c r="AL536" s="288">
        <f>Tabla14[[#This Row],[Valor Precorte Pesona]]</f>
        <v>0</v>
      </c>
      <c r="AM536" s="294">
        <f>Tabla14[[#This Row],[Personas Precorte]]</f>
        <v>0</v>
      </c>
      <c r="AN536" s="308">
        <f>Tabla14[[#This Row],[Valor Precorte Pesona Precorte]]*Tabla14[[#This Row],[Perzonas Precorte]]</f>
        <v>0</v>
      </c>
      <c r="AO536" s="287">
        <f>Tabla14[[#This Row],[Cajas por Personas2]]</f>
        <v>7.4285714285714288</v>
      </c>
      <c r="AP536" s="288">
        <f>Tabla14[[#This Row],[Valor Embarque Pesona]]</f>
        <v>13371.428571428571</v>
      </c>
      <c r="AQ536" s="295">
        <f>Tabla14[[#This Row],[Personas Precorte2]]</f>
        <v>7</v>
      </c>
      <c r="AR536" s="296">
        <f>Tabla14[[#This Row],[Valor Embarque Pesona3]]*Tabla14[[#This Row],[Perzona Primera]]</f>
        <v>93600</v>
      </c>
      <c r="AS536" s="287">
        <f>Tabla14[[#This Row],[Columna2]]</f>
        <v>0</v>
      </c>
      <c r="AT536" s="288">
        <f>Tabla14[[#This Row],[Columna1]]</f>
        <v>0</v>
      </c>
      <c r="AU536" s="302">
        <f>Tabla14[[#This Row],[Personas Intervienen]]</f>
        <v>0</v>
      </c>
      <c r="AV536" s="297">
        <f>Tabla14[[#This Row],[Valor Embarque Pesona5]]*Tabla14[[#This Row],[Presonas Segunda]]</f>
        <v>0</v>
      </c>
      <c r="AW536" s="287">
        <f>Tabla14[[#This Row],[Bolsas Por Personas]]</f>
        <v>2</v>
      </c>
      <c r="AX536" s="288">
        <f>Tabla14[[#This Row],[Valor bolsas Pesona]]</f>
        <v>1150</v>
      </c>
      <c r="AY536" s="309">
        <f>Tabla14[[#This Row],[Personas13]]</f>
        <v>7</v>
      </c>
      <c r="AZ536" s="310">
        <f>Tabla14[[#This Row],[Valor bolsas Pesona2]]*Tabla14[[#This Row],[Personas Rechazo]]</f>
        <v>8050</v>
      </c>
      <c r="BA536" s="311">
        <f>+Tabla14[[#This Row],[Total Valor Segunda]]+Tabla14[[#This Row],[Total Valor Primera]]+Tabla14[[#This Row],[Total Valor Precorte]]</f>
        <v>93600</v>
      </c>
      <c r="BB536" s="292">
        <f>Tabla14[[#This Row],[Valor bolsas Pesona2]]+Tabla14[[#This Row],[Valor Embarque Pesona3]]</f>
        <v>14521.428571428571</v>
      </c>
      <c r="BC536" s="332">
        <v>40000</v>
      </c>
      <c r="BD536" s="292">
        <f>Tabla14[[#This Row],[VALOR GANADO]]-Tabla14[[#This Row],[REAJUSTADO]]</f>
        <v>-25478.571428571428</v>
      </c>
      <c r="BE536" s="250">
        <f>Tabla14[[#This Row],[CUANTO SE REAJUSTA]]*Tabla14[[#This Row],[Personas Rechazo]]</f>
        <v>-178350</v>
      </c>
      <c r="BF536" s="250">
        <f>Tabla14[[#This Row],[REAJUSTADO]]/25000</f>
        <v>1.6</v>
      </c>
      <c r="BG536" s="302">
        <f>Tabla14[[#This Row],[REAJUSTADO]]*Tabla14[[#This Row],[Personas Rechazo]]</f>
        <v>280000</v>
      </c>
      <c r="BH536" s="292" t="str">
        <f>Tabla14[[#This Row],[Finca]]</f>
        <v>Pedrito</v>
      </c>
      <c r="BJ536" s="332">
        <f>Tabla14[[#This Row],[Numero de Ocacionales]]*Tabla14[[#This Row],[REAJUSTADO]]</f>
        <v>0</v>
      </c>
      <c r="BK536" s="332"/>
      <c r="BL536" s="332"/>
      <c r="BM536" s="332">
        <f>+Tabla14[[#This Row],[CUANTO SE REAJUSTA]]*3</f>
        <v>-76435.71428571429</v>
      </c>
    </row>
    <row r="537" spans="3:65" x14ac:dyDescent="0.25">
      <c r="C537" s="515">
        <v>45294</v>
      </c>
      <c r="D537" s="549">
        <f>YEAR(Tabla14[[#This Row],[Fecha]])</f>
        <v>2024</v>
      </c>
      <c r="E537" s="516">
        <f>IF(Tabla14[[#This Row],[Fecha]]&gt;0,_xlfn.ISOWEEKNUM(Tabla14[[#This Row],[Fecha]]),0)</f>
        <v>1</v>
      </c>
      <c r="F537" s="283"/>
      <c r="G537" s="275" t="s">
        <v>247</v>
      </c>
      <c r="H537" s="325" t="str">
        <f>_xlfn.XLOOKUP(Tabla14[[#This Row],[Codigo Finca]],Tabla4[Codigo Finca],Tabla4[Nombre Finca],"")</f>
        <v>Uveros</v>
      </c>
      <c r="I537" s="277">
        <f>_xlfn.XLOOKUP(Tabla14[[#This Row],[Codigo Finca]],Tabla4[Codigo Finca],Tabla4[Precio Caja],0)</f>
        <v>1800</v>
      </c>
      <c r="J537" s="277">
        <f>_xlfn.XLOOKUP(Tabla14[[#This Row],[Codigo Finca]],Tabla4[Codigo Finca],Tabla4[Precio Caja Segunda],0)</f>
        <v>1150</v>
      </c>
      <c r="K537" s="277">
        <f>_xlfn.XLOOKUP(Tabla14[[#This Row],[Codigo Finca]],Tabla4[Codigo Finca],Tabla4[Precio Rechazo],0)</f>
        <v>575</v>
      </c>
      <c r="L537" s="277">
        <f t="shared" si="555"/>
        <v>0</v>
      </c>
      <c r="M537" s="278">
        <f t="shared" si="556"/>
        <v>0</v>
      </c>
      <c r="N537" s="283"/>
      <c r="O537" s="279"/>
      <c r="P537" s="280">
        <f t="shared" si="557"/>
        <v>0</v>
      </c>
      <c r="Q537" s="281">
        <f t="shared" si="558"/>
        <v>0</v>
      </c>
      <c r="R537" s="282">
        <f t="shared" si="559"/>
        <v>0</v>
      </c>
      <c r="S537" s="283"/>
      <c r="T537" s="275"/>
      <c r="U537" s="280">
        <f t="shared" si="560"/>
        <v>0</v>
      </c>
      <c r="V537" s="281">
        <f t="shared" si="561"/>
        <v>0</v>
      </c>
      <c r="W537" s="282">
        <f t="shared" si="562"/>
        <v>0</v>
      </c>
      <c r="X537" s="283"/>
      <c r="Y537" s="275"/>
      <c r="Z537" s="280">
        <f>Tabla14[[#This Row],[Cajas Segunda]]</f>
        <v>0</v>
      </c>
      <c r="AA537" s="281">
        <f t="shared" si="563"/>
        <v>0</v>
      </c>
      <c r="AB537" s="284">
        <f t="shared" si="564"/>
        <v>0</v>
      </c>
      <c r="AC537" s="285">
        <v>5</v>
      </c>
      <c r="AD537" s="286"/>
      <c r="AE537" s="286"/>
      <c r="AF537" s="286"/>
      <c r="AG537" s="286"/>
      <c r="AH537" s="280">
        <f t="shared" si="565"/>
        <v>5</v>
      </c>
      <c r="AI537" s="281">
        <f t="shared" si="566"/>
        <v>0</v>
      </c>
      <c r="AJ537" s="282">
        <f t="shared" si="567"/>
        <v>0</v>
      </c>
      <c r="AK537" s="287">
        <f>Tabla14[[#This Row],[Cajas por Personas]]</f>
        <v>0</v>
      </c>
      <c r="AL537" s="288">
        <f>Tabla14[[#This Row],[Valor Precorte Pesona]]</f>
        <v>0</v>
      </c>
      <c r="AM537" s="294">
        <f>Tabla14[[#This Row],[Personas Precorte]]</f>
        <v>0</v>
      </c>
      <c r="AN537" s="308">
        <f>Tabla14[[#This Row],[Valor Precorte Pesona Precorte]]*Tabla14[[#This Row],[Perzonas Precorte]]</f>
        <v>0</v>
      </c>
      <c r="AO537" s="287">
        <f>Tabla14[[#This Row],[Cajas por Personas2]]</f>
        <v>0</v>
      </c>
      <c r="AP537" s="288">
        <f>Tabla14[[#This Row],[Valor Embarque Pesona]]</f>
        <v>0</v>
      </c>
      <c r="AQ537" s="295">
        <f>Tabla14[[#This Row],[Personas Precorte2]]</f>
        <v>0</v>
      </c>
      <c r="AR537" s="296">
        <f>Tabla14[[#This Row],[Valor Embarque Pesona3]]*Tabla14[[#This Row],[Perzona Primera]]</f>
        <v>0</v>
      </c>
      <c r="AS537" s="287">
        <f>Tabla14[[#This Row],[Columna2]]</f>
        <v>0</v>
      </c>
      <c r="AT537" s="288">
        <f>Tabla14[[#This Row],[Columna1]]</f>
        <v>0</v>
      </c>
      <c r="AU537" s="302">
        <f>Tabla14[[#This Row],[Personas Intervienen]]</f>
        <v>0</v>
      </c>
      <c r="AV537" s="297">
        <f>Tabla14[[#This Row],[Valor Embarque Pesona5]]*Tabla14[[#This Row],[Presonas Segunda]]</f>
        <v>0</v>
      </c>
      <c r="AW537" s="287">
        <f>Tabla14[[#This Row],[Bolsas Por Personas]]</f>
        <v>0</v>
      </c>
      <c r="AX537" s="288">
        <f>Tabla14[[#This Row],[Valor bolsas Pesona]]</f>
        <v>0</v>
      </c>
      <c r="AY537" s="309">
        <f>Tabla14[[#This Row],[Personas13]]</f>
        <v>0</v>
      </c>
      <c r="AZ537" s="310">
        <f>Tabla14[[#This Row],[Valor bolsas Pesona2]]*Tabla14[[#This Row],[Personas Rechazo]]</f>
        <v>0</v>
      </c>
      <c r="BA537" s="311">
        <f>+Tabla14[[#This Row],[Total Valor Segunda]]+Tabla14[[#This Row],[Total Valor Primera]]+Tabla14[[#This Row],[Total Valor Precorte]]</f>
        <v>0</v>
      </c>
      <c r="BB537" s="292">
        <f>Tabla14[[#This Row],[Valor bolsas Pesona2]]+Tabla14[[#This Row],[Valor Embarque Pesona3]]</f>
        <v>0</v>
      </c>
      <c r="BD537" s="292">
        <f>Tabla14[[#This Row],[VALOR GANADO]]-Tabla14[[#This Row],[REAJUSTADO]]</f>
        <v>0</v>
      </c>
      <c r="BE537" s="250">
        <f>Tabla14[[#This Row],[CUANTO SE REAJUSTA]]*Tabla14[[#This Row],[Personas Rechazo]]</f>
        <v>0</v>
      </c>
      <c r="BF537" s="250">
        <f>Tabla14[[#This Row],[REAJUSTADO]]/25000</f>
        <v>0</v>
      </c>
      <c r="BG537" s="302">
        <f>Tabla14[[#This Row],[REAJUSTADO]]*Tabla14[[#This Row],[Personas Rechazo]]</f>
        <v>0</v>
      </c>
      <c r="BH537" s="292" t="str">
        <f>Tabla14[[#This Row],[Finca]]</f>
        <v>Uveros</v>
      </c>
      <c r="BJ537" s="332">
        <f>Tabla14[[#This Row],[Numero de Ocacionales]]*Tabla14[[#This Row],[REAJUSTADO]]</f>
        <v>0</v>
      </c>
      <c r="BK537" s="332"/>
      <c r="BL537" s="332"/>
      <c r="BM537" s="332">
        <f>+Tabla14[[#This Row],[CUANTO SE REAJUSTA]]*3</f>
        <v>0</v>
      </c>
    </row>
    <row r="538" spans="3:65" x14ac:dyDescent="0.25">
      <c r="C538" s="515">
        <v>45295</v>
      </c>
      <c r="D538" s="549">
        <f>YEAR(Tabla14[[#This Row],[Fecha]])</f>
        <v>2024</v>
      </c>
      <c r="E538" s="516">
        <f>IF(Tabla14[[#This Row],[Fecha]]&gt;0,_xlfn.ISOWEEKNUM(Tabla14[[#This Row],[Fecha]]),0)</f>
        <v>1</v>
      </c>
      <c r="F538" s="283"/>
      <c r="G538" s="275" t="s">
        <v>248</v>
      </c>
      <c r="H538" s="325" t="str">
        <f>_xlfn.XLOOKUP(Tabla14[[#This Row],[Codigo Finca]],Tabla4[Codigo Finca],Tabla4[Nombre Finca],"")</f>
        <v>Damaquiel</v>
      </c>
      <c r="I538" s="277">
        <f>_xlfn.XLOOKUP(Tabla14[[#This Row],[Codigo Finca]],Tabla4[Codigo Finca],Tabla4[Precio Caja],0)</f>
        <v>1800</v>
      </c>
      <c r="J538" s="277">
        <f>_xlfn.XLOOKUP(Tabla14[[#This Row],[Codigo Finca]],Tabla4[Codigo Finca],Tabla4[Precio Caja Segunda],0)</f>
        <v>1150</v>
      </c>
      <c r="K538" s="277">
        <f>_xlfn.XLOOKUP(Tabla14[[#This Row],[Codigo Finca]],Tabla4[Codigo Finca],Tabla4[Precio Rechazo],0)</f>
        <v>575</v>
      </c>
      <c r="L538" s="277">
        <f t="shared" si="555"/>
        <v>0</v>
      </c>
      <c r="M538" s="278">
        <f t="shared" si="556"/>
        <v>0</v>
      </c>
      <c r="N538" s="283"/>
      <c r="O538" s="279"/>
      <c r="P538" s="280">
        <f t="shared" si="557"/>
        <v>0</v>
      </c>
      <c r="Q538" s="281">
        <f t="shared" si="558"/>
        <v>0</v>
      </c>
      <c r="R538" s="282">
        <f t="shared" si="559"/>
        <v>0</v>
      </c>
      <c r="S538" s="283"/>
      <c r="T538" s="275"/>
      <c r="U538" s="280">
        <f t="shared" si="560"/>
        <v>0</v>
      </c>
      <c r="V538" s="281">
        <f t="shared" si="561"/>
        <v>0</v>
      </c>
      <c r="W538" s="282">
        <f t="shared" si="562"/>
        <v>0</v>
      </c>
      <c r="X538" s="283"/>
      <c r="Y538" s="275"/>
      <c r="Z538" s="280">
        <f>Tabla14[[#This Row],[Cajas Segunda]]</f>
        <v>0</v>
      </c>
      <c r="AA538" s="281">
        <f t="shared" si="563"/>
        <v>0</v>
      </c>
      <c r="AB538" s="284">
        <f t="shared" si="564"/>
        <v>0</v>
      </c>
      <c r="AC538" s="285">
        <v>7</v>
      </c>
      <c r="AD538" s="286"/>
      <c r="AE538" s="286"/>
      <c r="AF538" s="286"/>
      <c r="AG538" s="286"/>
      <c r="AH538" s="280">
        <f t="shared" si="565"/>
        <v>7</v>
      </c>
      <c r="AI538" s="281">
        <f t="shared" si="566"/>
        <v>0</v>
      </c>
      <c r="AJ538" s="282">
        <f t="shared" si="567"/>
        <v>0</v>
      </c>
      <c r="AK538" s="287">
        <f>Tabla14[[#This Row],[Cajas por Personas]]</f>
        <v>0</v>
      </c>
      <c r="AL538" s="288">
        <f>Tabla14[[#This Row],[Valor Precorte Pesona]]</f>
        <v>0</v>
      </c>
      <c r="AM538" s="294">
        <f>Tabla14[[#This Row],[Personas Precorte]]</f>
        <v>0</v>
      </c>
      <c r="AN538" s="308">
        <f>Tabla14[[#This Row],[Valor Precorte Pesona Precorte]]*Tabla14[[#This Row],[Perzonas Precorte]]</f>
        <v>0</v>
      </c>
      <c r="AO538" s="287">
        <f>Tabla14[[#This Row],[Cajas por Personas2]]</f>
        <v>0</v>
      </c>
      <c r="AP538" s="288">
        <f>Tabla14[[#This Row],[Valor Embarque Pesona]]</f>
        <v>0</v>
      </c>
      <c r="AQ538" s="295">
        <f>Tabla14[[#This Row],[Personas Precorte2]]</f>
        <v>0</v>
      </c>
      <c r="AR538" s="296">
        <f>Tabla14[[#This Row],[Valor Embarque Pesona3]]*Tabla14[[#This Row],[Perzona Primera]]</f>
        <v>0</v>
      </c>
      <c r="AS538" s="287">
        <f>Tabla14[[#This Row],[Columna2]]</f>
        <v>0</v>
      </c>
      <c r="AT538" s="288">
        <f>Tabla14[[#This Row],[Columna1]]</f>
        <v>0</v>
      </c>
      <c r="AU538" s="302">
        <f>Tabla14[[#This Row],[Personas Intervienen]]</f>
        <v>0</v>
      </c>
      <c r="AV538" s="297">
        <f>Tabla14[[#This Row],[Valor Embarque Pesona5]]*Tabla14[[#This Row],[Presonas Segunda]]</f>
        <v>0</v>
      </c>
      <c r="AW538" s="287">
        <f>Tabla14[[#This Row],[Bolsas Por Personas]]</f>
        <v>0</v>
      </c>
      <c r="AX538" s="288">
        <f>Tabla14[[#This Row],[Valor bolsas Pesona]]</f>
        <v>0</v>
      </c>
      <c r="AY538" s="309">
        <f>Tabla14[[#This Row],[Personas13]]</f>
        <v>0</v>
      </c>
      <c r="AZ538" s="310">
        <f>Tabla14[[#This Row],[Valor bolsas Pesona2]]*Tabla14[[#This Row],[Personas Rechazo]]</f>
        <v>0</v>
      </c>
      <c r="BA538" s="311">
        <f>+Tabla14[[#This Row],[Total Valor Segunda]]+Tabla14[[#This Row],[Total Valor Primera]]+Tabla14[[#This Row],[Total Valor Precorte]]</f>
        <v>0</v>
      </c>
      <c r="BB538" s="292">
        <f>Tabla14[[#This Row],[Valor bolsas Pesona2]]+Tabla14[[#This Row],[Valor Embarque Pesona3]]</f>
        <v>0</v>
      </c>
      <c r="BD538" s="292">
        <f>Tabla14[[#This Row],[VALOR GANADO]]-Tabla14[[#This Row],[REAJUSTADO]]</f>
        <v>0</v>
      </c>
      <c r="BE538" s="250">
        <f>Tabla14[[#This Row],[CUANTO SE REAJUSTA]]*Tabla14[[#This Row],[Personas Rechazo]]</f>
        <v>0</v>
      </c>
      <c r="BF538" s="250">
        <f>Tabla14[[#This Row],[REAJUSTADO]]/25000</f>
        <v>0</v>
      </c>
      <c r="BG538" s="302">
        <f>Tabla14[[#This Row],[REAJUSTADO]]*Tabla14[[#This Row],[Personas Rechazo]]</f>
        <v>0</v>
      </c>
      <c r="BH538" s="292" t="str">
        <f>Tabla14[[#This Row],[Finca]]</f>
        <v>Damaquiel</v>
      </c>
      <c r="BJ538" s="332">
        <f>Tabla14[[#This Row],[Numero de Ocacionales]]*Tabla14[[#This Row],[REAJUSTADO]]</f>
        <v>0</v>
      </c>
      <c r="BK538" s="332"/>
      <c r="BL538" s="332"/>
      <c r="BM538" s="332">
        <f>+Tabla14[[#This Row],[CUANTO SE REAJUSTA]]*3</f>
        <v>0</v>
      </c>
    </row>
    <row r="539" spans="3:65" x14ac:dyDescent="0.25">
      <c r="C539" s="515">
        <v>45300</v>
      </c>
      <c r="D539" s="549">
        <f>YEAR(Tabla14[[#This Row],[Fecha]])</f>
        <v>2024</v>
      </c>
      <c r="E539" s="516">
        <f>IF(Tabla14[[#This Row],[Fecha]]&gt;0,_xlfn.ISOWEEKNUM(Tabla14[[#This Row],[Fecha]]),0)</f>
        <v>2</v>
      </c>
      <c r="F539" s="283">
        <v>318</v>
      </c>
      <c r="G539" s="275" t="s">
        <v>250</v>
      </c>
      <c r="H539" s="325" t="str">
        <f>_xlfn.XLOOKUP(Tabla14[[#This Row],[Codigo Finca]],Tabla4[Codigo Finca],Tabla4[Nombre Finca],"")</f>
        <v>San Pedro</v>
      </c>
      <c r="I539" s="277">
        <f>_xlfn.XLOOKUP(Tabla14[[#This Row],[Codigo Finca]],Tabla4[Codigo Finca],Tabla4[Precio Caja],0)</f>
        <v>1800</v>
      </c>
      <c r="J539" s="277">
        <f>_xlfn.XLOOKUP(Tabla14[[#This Row],[Codigo Finca]],Tabla4[Codigo Finca],Tabla4[Precio Caja Segunda],0)</f>
        <v>1150</v>
      </c>
      <c r="K539" s="277">
        <f>_xlfn.XLOOKUP(Tabla14[[#This Row],[Codigo Finca]],Tabla4[Codigo Finca],Tabla4[Precio Rechazo],0)</f>
        <v>575</v>
      </c>
      <c r="L539" s="277">
        <f t="shared" si="555"/>
        <v>1371</v>
      </c>
      <c r="M539" s="278">
        <f t="shared" si="556"/>
        <v>4.3113207547169807</v>
      </c>
      <c r="N539" s="283"/>
      <c r="O539" s="279"/>
      <c r="P539" s="280">
        <f t="shared" si="557"/>
        <v>0</v>
      </c>
      <c r="Q539" s="281">
        <f t="shared" si="558"/>
        <v>0</v>
      </c>
      <c r="R539" s="282">
        <f t="shared" si="559"/>
        <v>0</v>
      </c>
      <c r="S539" s="283">
        <f>231+234+157+19+236+203+291</f>
        <v>1371</v>
      </c>
      <c r="T539" s="275">
        <v>18</v>
      </c>
      <c r="U539" s="280">
        <f t="shared" si="560"/>
        <v>318</v>
      </c>
      <c r="V539" s="281">
        <f t="shared" si="561"/>
        <v>17.666666666666668</v>
      </c>
      <c r="W539" s="282">
        <f t="shared" si="562"/>
        <v>31800</v>
      </c>
      <c r="X539" s="283"/>
      <c r="Y539" s="275"/>
      <c r="Z539" s="280">
        <f>Tabla14[[#This Row],[Cajas Segunda]]</f>
        <v>0</v>
      </c>
      <c r="AA539" s="281">
        <f t="shared" si="563"/>
        <v>0</v>
      </c>
      <c r="AB539" s="284">
        <f t="shared" si="564"/>
        <v>0</v>
      </c>
      <c r="AC539" s="285"/>
      <c r="AD539" s="286">
        <f>2275+1781.4</f>
        <v>4056.4</v>
      </c>
      <c r="AE539" s="286"/>
      <c r="AF539" s="286"/>
      <c r="AG539" s="286">
        <v>18</v>
      </c>
      <c r="AH539" s="280">
        <f t="shared" si="565"/>
        <v>162.256</v>
      </c>
      <c r="AI539" s="281">
        <f t="shared" si="566"/>
        <v>9.014222222222223</v>
      </c>
      <c r="AJ539" s="282">
        <f t="shared" si="567"/>
        <v>5183.1777777777779</v>
      </c>
      <c r="AK539" s="287">
        <f>Tabla14[[#This Row],[Cajas por Personas]]</f>
        <v>0</v>
      </c>
      <c r="AL539" s="288">
        <f>Tabla14[[#This Row],[Valor Precorte Pesona]]</f>
        <v>0</v>
      </c>
      <c r="AM539" s="294">
        <f>Tabla14[[#This Row],[Personas Precorte]]</f>
        <v>0</v>
      </c>
      <c r="AN539" s="308">
        <f>Tabla14[[#This Row],[Valor Precorte Pesona Precorte]]*Tabla14[[#This Row],[Perzonas Precorte]]</f>
        <v>0</v>
      </c>
      <c r="AO539" s="287">
        <f>Tabla14[[#This Row],[Cajas por Personas2]]</f>
        <v>17.666666666666668</v>
      </c>
      <c r="AP539" s="288">
        <f>Tabla14[[#This Row],[Valor Embarque Pesona]]</f>
        <v>31800</v>
      </c>
      <c r="AQ539" s="295">
        <f>Tabla14[[#This Row],[Personas Precorte2]]</f>
        <v>18</v>
      </c>
      <c r="AR539" s="296">
        <f>Tabla14[[#This Row],[Valor Embarque Pesona3]]*Tabla14[[#This Row],[Perzona Primera]]</f>
        <v>572400</v>
      </c>
      <c r="AS539" s="287">
        <f>Tabla14[[#This Row],[Columna2]]</f>
        <v>0</v>
      </c>
      <c r="AT539" s="288">
        <f>Tabla14[[#This Row],[Columna1]]</f>
        <v>0</v>
      </c>
      <c r="AU539" s="302">
        <f>Tabla14[[#This Row],[Personas Intervienen]]</f>
        <v>0</v>
      </c>
      <c r="AV539" s="297">
        <f>Tabla14[[#This Row],[Valor Embarque Pesona5]]*Tabla14[[#This Row],[Presonas Segunda]]</f>
        <v>0</v>
      </c>
      <c r="AW539" s="287">
        <f>Tabla14[[#This Row],[Bolsas Por Personas]]</f>
        <v>9.014222222222223</v>
      </c>
      <c r="AX539" s="288">
        <f>Tabla14[[#This Row],[Valor bolsas Pesona]]</f>
        <v>5183.1777777777779</v>
      </c>
      <c r="AY539" s="309">
        <f>Tabla14[[#This Row],[Personas13]]</f>
        <v>18</v>
      </c>
      <c r="AZ539" s="310">
        <f>Tabla14[[#This Row],[Valor bolsas Pesona2]]*Tabla14[[#This Row],[Personas Rechazo]]</f>
        <v>93297.2</v>
      </c>
      <c r="BA539" s="311">
        <f>+Tabla14[[#This Row],[Total Valor Segunda]]+Tabla14[[#This Row],[Total Valor Primera]]+Tabla14[[#This Row],[Total Valor Precorte]]</f>
        <v>572400</v>
      </c>
      <c r="BB539" s="292">
        <f>Tabla14[[#This Row],[Valor bolsas Pesona2]]+Tabla14[[#This Row],[Valor Embarque Pesona3]]</f>
        <v>36983.177777777775</v>
      </c>
      <c r="BC539" s="332">
        <v>40000</v>
      </c>
      <c r="BD539" s="292">
        <f>Tabla14[[#This Row],[VALOR GANADO]]-Tabla14[[#This Row],[REAJUSTADO]]</f>
        <v>-3016.8222222222248</v>
      </c>
      <c r="BE539" s="250">
        <f>Tabla14[[#This Row],[CUANTO SE REAJUSTA]]*Tabla14[[#This Row],[Personas Rechazo]]</f>
        <v>-54302.800000000047</v>
      </c>
      <c r="BF539" s="250">
        <f>Tabla14[[#This Row],[REAJUSTADO]]/25000</f>
        <v>1.6</v>
      </c>
      <c r="BG539" s="302">
        <f>Tabla14[[#This Row],[REAJUSTADO]]*Tabla14[[#This Row],[Personas Rechazo]]</f>
        <v>720000</v>
      </c>
      <c r="BH539" s="292" t="str">
        <f>Tabla14[[#This Row],[Finca]]</f>
        <v>San Pedro</v>
      </c>
      <c r="BJ539" s="332">
        <f>Tabla14[[#This Row],[Numero de Ocacionales]]*Tabla14[[#This Row],[REAJUSTADO]]</f>
        <v>0</v>
      </c>
      <c r="BK539" s="332"/>
      <c r="BL539" s="332"/>
      <c r="BM539" s="332">
        <f>+Tabla14[[#This Row],[CUANTO SE REAJUSTA]]*3</f>
        <v>-9050.4666666666744</v>
      </c>
    </row>
    <row r="540" spans="3:65" x14ac:dyDescent="0.25">
      <c r="C540" s="515">
        <v>45301</v>
      </c>
      <c r="D540" s="549">
        <f>YEAR(Tabla14[[#This Row],[Fecha]])</f>
        <v>2024</v>
      </c>
      <c r="E540" s="516">
        <f>IF(Tabla14[[#This Row],[Fecha]]&gt;0,_xlfn.ISOWEEKNUM(Tabla14[[#This Row],[Fecha]]),0)</f>
        <v>2</v>
      </c>
      <c r="F540" s="283">
        <v>90</v>
      </c>
      <c r="G540" s="275" t="s">
        <v>250</v>
      </c>
      <c r="H540" s="325" t="str">
        <f>_xlfn.XLOOKUP(Tabla14[[#This Row],[Codigo Finca]],Tabla4[Codigo Finca],Tabla4[Nombre Finca],"")</f>
        <v>San Pedro</v>
      </c>
      <c r="I540" s="277">
        <f>_xlfn.XLOOKUP(Tabla14[[#This Row],[Codigo Finca]],Tabla4[Codigo Finca],Tabla4[Precio Caja],0)</f>
        <v>1800</v>
      </c>
      <c r="J540" s="277">
        <f>_xlfn.XLOOKUP(Tabla14[[#This Row],[Codigo Finca]],Tabla4[Codigo Finca],Tabla4[Precio Caja Segunda],0)</f>
        <v>1150</v>
      </c>
      <c r="K540" s="277">
        <f>_xlfn.XLOOKUP(Tabla14[[#This Row],[Codigo Finca]],Tabla4[Codigo Finca],Tabla4[Precio Rechazo],0)</f>
        <v>575</v>
      </c>
      <c r="L540" s="277">
        <f t="shared" si="555"/>
        <v>0</v>
      </c>
      <c r="M540" s="278">
        <f t="shared" si="556"/>
        <v>0</v>
      </c>
      <c r="N540" s="283"/>
      <c r="O540" s="279"/>
      <c r="P540" s="280">
        <f t="shared" si="557"/>
        <v>0</v>
      </c>
      <c r="Q540" s="281">
        <f t="shared" si="558"/>
        <v>0</v>
      </c>
      <c r="R540" s="282">
        <f t="shared" si="559"/>
        <v>0</v>
      </c>
      <c r="S540" s="283"/>
      <c r="T540" s="275">
        <v>7</v>
      </c>
      <c r="U540" s="280">
        <f t="shared" si="560"/>
        <v>90</v>
      </c>
      <c r="V540" s="281">
        <f t="shared" si="561"/>
        <v>12.857142857142858</v>
      </c>
      <c r="W540" s="282">
        <f t="shared" si="562"/>
        <v>23142.857142857141</v>
      </c>
      <c r="X540" s="283"/>
      <c r="Y540" s="275"/>
      <c r="Z540" s="280">
        <f>Tabla14[[#This Row],[Cajas Segunda]]</f>
        <v>0</v>
      </c>
      <c r="AA540" s="281">
        <f t="shared" si="563"/>
        <v>0</v>
      </c>
      <c r="AB540" s="284">
        <f t="shared" si="564"/>
        <v>0</v>
      </c>
      <c r="AC540" s="285"/>
      <c r="AD540" s="286">
        <v>1248</v>
      </c>
      <c r="AE540" s="286"/>
      <c r="AF540" s="286"/>
      <c r="AG540" s="286">
        <v>7</v>
      </c>
      <c r="AH540" s="280">
        <f t="shared" si="565"/>
        <v>49.92</v>
      </c>
      <c r="AI540" s="281">
        <f t="shared" si="566"/>
        <v>7.1314285714285717</v>
      </c>
      <c r="AJ540" s="282">
        <f t="shared" si="567"/>
        <v>4100.5714285714284</v>
      </c>
      <c r="AK540" s="287">
        <f>Tabla14[[#This Row],[Cajas por Personas]]</f>
        <v>0</v>
      </c>
      <c r="AL540" s="288">
        <f>Tabla14[[#This Row],[Valor Precorte Pesona]]</f>
        <v>0</v>
      </c>
      <c r="AM540" s="294">
        <f>Tabla14[[#This Row],[Personas Precorte]]</f>
        <v>0</v>
      </c>
      <c r="AN540" s="308">
        <f>Tabla14[[#This Row],[Valor Precorte Pesona Precorte]]*Tabla14[[#This Row],[Perzonas Precorte]]</f>
        <v>0</v>
      </c>
      <c r="AO540" s="287">
        <f>Tabla14[[#This Row],[Cajas por Personas2]]</f>
        <v>12.857142857142858</v>
      </c>
      <c r="AP540" s="288">
        <f>Tabla14[[#This Row],[Valor Embarque Pesona]]</f>
        <v>23142.857142857141</v>
      </c>
      <c r="AQ540" s="295">
        <f>Tabla14[[#This Row],[Personas Precorte2]]</f>
        <v>7</v>
      </c>
      <c r="AR540" s="296">
        <f>Tabla14[[#This Row],[Valor Embarque Pesona3]]*Tabla14[[#This Row],[Perzona Primera]]</f>
        <v>162000</v>
      </c>
      <c r="AS540" s="287">
        <f>Tabla14[[#This Row],[Columna2]]</f>
        <v>0</v>
      </c>
      <c r="AT540" s="288">
        <f>Tabla14[[#This Row],[Columna1]]</f>
        <v>0</v>
      </c>
      <c r="AU540" s="302">
        <f>Tabla14[[#This Row],[Personas Intervienen]]</f>
        <v>0</v>
      </c>
      <c r="AV540" s="297">
        <f>Tabla14[[#This Row],[Valor Embarque Pesona5]]*Tabla14[[#This Row],[Presonas Segunda]]</f>
        <v>0</v>
      </c>
      <c r="AW540" s="287">
        <f>Tabla14[[#This Row],[Bolsas Por Personas]]</f>
        <v>7.1314285714285717</v>
      </c>
      <c r="AX540" s="288">
        <f>Tabla14[[#This Row],[Valor bolsas Pesona]]</f>
        <v>4100.5714285714284</v>
      </c>
      <c r="AY540" s="309">
        <f>Tabla14[[#This Row],[Personas13]]</f>
        <v>7</v>
      </c>
      <c r="AZ540" s="310">
        <f>Tabla14[[#This Row],[Valor bolsas Pesona2]]*Tabla14[[#This Row],[Personas Rechazo]]</f>
        <v>28704</v>
      </c>
      <c r="BA540" s="311">
        <f>+Tabla14[[#This Row],[Total Valor Segunda]]+Tabla14[[#This Row],[Total Valor Primera]]+Tabla14[[#This Row],[Total Valor Precorte]]</f>
        <v>162000</v>
      </c>
      <c r="BB540" s="470">
        <f>Tabla14[[#This Row],[Valor bolsas Pesona2]]+Tabla14[[#This Row],[Valor Embarque Pesona3]]</f>
        <v>27243.428571428569</v>
      </c>
      <c r="BC540" s="471">
        <f>+Tabla14[[#This Row],[VALOR GANADO]]+BB541</f>
        <v>34386.28571428571</v>
      </c>
      <c r="BD540" s="470">
        <f>Tabla14[[#This Row],[VALOR GANADO]]-Tabla14[[#This Row],[REAJUSTADO]]</f>
        <v>-7142.8571428571413</v>
      </c>
      <c r="BE540" s="250">
        <f>Tabla14[[#This Row],[CUANTO SE REAJUSTA]]*Tabla14[[#This Row],[Personas Rechazo]]</f>
        <v>-49999.999999999985</v>
      </c>
      <c r="BF540" s="250">
        <f>Tabla14[[#This Row],[REAJUSTADO]]/25000</f>
        <v>1.3754514285714283</v>
      </c>
      <c r="BG540" s="302">
        <f>Tabla14[[#This Row],[REAJUSTADO]]*Tabla14[[#This Row],[Personas Rechazo]]</f>
        <v>240703.99999999997</v>
      </c>
      <c r="BH540" s="292" t="str">
        <f>Tabla14[[#This Row],[Finca]]</f>
        <v>San Pedro</v>
      </c>
      <c r="BJ540" s="332">
        <f>Tabla14[[#This Row],[Numero de Ocacionales]]*Tabla14[[#This Row],[REAJUSTADO]]</f>
        <v>0</v>
      </c>
      <c r="BK540" s="332"/>
      <c r="BL540" s="332"/>
      <c r="BM540" s="332">
        <f>+Tabla14[[#This Row],[CUANTO SE REAJUSTA]]*3</f>
        <v>-21428.571428571424</v>
      </c>
    </row>
    <row r="541" spans="3:65" x14ac:dyDescent="0.25">
      <c r="C541" s="515">
        <v>45301</v>
      </c>
      <c r="D541" s="549">
        <f>YEAR(Tabla14[[#This Row],[Fecha]])</f>
        <v>2024</v>
      </c>
      <c r="E541" s="516">
        <f>IF(Tabla14[[#This Row],[Fecha]]&gt;0,_xlfn.ISOWEEKNUM(Tabla14[[#This Row],[Fecha]]),0)</f>
        <v>2</v>
      </c>
      <c r="F541" s="283">
        <v>25</v>
      </c>
      <c r="G541" s="275" t="s">
        <v>249</v>
      </c>
      <c r="H541" s="325" t="str">
        <f>_xlfn.XLOOKUP(Tabla14[[#This Row],[Codigo Finca]],Tabla4[Codigo Finca],Tabla4[Nombre Finca],"")</f>
        <v>San Pedro</v>
      </c>
      <c r="I541" s="277">
        <f>_xlfn.XLOOKUP(Tabla14[[#This Row],[Codigo Finca]],Tabla4[Codigo Finca],Tabla4[Precio Caja],0)</f>
        <v>2000</v>
      </c>
      <c r="J541" s="277">
        <f>_xlfn.XLOOKUP(Tabla14[[#This Row],[Codigo Finca]],Tabla4[Codigo Finca],Tabla4[Precio Caja Segunda],0)</f>
        <v>1150</v>
      </c>
      <c r="K541" s="277">
        <f>_xlfn.XLOOKUP(Tabla14[[#This Row],[Codigo Finca]],Tabla4[Codigo Finca],Tabla4[Precio Rechazo],0)</f>
        <v>675</v>
      </c>
      <c r="L541" s="277">
        <f t="shared" si="555"/>
        <v>0</v>
      </c>
      <c r="M541" s="278">
        <f t="shared" si="556"/>
        <v>0</v>
      </c>
      <c r="N541" s="283"/>
      <c r="O541" s="279"/>
      <c r="P541" s="280">
        <f t="shared" si="557"/>
        <v>0</v>
      </c>
      <c r="Q541" s="281">
        <f t="shared" si="558"/>
        <v>0</v>
      </c>
      <c r="R541" s="282">
        <f t="shared" si="559"/>
        <v>0</v>
      </c>
      <c r="S541" s="283"/>
      <c r="T541" s="275">
        <v>7</v>
      </c>
      <c r="U541" s="280">
        <f t="shared" si="560"/>
        <v>25</v>
      </c>
      <c r="V541" s="281">
        <f t="shared" si="561"/>
        <v>3.5714285714285716</v>
      </c>
      <c r="W541" s="282">
        <f t="shared" si="562"/>
        <v>7142.8571428571431</v>
      </c>
      <c r="X541" s="283"/>
      <c r="Y541" s="275"/>
      <c r="Z541" s="280">
        <f>Tabla14[[#This Row],[Cajas Segunda]]</f>
        <v>0</v>
      </c>
      <c r="AA541" s="281">
        <f t="shared" si="563"/>
        <v>0</v>
      </c>
      <c r="AB541" s="284">
        <f t="shared" si="564"/>
        <v>0</v>
      </c>
      <c r="AC541" s="285"/>
      <c r="AD541" s="286"/>
      <c r="AE541" s="286"/>
      <c r="AF541" s="286"/>
      <c r="AG541" s="286">
        <v>7</v>
      </c>
      <c r="AH541" s="280">
        <f t="shared" si="565"/>
        <v>0</v>
      </c>
      <c r="AI541" s="281">
        <f t="shared" si="566"/>
        <v>0</v>
      </c>
      <c r="AJ541" s="282">
        <f t="shared" si="567"/>
        <v>0</v>
      </c>
      <c r="AK541" s="287">
        <f>Tabla14[[#This Row],[Cajas por Personas]]</f>
        <v>0</v>
      </c>
      <c r="AL541" s="288">
        <f>Tabla14[[#This Row],[Valor Precorte Pesona]]</f>
        <v>0</v>
      </c>
      <c r="AM541" s="294">
        <f>Tabla14[[#This Row],[Personas Precorte]]</f>
        <v>0</v>
      </c>
      <c r="AN541" s="308">
        <f>Tabla14[[#This Row],[Valor Precorte Pesona Precorte]]*Tabla14[[#This Row],[Perzonas Precorte]]</f>
        <v>0</v>
      </c>
      <c r="AO541" s="287">
        <f>Tabla14[[#This Row],[Cajas por Personas2]]</f>
        <v>3.5714285714285716</v>
      </c>
      <c r="AP541" s="288">
        <f>Tabla14[[#This Row],[Valor Embarque Pesona]]</f>
        <v>7142.8571428571431</v>
      </c>
      <c r="AQ541" s="295">
        <f>Tabla14[[#This Row],[Personas Precorte2]]</f>
        <v>7</v>
      </c>
      <c r="AR541" s="296">
        <f>Tabla14[[#This Row],[Valor Embarque Pesona3]]*Tabla14[[#This Row],[Perzona Primera]]</f>
        <v>50000</v>
      </c>
      <c r="AS541" s="287">
        <f>Tabla14[[#This Row],[Columna2]]</f>
        <v>0</v>
      </c>
      <c r="AT541" s="288">
        <f>Tabla14[[#This Row],[Columna1]]</f>
        <v>0</v>
      </c>
      <c r="AU541" s="302">
        <f>Tabla14[[#This Row],[Personas Intervienen]]</f>
        <v>0</v>
      </c>
      <c r="AV541" s="297">
        <f>Tabla14[[#This Row],[Valor Embarque Pesona5]]*Tabla14[[#This Row],[Presonas Segunda]]</f>
        <v>0</v>
      </c>
      <c r="AW541" s="287">
        <f>Tabla14[[#This Row],[Bolsas Por Personas]]</f>
        <v>0</v>
      </c>
      <c r="AX541" s="288">
        <f>Tabla14[[#This Row],[Valor bolsas Pesona]]</f>
        <v>0</v>
      </c>
      <c r="AY541" s="309">
        <f>Tabla14[[#This Row],[Personas13]]</f>
        <v>7</v>
      </c>
      <c r="AZ541" s="310">
        <f>Tabla14[[#This Row],[Valor bolsas Pesona2]]*Tabla14[[#This Row],[Personas Rechazo]]</f>
        <v>0</v>
      </c>
      <c r="BA541" s="311">
        <f>+Tabla14[[#This Row],[Total Valor Segunda]]+Tabla14[[#This Row],[Total Valor Primera]]+Tabla14[[#This Row],[Total Valor Precorte]]</f>
        <v>50000</v>
      </c>
      <c r="BB541" s="470">
        <f>Tabla14[[#This Row],[Valor bolsas Pesona2]]+Tabla14[[#This Row],[Valor Embarque Pesona3]]</f>
        <v>7142.8571428571431</v>
      </c>
      <c r="BC541" s="539">
        <v>40000</v>
      </c>
      <c r="BD541" s="470">
        <f>Tabla14[[#This Row],[VALOR GANADO]]-Tabla14[[#This Row],[REAJUSTADO]]</f>
        <v>-32857.142857142855</v>
      </c>
      <c r="BE541" s="250">
        <f>Tabla14[[#This Row],[CUANTO SE REAJUSTA]]*Tabla14[[#This Row],[Personas Rechazo]]</f>
        <v>-230000</v>
      </c>
      <c r="BF541" s="250">
        <f>Tabla14[[#This Row],[REAJUSTADO]]/25000</f>
        <v>1.6</v>
      </c>
      <c r="BG541" s="302">
        <f>Tabla14[[#This Row],[REAJUSTADO]]*Tabla14[[#This Row],[Personas Rechazo]]</f>
        <v>280000</v>
      </c>
      <c r="BH541" s="292" t="str">
        <f>Tabla14[[#This Row],[Finca]]</f>
        <v>San Pedro</v>
      </c>
      <c r="BJ541" s="332">
        <f>Tabla14[[#This Row],[Numero de Ocacionales]]*Tabla14[[#This Row],[REAJUSTADO]]</f>
        <v>0</v>
      </c>
      <c r="BK541" s="332"/>
      <c r="BL541" s="332"/>
      <c r="BM541" s="332">
        <f>+Tabla14[[#This Row],[CUANTO SE REAJUSTA]]*3</f>
        <v>-98571.428571428565</v>
      </c>
    </row>
    <row r="542" spans="3:65" x14ac:dyDescent="0.25">
      <c r="C542" s="515">
        <v>45307</v>
      </c>
      <c r="D542" s="549">
        <f>YEAR(Tabla14[[#This Row],[Fecha]])</f>
        <v>2024</v>
      </c>
      <c r="E542" s="516">
        <f>IF(Tabla14[[#This Row],[Fecha]]&gt;0,_xlfn.ISOWEEKNUM(Tabla14[[#This Row],[Fecha]]),0)</f>
        <v>3</v>
      </c>
      <c r="F542" s="283">
        <v>289</v>
      </c>
      <c r="G542" s="275" t="s">
        <v>250</v>
      </c>
      <c r="H542" s="325" t="str">
        <f>_xlfn.XLOOKUP(Tabla14[[#This Row],[Codigo Finca]],Tabla4[Codigo Finca],Tabla4[Nombre Finca],"")</f>
        <v>San Pedro</v>
      </c>
      <c r="I542" s="277">
        <f>_xlfn.XLOOKUP(Tabla14[[#This Row],[Codigo Finca]],Tabla4[Codigo Finca],Tabla4[Precio Caja],0)</f>
        <v>1800</v>
      </c>
      <c r="J542" s="277">
        <f>_xlfn.XLOOKUP(Tabla14[[#This Row],[Codigo Finca]],Tabla4[Codigo Finca],Tabla4[Precio Caja Segunda],0)</f>
        <v>1150</v>
      </c>
      <c r="K542" s="277">
        <f>_xlfn.XLOOKUP(Tabla14[[#This Row],[Codigo Finca]],Tabla4[Codigo Finca],Tabla4[Precio Rechazo],0)</f>
        <v>575</v>
      </c>
      <c r="L542" s="277">
        <f t="shared" si="555"/>
        <v>1187</v>
      </c>
      <c r="M542" s="278">
        <f t="shared" si="556"/>
        <v>4.1072664359861593</v>
      </c>
      <c r="N542" s="283"/>
      <c r="O542" s="279"/>
      <c r="P542" s="280">
        <f t="shared" si="557"/>
        <v>0</v>
      </c>
      <c r="Q542" s="281">
        <f t="shared" si="558"/>
        <v>0</v>
      </c>
      <c r="R542" s="282">
        <f t="shared" si="559"/>
        <v>0</v>
      </c>
      <c r="S542" s="283">
        <v>1187</v>
      </c>
      <c r="T542" s="275"/>
      <c r="U542" s="280">
        <f t="shared" si="560"/>
        <v>289</v>
      </c>
      <c r="V542" s="281">
        <f t="shared" si="561"/>
        <v>0</v>
      </c>
      <c r="W542" s="282">
        <f t="shared" si="562"/>
        <v>0</v>
      </c>
      <c r="X542" s="283"/>
      <c r="Y542" s="275"/>
      <c r="Z542" s="280">
        <f>Tabla14[[#This Row],[Cajas Segunda]]</f>
        <v>0</v>
      </c>
      <c r="AA542" s="281">
        <f t="shared" si="563"/>
        <v>0</v>
      </c>
      <c r="AB542" s="284">
        <f t="shared" si="564"/>
        <v>0</v>
      </c>
      <c r="AC542" s="285"/>
      <c r="AD542" s="286"/>
      <c r="AE542" s="286">
        <v>100</v>
      </c>
      <c r="AF542" s="286">
        <v>90</v>
      </c>
      <c r="AG542" s="286"/>
      <c r="AH542" s="280">
        <f t="shared" si="565"/>
        <v>360</v>
      </c>
      <c r="AI542" s="281">
        <f t="shared" si="566"/>
        <v>0</v>
      </c>
      <c r="AJ542" s="282">
        <f t="shared" si="567"/>
        <v>0</v>
      </c>
      <c r="AK542" s="287">
        <f>Tabla14[[#This Row],[Cajas por Personas]]</f>
        <v>0</v>
      </c>
      <c r="AL542" s="288">
        <f>Tabla14[[#This Row],[Valor Precorte Pesona]]</f>
        <v>0</v>
      </c>
      <c r="AM542" s="294">
        <f>Tabla14[[#This Row],[Personas Precorte]]</f>
        <v>0</v>
      </c>
      <c r="AN542" s="308">
        <f>Tabla14[[#This Row],[Valor Precorte Pesona Precorte]]*Tabla14[[#This Row],[Perzonas Precorte]]</f>
        <v>0</v>
      </c>
      <c r="AO542" s="287">
        <f>Tabla14[[#This Row],[Cajas por Personas2]]</f>
        <v>0</v>
      </c>
      <c r="AP542" s="288">
        <f>Tabla14[[#This Row],[Valor Embarque Pesona]]</f>
        <v>0</v>
      </c>
      <c r="AQ542" s="295">
        <f>Tabla14[[#This Row],[Personas Precorte2]]</f>
        <v>0</v>
      </c>
      <c r="AR542" s="296">
        <f>Tabla14[[#This Row],[Valor Embarque Pesona3]]*Tabla14[[#This Row],[Perzona Primera]]</f>
        <v>0</v>
      </c>
      <c r="AS542" s="287">
        <f>Tabla14[[#This Row],[Columna2]]</f>
        <v>0</v>
      </c>
      <c r="AT542" s="288">
        <f>Tabla14[[#This Row],[Columna1]]</f>
        <v>0</v>
      </c>
      <c r="AU542" s="302">
        <f>Tabla14[[#This Row],[Personas Intervienen]]</f>
        <v>0</v>
      </c>
      <c r="AV542" s="297">
        <f>Tabla14[[#This Row],[Valor Embarque Pesona5]]*Tabla14[[#This Row],[Presonas Segunda]]</f>
        <v>0</v>
      </c>
      <c r="AW542" s="287">
        <f>Tabla14[[#This Row],[Bolsas Por Personas]]</f>
        <v>0</v>
      </c>
      <c r="AX542" s="288">
        <f>Tabla14[[#This Row],[Valor bolsas Pesona]]</f>
        <v>0</v>
      </c>
      <c r="AY542" s="309">
        <f>Tabla14[[#This Row],[Personas13]]</f>
        <v>0</v>
      </c>
      <c r="AZ542" s="310">
        <f>Tabla14[[#This Row],[Valor bolsas Pesona2]]*Tabla14[[#This Row],[Personas Rechazo]]</f>
        <v>0</v>
      </c>
      <c r="BA542" s="311">
        <f>+Tabla14[[#This Row],[Total Valor Segunda]]+Tabla14[[#This Row],[Total Valor Primera]]+Tabla14[[#This Row],[Total Valor Precorte]]</f>
        <v>0</v>
      </c>
      <c r="BB542" s="292">
        <f>Tabla14[[#This Row],[Valor bolsas Pesona2]]+Tabla14[[#This Row],[Valor Embarque Pesona3]]</f>
        <v>0</v>
      </c>
      <c r="BD542" s="292">
        <f>Tabla14[[#This Row],[VALOR GANADO]]-Tabla14[[#This Row],[REAJUSTADO]]</f>
        <v>0</v>
      </c>
      <c r="BE542" s="250">
        <f>Tabla14[[#This Row],[CUANTO SE REAJUSTA]]*Tabla14[[#This Row],[Personas Rechazo]]</f>
        <v>0</v>
      </c>
      <c r="BF542" s="250">
        <f>Tabla14[[#This Row],[REAJUSTADO]]/25000</f>
        <v>0</v>
      </c>
      <c r="BG542" s="302">
        <f>Tabla14[[#This Row],[REAJUSTADO]]*Tabla14[[#This Row],[Personas Rechazo]]</f>
        <v>0</v>
      </c>
      <c r="BH542" s="292" t="str">
        <f>Tabla14[[#This Row],[Finca]]</f>
        <v>San Pedro</v>
      </c>
      <c r="BJ542" s="332">
        <f>Tabla14[[#This Row],[Numero de Ocacionales]]*Tabla14[[#This Row],[REAJUSTADO]]</f>
        <v>0</v>
      </c>
      <c r="BK542" s="332"/>
      <c r="BL542" s="332"/>
      <c r="BM542" s="332">
        <f>+Tabla14[[#This Row],[CUANTO SE REAJUSTA]]*3</f>
        <v>0</v>
      </c>
    </row>
    <row r="543" spans="3:65" x14ac:dyDescent="0.25">
      <c r="C543" s="515">
        <v>45307</v>
      </c>
      <c r="D543" s="549">
        <f>YEAR(Tabla14[[#This Row],[Fecha]])</f>
        <v>2024</v>
      </c>
      <c r="E543" s="516">
        <f>IF(Tabla14[[#This Row],[Fecha]]&gt;0,_xlfn.ISOWEEKNUM(Tabla14[[#This Row],[Fecha]]),0)</f>
        <v>3</v>
      </c>
      <c r="F543" s="283">
        <v>14</v>
      </c>
      <c r="G543" s="275" t="s">
        <v>249</v>
      </c>
      <c r="H543" s="325" t="str">
        <f>_xlfn.XLOOKUP(Tabla14[[#This Row],[Codigo Finca]],Tabla4[Codigo Finca],Tabla4[Nombre Finca],"")</f>
        <v>San Pedro</v>
      </c>
      <c r="I543" s="277">
        <f>_xlfn.XLOOKUP(Tabla14[[#This Row],[Codigo Finca]],Tabla4[Codigo Finca],Tabla4[Precio Caja],0)</f>
        <v>2000</v>
      </c>
      <c r="J543" s="277">
        <f>_xlfn.XLOOKUP(Tabla14[[#This Row],[Codigo Finca]],Tabla4[Codigo Finca],Tabla4[Precio Caja Segunda],0)</f>
        <v>1150</v>
      </c>
      <c r="K543" s="277">
        <f>_xlfn.XLOOKUP(Tabla14[[#This Row],[Codigo Finca]],Tabla4[Codigo Finca],Tabla4[Precio Rechazo],0)</f>
        <v>675</v>
      </c>
      <c r="L543" s="277">
        <f t="shared" si="555"/>
        <v>67</v>
      </c>
      <c r="M543" s="278">
        <f t="shared" si="556"/>
        <v>4.7857142857142856</v>
      </c>
      <c r="N543" s="283"/>
      <c r="O543" s="279"/>
      <c r="P543" s="280">
        <f t="shared" si="557"/>
        <v>0</v>
      </c>
      <c r="Q543" s="281">
        <f t="shared" si="558"/>
        <v>0</v>
      </c>
      <c r="R543" s="282">
        <f t="shared" si="559"/>
        <v>0</v>
      </c>
      <c r="S543" s="283">
        <v>67</v>
      </c>
      <c r="T543" s="275"/>
      <c r="U543" s="280">
        <f t="shared" si="560"/>
        <v>14</v>
      </c>
      <c r="V543" s="281">
        <f t="shared" si="561"/>
        <v>0</v>
      </c>
      <c r="W543" s="282">
        <f t="shared" si="562"/>
        <v>0</v>
      </c>
      <c r="X543" s="283"/>
      <c r="Y543" s="275"/>
      <c r="Z543" s="280">
        <f>Tabla14[[#This Row],[Cajas Segunda]]</f>
        <v>0</v>
      </c>
      <c r="AA543" s="281">
        <f t="shared" si="563"/>
        <v>0</v>
      </c>
      <c r="AB543" s="284">
        <f t="shared" si="564"/>
        <v>0</v>
      </c>
      <c r="AC543" s="285"/>
      <c r="AD543" s="286"/>
      <c r="AE543" s="286"/>
      <c r="AF543" s="286"/>
      <c r="AG543" s="286"/>
      <c r="AH543" s="280">
        <f t="shared" si="565"/>
        <v>0</v>
      </c>
      <c r="AI543" s="281">
        <f t="shared" si="566"/>
        <v>0</v>
      </c>
      <c r="AJ543" s="282">
        <f t="shared" si="567"/>
        <v>0</v>
      </c>
      <c r="AK543" s="287">
        <f>Tabla14[[#This Row],[Cajas por Personas]]</f>
        <v>0</v>
      </c>
      <c r="AL543" s="288">
        <f>Tabla14[[#This Row],[Valor Precorte Pesona]]</f>
        <v>0</v>
      </c>
      <c r="AM543" s="294">
        <f>Tabla14[[#This Row],[Personas Precorte]]</f>
        <v>0</v>
      </c>
      <c r="AN543" s="308">
        <f>Tabla14[[#This Row],[Valor Precorte Pesona Precorte]]*Tabla14[[#This Row],[Perzonas Precorte]]</f>
        <v>0</v>
      </c>
      <c r="AO543" s="287">
        <f>Tabla14[[#This Row],[Cajas por Personas2]]</f>
        <v>0</v>
      </c>
      <c r="AP543" s="288">
        <f>Tabla14[[#This Row],[Valor Embarque Pesona]]</f>
        <v>0</v>
      </c>
      <c r="AQ543" s="295">
        <f>Tabla14[[#This Row],[Personas Precorte2]]</f>
        <v>0</v>
      </c>
      <c r="AR543" s="296">
        <f>Tabla14[[#This Row],[Valor Embarque Pesona3]]*Tabla14[[#This Row],[Perzona Primera]]</f>
        <v>0</v>
      </c>
      <c r="AS543" s="287">
        <f>Tabla14[[#This Row],[Columna2]]</f>
        <v>0</v>
      </c>
      <c r="AT543" s="288">
        <f>Tabla14[[#This Row],[Columna1]]</f>
        <v>0</v>
      </c>
      <c r="AU543" s="302">
        <f>Tabla14[[#This Row],[Personas Intervienen]]</f>
        <v>0</v>
      </c>
      <c r="AV543" s="297">
        <f>Tabla14[[#This Row],[Valor Embarque Pesona5]]*Tabla14[[#This Row],[Presonas Segunda]]</f>
        <v>0</v>
      </c>
      <c r="AW543" s="287">
        <f>Tabla14[[#This Row],[Bolsas Por Personas]]</f>
        <v>0</v>
      </c>
      <c r="AX543" s="288">
        <f>Tabla14[[#This Row],[Valor bolsas Pesona]]</f>
        <v>0</v>
      </c>
      <c r="AY543" s="309">
        <f>Tabla14[[#This Row],[Personas13]]</f>
        <v>0</v>
      </c>
      <c r="AZ543" s="310">
        <f>Tabla14[[#This Row],[Valor bolsas Pesona2]]*Tabla14[[#This Row],[Personas Rechazo]]</f>
        <v>0</v>
      </c>
      <c r="BA543" s="311">
        <f>+Tabla14[[#This Row],[Total Valor Segunda]]+Tabla14[[#This Row],[Total Valor Primera]]+Tabla14[[#This Row],[Total Valor Precorte]]</f>
        <v>0</v>
      </c>
      <c r="BB543" s="292">
        <f>Tabla14[[#This Row],[Valor bolsas Pesona2]]+Tabla14[[#This Row],[Valor Embarque Pesona3]]</f>
        <v>0</v>
      </c>
      <c r="BD543" s="292">
        <f>Tabla14[[#This Row],[VALOR GANADO]]-Tabla14[[#This Row],[REAJUSTADO]]</f>
        <v>0</v>
      </c>
      <c r="BE543" s="250">
        <f>Tabla14[[#This Row],[CUANTO SE REAJUSTA]]*Tabla14[[#This Row],[Personas Rechazo]]</f>
        <v>0</v>
      </c>
      <c r="BF543" s="250">
        <f>Tabla14[[#This Row],[REAJUSTADO]]/25000</f>
        <v>0</v>
      </c>
      <c r="BG543" s="302">
        <f>Tabla14[[#This Row],[REAJUSTADO]]*Tabla14[[#This Row],[Personas Rechazo]]</f>
        <v>0</v>
      </c>
      <c r="BH543" s="292" t="str">
        <f>Tabla14[[#This Row],[Finca]]</f>
        <v>San Pedro</v>
      </c>
      <c r="BJ543" s="332">
        <f>Tabla14[[#This Row],[Numero de Ocacionales]]*Tabla14[[#This Row],[REAJUSTADO]]</f>
        <v>0</v>
      </c>
      <c r="BK543" s="332"/>
      <c r="BL543" s="332"/>
      <c r="BM543" s="332">
        <f>+Tabla14[[#This Row],[CUANTO SE REAJUSTA]]*3</f>
        <v>0</v>
      </c>
    </row>
    <row r="544" spans="3:65" x14ac:dyDescent="0.25">
      <c r="C544" s="515">
        <v>45307</v>
      </c>
      <c r="D544" s="549">
        <f>YEAR(Tabla14[[#This Row],[Fecha]])</f>
        <v>2024</v>
      </c>
      <c r="E544" s="516">
        <f>IF(Tabla14[[#This Row],[Fecha]]&gt;0,_xlfn.ISOWEEKNUM(Tabla14[[#This Row],[Fecha]]),0)</f>
        <v>3</v>
      </c>
      <c r="F544" s="283">
        <v>21</v>
      </c>
      <c r="G544" s="275" t="s">
        <v>247</v>
      </c>
      <c r="H544" s="325" t="str">
        <f>_xlfn.XLOOKUP(Tabla14[[#This Row],[Codigo Finca]],Tabla4[Codigo Finca],Tabla4[Nombre Finca],"")</f>
        <v>Uveros</v>
      </c>
      <c r="I544" s="277">
        <f>_xlfn.XLOOKUP(Tabla14[[#This Row],[Codigo Finca]],Tabla4[Codigo Finca],Tabla4[Precio Caja],0)</f>
        <v>1800</v>
      </c>
      <c r="J544" s="277">
        <f>_xlfn.XLOOKUP(Tabla14[[#This Row],[Codigo Finca]],Tabla4[Codigo Finca],Tabla4[Precio Caja Segunda],0)</f>
        <v>1150</v>
      </c>
      <c r="K544" s="277">
        <f>_xlfn.XLOOKUP(Tabla14[[#This Row],[Codigo Finca]],Tabla4[Codigo Finca],Tabla4[Precio Rechazo],0)</f>
        <v>575</v>
      </c>
      <c r="L544" s="277">
        <f t="shared" si="555"/>
        <v>0</v>
      </c>
      <c r="M544" s="278">
        <f t="shared" si="556"/>
        <v>0</v>
      </c>
      <c r="N544" s="283"/>
      <c r="O544" s="279"/>
      <c r="P544" s="280">
        <f t="shared" si="557"/>
        <v>0</v>
      </c>
      <c r="Q544" s="281">
        <f t="shared" si="558"/>
        <v>0</v>
      </c>
      <c r="R544" s="282">
        <f t="shared" si="559"/>
        <v>0</v>
      </c>
      <c r="S544" s="283"/>
      <c r="T544" s="275"/>
      <c r="U544" s="280">
        <f t="shared" si="560"/>
        <v>21</v>
      </c>
      <c r="V544" s="281">
        <f t="shared" si="561"/>
        <v>0</v>
      </c>
      <c r="W544" s="282">
        <f t="shared" si="562"/>
        <v>0</v>
      </c>
      <c r="X544" s="283"/>
      <c r="Y544" s="275"/>
      <c r="Z544" s="280">
        <f>Tabla14[[#This Row],[Cajas Segunda]]</f>
        <v>0</v>
      </c>
      <c r="AA544" s="281">
        <f t="shared" si="563"/>
        <v>0</v>
      </c>
      <c r="AB544" s="284">
        <f t="shared" si="564"/>
        <v>0</v>
      </c>
      <c r="AC544" s="285"/>
      <c r="AD544" s="286"/>
      <c r="AE544" s="286"/>
      <c r="AF544" s="286"/>
      <c r="AG544" s="286"/>
      <c r="AH544" s="280">
        <f t="shared" si="565"/>
        <v>0</v>
      </c>
      <c r="AI544" s="281">
        <f t="shared" si="566"/>
        <v>0</v>
      </c>
      <c r="AJ544" s="282">
        <f t="shared" si="567"/>
        <v>0</v>
      </c>
      <c r="AK544" s="287">
        <f>Tabla14[[#This Row],[Cajas por Personas]]</f>
        <v>0</v>
      </c>
      <c r="AL544" s="288">
        <f>Tabla14[[#This Row],[Valor Precorte Pesona]]</f>
        <v>0</v>
      </c>
      <c r="AM544" s="294">
        <f>Tabla14[[#This Row],[Personas Precorte]]</f>
        <v>0</v>
      </c>
      <c r="AN544" s="308">
        <f>Tabla14[[#This Row],[Valor Precorte Pesona Precorte]]*Tabla14[[#This Row],[Perzonas Precorte]]</f>
        <v>0</v>
      </c>
      <c r="AO544" s="287">
        <f>Tabla14[[#This Row],[Cajas por Personas2]]</f>
        <v>0</v>
      </c>
      <c r="AP544" s="288">
        <f>Tabla14[[#This Row],[Valor Embarque Pesona]]</f>
        <v>0</v>
      </c>
      <c r="AQ544" s="295">
        <f>Tabla14[[#This Row],[Personas Precorte2]]</f>
        <v>0</v>
      </c>
      <c r="AR544" s="296">
        <f>Tabla14[[#This Row],[Valor Embarque Pesona3]]*Tabla14[[#This Row],[Perzona Primera]]</f>
        <v>0</v>
      </c>
      <c r="AS544" s="287">
        <f>Tabla14[[#This Row],[Columna2]]</f>
        <v>0</v>
      </c>
      <c r="AT544" s="288">
        <f>Tabla14[[#This Row],[Columna1]]</f>
        <v>0</v>
      </c>
      <c r="AU544" s="302">
        <f>Tabla14[[#This Row],[Personas Intervienen]]</f>
        <v>0</v>
      </c>
      <c r="AV544" s="297">
        <f>Tabla14[[#This Row],[Valor Embarque Pesona5]]*Tabla14[[#This Row],[Presonas Segunda]]</f>
        <v>0</v>
      </c>
      <c r="AW544" s="287">
        <f>Tabla14[[#This Row],[Bolsas Por Personas]]</f>
        <v>0</v>
      </c>
      <c r="AX544" s="288">
        <f>Tabla14[[#This Row],[Valor bolsas Pesona]]</f>
        <v>0</v>
      </c>
      <c r="AY544" s="309">
        <f>Tabla14[[#This Row],[Personas13]]</f>
        <v>0</v>
      </c>
      <c r="AZ544" s="310">
        <f>Tabla14[[#This Row],[Valor bolsas Pesona2]]*Tabla14[[#This Row],[Personas Rechazo]]</f>
        <v>0</v>
      </c>
      <c r="BA544" s="311">
        <f>+Tabla14[[#This Row],[Total Valor Segunda]]+Tabla14[[#This Row],[Total Valor Primera]]+Tabla14[[#This Row],[Total Valor Precorte]]</f>
        <v>0</v>
      </c>
      <c r="BB544" s="292">
        <f>Tabla14[[#This Row],[Valor bolsas Pesona2]]+Tabla14[[#This Row],[Valor Embarque Pesona3]]</f>
        <v>0</v>
      </c>
      <c r="BC544" s="332">
        <v>40000</v>
      </c>
      <c r="BD544" s="292">
        <f>Tabla14[[#This Row],[VALOR GANADO]]-Tabla14[[#This Row],[REAJUSTADO]]</f>
        <v>-40000</v>
      </c>
      <c r="BE544" s="250">
        <f>Tabla14[[#This Row],[CUANTO SE REAJUSTA]]*Tabla14[[#This Row],[Personas Rechazo]]</f>
        <v>0</v>
      </c>
      <c r="BF544" s="250">
        <f>Tabla14[[#This Row],[REAJUSTADO]]/25000</f>
        <v>1.6</v>
      </c>
      <c r="BG544" s="302">
        <f>Tabla14[[#This Row],[REAJUSTADO]]*Tabla14[[#This Row],[Personas Rechazo]]</f>
        <v>0</v>
      </c>
      <c r="BH544" s="292" t="str">
        <f>Tabla14[[#This Row],[Finca]]</f>
        <v>Uveros</v>
      </c>
      <c r="BJ544" s="332">
        <f>Tabla14[[#This Row],[Numero de Ocacionales]]*Tabla14[[#This Row],[REAJUSTADO]]</f>
        <v>0</v>
      </c>
      <c r="BK544" s="332"/>
      <c r="BL544" s="332"/>
      <c r="BM544" s="332">
        <f>+Tabla14[[#This Row],[CUANTO SE REAJUSTA]]*3</f>
        <v>-120000</v>
      </c>
    </row>
    <row r="545" spans="3:65" x14ac:dyDescent="0.25">
      <c r="C545" s="515">
        <v>45314</v>
      </c>
      <c r="D545" s="549">
        <f>YEAR(Tabla14[[#This Row],[Fecha]])</f>
        <v>2024</v>
      </c>
      <c r="E545" s="516">
        <f>IF(Tabla14[[#This Row],[Fecha]]&gt;0,_xlfn.ISOWEEKNUM(Tabla14[[#This Row],[Fecha]]),0)</f>
        <v>4</v>
      </c>
      <c r="F545" s="283">
        <f>170+186</f>
        <v>356</v>
      </c>
      <c r="G545" s="275" t="s">
        <v>279</v>
      </c>
      <c r="H545" s="325" t="str">
        <f>_xlfn.XLOOKUP(Tabla14[[#This Row],[Codigo Finca]],Tabla4[Codigo Finca],Tabla4[Nombre Finca],"")</f>
        <v>San Pedro</v>
      </c>
      <c r="I545" s="277">
        <f>_xlfn.XLOOKUP(Tabla14[[#This Row],[Codigo Finca]],Tabla4[Codigo Finca],Tabla4[Precio Caja],0)</f>
        <v>2000</v>
      </c>
      <c r="J545" s="277">
        <f>_xlfn.XLOOKUP(Tabla14[[#This Row],[Codigo Finca]],Tabla4[Codigo Finca],Tabla4[Precio Caja Segunda],0)</f>
        <v>0</v>
      </c>
      <c r="K545" s="277">
        <f>_xlfn.XLOOKUP(Tabla14[[#This Row],[Codigo Finca]],Tabla4[Codigo Finca],Tabla4[Precio Rechazo],0)</f>
        <v>575</v>
      </c>
      <c r="L545" s="277">
        <f t="shared" si="555"/>
        <v>1250</v>
      </c>
      <c r="M545" s="278">
        <f t="shared" si="556"/>
        <v>3.5112359550561796</v>
      </c>
      <c r="N545" s="283"/>
      <c r="O545" s="279"/>
      <c r="P545" s="280">
        <f t="shared" si="557"/>
        <v>0</v>
      </c>
      <c r="Q545" s="281">
        <f t="shared" si="558"/>
        <v>0</v>
      </c>
      <c r="R545" s="282">
        <f t="shared" si="559"/>
        <v>0</v>
      </c>
      <c r="S545" s="283">
        <v>1250</v>
      </c>
      <c r="T545" s="275">
        <v>19</v>
      </c>
      <c r="U545" s="280">
        <f t="shared" si="560"/>
        <v>356</v>
      </c>
      <c r="V545" s="281">
        <f t="shared" si="561"/>
        <v>18.736842105263158</v>
      </c>
      <c r="W545" s="282">
        <f t="shared" si="562"/>
        <v>37473.684210526313</v>
      </c>
      <c r="X545" s="283"/>
      <c r="Y545" s="275"/>
      <c r="Z545" s="280">
        <f>Tabla14[[#This Row],[Cajas Segunda]]</f>
        <v>0</v>
      </c>
      <c r="AA545" s="281">
        <f t="shared" si="563"/>
        <v>0</v>
      </c>
      <c r="AB545" s="284">
        <f t="shared" si="564"/>
        <v>0</v>
      </c>
      <c r="AC545" s="285"/>
      <c r="AD545" s="286">
        <f>2410+2200</f>
        <v>4610</v>
      </c>
      <c r="AE545" s="286"/>
      <c r="AF545" s="286"/>
      <c r="AG545" s="286">
        <v>19</v>
      </c>
      <c r="AH545" s="280">
        <f t="shared" si="565"/>
        <v>184.4</v>
      </c>
      <c r="AI545" s="281">
        <f t="shared" si="566"/>
        <v>9.7052631578947377</v>
      </c>
      <c r="AJ545" s="282">
        <f t="shared" si="567"/>
        <v>5580.5263157894742</v>
      </c>
      <c r="AK545" s="287">
        <f>Tabla14[[#This Row],[Cajas por Personas]]</f>
        <v>0</v>
      </c>
      <c r="AL545" s="288">
        <f>Tabla14[[#This Row],[Valor Precorte Pesona]]</f>
        <v>0</v>
      </c>
      <c r="AM545" s="294">
        <f>Tabla14[[#This Row],[Personas Precorte]]</f>
        <v>0</v>
      </c>
      <c r="AN545" s="308">
        <f>Tabla14[[#This Row],[Valor Precorte Pesona Precorte]]*Tabla14[[#This Row],[Perzonas Precorte]]</f>
        <v>0</v>
      </c>
      <c r="AO545" s="287">
        <f>Tabla14[[#This Row],[Cajas por Personas2]]</f>
        <v>18.736842105263158</v>
      </c>
      <c r="AP545" s="288">
        <f>Tabla14[[#This Row],[Valor Embarque Pesona]]</f>
        <v>37473.684210526313</v>
      </c>
      <c r="AQ545" s="295">
        <f>Tabla14[[#This Row],[Personas Precorte2]]</f>
        <v>19</v>
      </c>
      <c r="AR545" s="296">
        <f>Tabla14[[#This Row],[Valor Embarque Pesona3]]*Tabla14[[#This Row],[Perzona Primera]]</f>
        <v>712000</v>
      </c>
      <c r="AS545" s="287">
        <f>Tabla14[[#This Row],[Columna2]]</f>
        <v>0</v>
      </c>
      <c r="AT545" s="288">
        <f>Tabla14[[#This Row],[Columna1]]</f>
        <v>0</v>
      </c>
      <c r="AU545" s="302">
        <f>Tabla14[[#This Row],[Personas Intervienen]]</f>
        <v>0</v>
      </c>
      <c r="AV545" s="297">
        <f>Tabla14[[#This Row],[Valor Embarque Pesona5]]*Tabla14[[#This Row],[Presonas Segunda]]</f>
        <v>0</v>
      </c>
      <c r="AW545" s="287">
        <f>Tabla14[[#This Row],[Bolsas Por Personas]]</f>
        <v>9.7052631578947377</v>
      </c>
      <c r="AX545" s="288">
        <f>Tabla14[[#This Row],[Valor bolsas Pesona]]</f>
        <v>5580.5263157894742</v>
      </c>
      <c r="AY545" s="309">
        <f>Tabla14[[#This Row],[Personas13]]</f>
        <v>19</v>
      </c>
      <c r="AZ545" s="310">
        <f>Tabla14[[#This Row],[Valor bolsas Pesona2]]*Tabla14[[#This Row],[Personas Rechazo]]</f>
        <v>106030.00000000001</v>
      </c>
      <c r="BA545" s="311">
        <f>+Tabla14[[#This Row],[Total Valor Segunda]]+Tabla14[[#This Row],[Total Valor Primera]]+Tabla14[[#This Row],[Total Valor Precorte]]</f>
        <v>712000</v>
      </c>
      <c r="BB545" s="292">
        <f>Tabla14[[#This Row],[Valor bolsas Pesona2]]+Tabla14[[#This Row],[Valor Embarque Pesona3]]</f>
        <v>43054.210526315786</v>
      </c>
      <c r="BC545" s="332">
        <v>50000</v>
      </c>
      <c r="BD545" s="292">
        <f>Tabla14[[#This Row],[VALOR GANADO]]-Tabla14[[#This Row],[REAJUSTADO]]</f>
        <v>-6945.7894736842136</v>
      </c>
      <c r="BE545" s="250">
        <f>Tabla14[[#This Row],[CUANTO SE REAJUSTA]]*Tabla14[[#This Row],[Personas Rechazo]]</f>
        <v>-131970.00000000006</v>
      </c>
      <c r="BF545" s="250">
        <f>Tabla14[[#This Row],[REAJUSTADO]]/25000</f>
        <v>2</v>
      </c>
      <c r="BG545" s="302">
        <f>Tabla14[[#This Row],[REAJUSTADO]]*Tabla14[[#This Row],[Personas Rechazo]]</f>
        <v>950000</v>
      </c>
      <c r="BH545" s="292" t="str">
        <f>Tabla14[[#This Row],[Finca]]</f>
        <v>San Pedro</v>
      </c>
      <c r="BJ545" s="332">
        <f>Tabla14[[#This Row],[Numero de Ocacionales]]*Tabla14[[#This Row],[REAJUSTADO]]</f>
        <v>0</v>
      </c>
      <c r="BK545" s="332"/>
      <c r="BL545" s="332"/>
      <c r="BM545" s="332">
        <f>+Tabla14[[#This Row],[CUANTO SE REAJUSTA]]*3</f>
        <v>-20837.368421052641</v>
      </c>
    </row>
    <row r="546" spans="3:65" x14ac:dyDescent="0.25">
      <c r="C546" s="515">
        <v>45314</v>
      </c>
      <c r="D546" s="549">
        <f>YEAR(Tabla14[[#This Row],[Fecha]])</f>
        <v>2024</v>
      </c>
      <c r="E546" s="516">
        <f>IF(Tabla14[[#This Row],[Fecha]]&gt;0,_xlfn.ISOWEEKNUM(Tabla14[[#This Row],[Fecha]]),0)</f>
        <v>4</v>
      </c>
      <c r="F546" s="283">
        <v>13</v>
      </c>
      <c r="G546" s="275" t="s">
        <v>275</v>
      </c>
      <c r="H546" s="325" t="str">
        <f>_xlfn.XLOOKUP(Tabla14[[#This Row],[Codigo Finca]],Tabla4[Codigo Finca],Tabla4[Nombre Finca],"")</f>
        <v>Uveros</v>
      </c>
      <c r="I546" s="277">
        <f>_xlfn.XLOOKUP(Tabla14[[#This Row],[Codigo Finca]],Tabla4[Codigo Finca],Tabla4[Precio Caja],0)</f>
        <v>2000</v>
      </c>
      <c r="J546" s="277">
        <f>_xlfn.XLOOKUP(Tabla14[[#This Row],[Codigo Finca]],Tabla4[Codigo Finca],Tabla4[Precio Caja Segunda],0)</f>
        <v>0</v>
      </c>
      <c r="K546" s="277">
        <f>_xlfn.XLOOKUP(Tabla14[[#This Row],[Codigo Finca]],Tabla4[Codigo Finca],Tabla4[Precio Rechazo],0)</f>
        <v>575</v>
      </c>
      <c r="L546" s="277">
        <f t="shared" si="555"/>
        <v>0</v>
      </c>
      <c r="M546" s="278">
        <f t="shared" si="556"/>
        <v>0</v>
      </c>
      <c r="N546" s="283"/>
      <c r="O546" s="279"/>
      <c r="P546" s="280">
        <f t="shared" si="557"/>
        <v>0</v>
      </c>
      <c r="Q546" s="281">
        <f t="shared" si="558"/>
        <v>0</v>
      </c>
      <c r="R546" s="282">
        <f t="shared" si="559"/>
        <v>0</v>
      </c>
      <c r="S546" s="283"/>
      <c r="T546" s="275"/>
      <c r="U546" s="280">
        <f t="shared" si="560"/>
        <v>13</v>
      </c>
      <c r="V546" s="281">
        <f t="shared" si="561"/>
        <v>0</v>
      </c>
      <c r="W546" s="282">
        <f t="shared" si="562"/>
        <v>0</v>
      </c>
      <c r="X546" s="283"/>
      <c r="Y546" s="275"/>
      <c r="Z546" s="280">
        <f>Tabla14[[#This Row],[Cajas Segunda]]</f>
        <v>0</v>
      </c>
      <c r="AA546" s="281">
        <f t="shared" si="563"/>
        <v>0</v>
      </c>
      <c r="AB546" s="284">
        <f t="shared" si="564"/>
        <v>0</v>
      </c>
      <c r="AC546" s="285">
        <v>3</v>
      </c>
      <c r="AD546" s="286">
        <v>609</v>
      </c>
      <c r="AE546" s="286"/>
      <c r="AF546" s="286"/>
      <c r="AG546" s="286"/>
      <c r="AH546" s="280">
        <f t="shared" si="565"/>
        <v>0</v>
      </c>
      <c r="AI546" s="281">
        <f t="shared" si="566"/>
        <v>0</v>
      </c>
      <c r="AJ546" s="282">
        <f t="shared" si="567"/>
        <v>0</v>
      </c>
      <c r="AK546" s="287">
        <f>Tabla14[[#This Row],[Cajas por Personas]]</f>
        <v>0</v>
      </c>
      <c r="AL546" s="288">
        <f>Tabla14[[#This Row],[Valor Precorte Pesona]]</f>
        <v>0</v>
      </c>
      <c r="AM546" s="294">
        <f>Tabla14[[#This Row],[Personas Precorte]]</f>
        <v>0</v>
      </c>
      <c r="AN546" s="308">
        <f>Tabla14[[#This Row],[Valor Precorte Pesona Precorte]]*Tabla14[[#This Row],[Perzonas Precorte]]</f>
        <v>0</v>
      </c>
      <c r="AO546" s="287">
        <f>Tabla14[[#This Row],[Cajas por Personas2]]</f>
        <v>0</v>
      </c>
      <c r="AP546" s="288">
        <f>Tabla14[[#This Row],[Valor Embarque Pesona]]</f>
        <v>0</v>
      </c>
      <c r="AQ546" s="295">
        <f>Tabla14[[#This Row],[Personas Precorte2]]</f>
        <v>0</v>
      </c>
      <c r="AR546" s="296">
        <f>Tabla14[[#This Row],[Valor Embarque Pesona3]]*Tabla14[[#This Row],[Perzona Primera]]</f>
        <v>0</v>
      </c>
      <c r="AS546" s="287">
        <f>Tabla14[[#This Row],[Columna2]]</f>
        <v>0</v>
      </c>
      <c r="AT546" s="288">
        <f>Tabla14[[#This Row],[Columna1]]</f>
        <v>0</v>
      </c>
      <c r="AU546" s="302">
        <f>Tabla14[[#This Row],[Personas Intervienen]]</f>
        <v>0</v>
      </c>
      <c r="AV546" s="297">
        <f>Tabla14[[#This Row],[Valor Embarque Pesona5]]*Tabla14[[#This Row],[Presonas Segunda]]</f>
        <v>0</v>
      </c>
      <c r="AW546" s="287">
        <f>Tabla14[[#This Row],[Bolsas Por Personas]]</f>
        <v>0</v>
      </c>
      <c r="AX546" s="288">
        <f>Tabla14[[#This Row],[Valor bolsas Pesona]]</f>
        <v>0</v>
      </c>
      <c r="AY546" s="309">
        <f>Tabla14[[#This Row],[Personas13]]</f>
        <v>0</v>
      </c>
      <c r="AZ546" s="310">
        <f>Tabla14[[#This Row],[Valor bolsas Pesona2]]*Tabla14[[#This Row],[Personas Rechazo]]</f>
        <v>0</v>
      </c>
      <c r="BA546" s="311">
        <f>+Tabla14[[#This Row],[Total Valor Segunda]]+Tabla14[[#This Row],[Total Valor Primera]]+Tabla14[[#This Row],[Total Valor Precorte]]</f>
        <v>0</v>
      </c>
      <c r="BB546" s="292">
        <f>Tabla14[[#This Row],[Valor bolsas Pesona2]]+Tabla14[[#This Row],[Valor Embarque Pesona3]]</f>
        <v>0</v>
      </c>
      <c r="BC546" s="332">
        <v>40000</v>
      </c>
      <c r="BD546" s="292">
        <f>Tabla14[[#This Row],[VALOR GANADO]]-Tabla14[[#This Row],[REAJUSTADO]]</f>
        <v>-40000</v>
      </c>
      <c r="BE546" s="250">
        <f>Tabla14[[#This Row],[CUANTO SE REAJUSTA]]*Tabla14[[#This Row],[Personas Rechazo]]</f>
        <v>0</v>
      </c>
      <c r="BF546" s="250">
        <f>Tabla14[[#This Row],[REAJUSTADO]]/25000</f>
        <v>1.6</v>
      </c>
      <c r="BG546" s="302">
        <f>Tabla14[[#This Row],[REAJUSTADO]]*Tabla14[[#This Row],[Personas Rechazo]]</f>
        <v>0</v>
      </c>
      <c r="BH546" s="292" t="str">
        <f>Tabla14[[#This Row],[Finca]]</f>
        <v>Uveros</v>
      </c>
      <c r="BJ546" s="332">
        <f>Tabla14[[#This Row],[Numero de Ocacionales]]*Tabla14[[#This Row],[REAJUSTADO]]</f>
        <v>0</v>
      </c>
      <c r="BK546" s="332"/>
      <c r="BL546" s="332"/>
      <c r="BM546" s="332">
        <f>+Tabla14[[#This Row],[CUANTO SE REAJUSTA]]*3</f>
        <v>-120000</v>
      </c>
    </row>
    <row r="547" spans="3:65" x14ac:dyDescent="0.25">
      <c r="C547" s="515">
        <v>45314</v>
      </c>
      <c r="D547" s="549">
        <f>YEAR(Tabla14[[#This Row],[Fecha]])</f>
        <v>2024</v>
      </c>
      <c r="E547" s="516">
        <f>IF(Tabla14[[#This Row],[Fecha]]&gt;0,_xlfn.ISOWEEKNUM(Tabla14[[#This Row],[Fecha]]),0)</f>
        <v>4</v>
      </c>
      <c r="F547" s="283">
        <v>76</v>
      </c>
      <c r="G547" s="275" t="s">
        <v>272</v>
      </c>
      <c r="H547" s="325" t="str">
        <f>_xlfn.XLOOKUP(Tabla14[[#This Row],[Codigo Finca]],Tabla4[Codigo Finca],Tabla4[Nombre Finca],"")</f>
        <v>Pedrito</v>
      </c>
      <c r="I547" s="277">
        <f>_xlfn.XLOOKUP(Tabla14[[#This Row],[Codigo Finca]],Tabla4[Codigo Finca],Tabla4[Precio Caja],0)</f>
        <v>2000</v>
      </c>
      <c r="J547" s="277">
        <f>_xlfn.XLOOKUP(Tabla14[[#This Row],[Codigo Finca]],Tabla4[Codigo Finca],Tabla4[Precio Caja Segunda],0)</f>
        <v>0</v>
      </c>
      <c r="K547" s="277">
        <f>_xlfn.XLOOKUP(Tabla14[[#This Row],[Codigo Finca]],Tabla4[Codigo Finca],Tabla4[Precio Rechazo],0)</f>
        <v>575</v>
      </c>
      <c r="L547" s="277">
        <f t="shared" si="555"/>
        <v>1311</v>
      </c>
      <c r="M547" s="278">
        <f t="shared" si="556"/>
        <v>17.25</v>
      </c>
      <c r="N547" s="283"/>
      <c r="O547" s="279"/>
      <c r="P547" s="280">
        <f t="shared" si="557"/>
        <v>0</v>
      </c>
      <c r="Q547" s="281">
        <f t="shared" si="558"/>
        <v>0</v>
      </c>
      <c r="R547" s="282">
        <f t="shared" si="559"/>
        <v>0</v>
      </c>
      <c r="S547" s="283">
        <f>480+188+39+24+32+24+32+13+44+13+33+36+34+122+53+144</f>
        <v>1311</v>
      </c>
      <c r="T547" s="275"/>
      <c r="U547" s="280">
        <f t="shared" si="560"/>
        <v>76</v>
      </c>
      <c r="V547" s="281">
        <f t="shared" si="561"/>
        <v>0</v>
      </c>
      <c r="W547" s="282">
        <f t="shared" si="562"/>
        <v>0</v>
      </c>
      <c r="X547" s="283"/>
      <c r="Y547" s="275"/>
      <c r="Z547" s="280">
        <f>Tabla14[[#This Row],[Cajas Segunda]]</f>
        <v>0</v>
      </c>
      <c r="AA547" s="281">
        <f t="shared" si="563"/>
        <v>0</v>
      </c>
      <c r="AB547" s="284">
        <f t="shared" si="564"/>
        <v>0</v>
      </c>
      <c r="AC547" s="285">
        <v>62</v>
      </c>
      <c r="AD547" s="286">
        <v>7019</v>
      </c>
      <c r="AE547" s="286"/>
      <c r="AF547" s="286"/>
      <c r="AG547" s="286"/>
      <c r="AH547" s="280">
        <f t="shared" si="565"/>
        <v>0</v>
      </c>
      <c r="AI547" s="281">
        <f t="shared" si="566"/>
        <v>0</v>
      </c>
      <c r="AJ547" s="282">
        <f t="shared" si="567"/>
        <v>0</v>
      </c>
      <c r="AK547" s="287">
        <f>Tabla14[[#This Row],[Cajas por Personas]]</f>
        <v>0</v>
      </c>
      <c r="AL547" s="288">
        <f>Tabla14[[#This Row],[Valor Precorte Pesona]]</f>
        <v>0</v>
      </c>
      <c r="AM547" s="294">
        <f>Tabla14[[#This Row],[Personas Precorte]]</f>
        <v>0</v>
      </c>
      <c r="AN547" s="308">
        <f>Tabla14[[#This Row],[Valor Precorte Pesona Precorte]]*Tabla14[[#This Row],[Perzonas Precorte]]</f>
        <v>0</v>
      </c>
      <c r="AO547" s="287">
        <f>Tabla14[[#This Row],[Cajas por Personas2]]</f>
        <v>0</v>
      </c>
      <c r="AP547" s="288">
        <f>Tabla14[[#This Row],[Valor Embarque Pesona]]</f>
        <v>0</v>
      </c>
      <c r="AQ547" s="295">
        <f>Tabla14[[#This Row],[Personas Precorte2]]</f>
        <v>0</v>
      </c>
      <c r="AR547" s="296">
        <f>Tabla14[[#This Row],[Valor Embarque Pesona3]]*Tabla14[[#This Row],[Perzona Primera]]</f>
        <v>0</v>
      </c>
      <c r="AS547" s="287">
        <f>Tabla14[[#This Row],[Columna2]]</f>
        <v>0</v>
      </c>
      <c r="AT547" s="288">
        <f>Tabla14[[#This Row],[Columna1]]</f>
        <v>0</v>
      </c>
      <c r="AU547" s="302">
        <f>Tabla14[[#This Row],[Personas Intervienen]]</f>
        <v>0</v>
      </c>
      <c r="AV547" s="297">
        <f>Tabla14[[#This Row],[Valor Embarque Pesona5]]*Tabla14[[#This Row],[Presonas Segunda]]</f>
        <v>0</v>
      </c>
      <c r="AW547" s="287">
        <f>Tabla14[[#This Row],[Bolsas Por Personas]]</f>
        <v>0</v>
      </c>
      <c r="AX547" s="288">
        <f>Tabla14[[#This Row],[Valor bolsas Pesona]]</f>
        <v>0</v>
      </c>
      <c r="AY547" s="309">
        <f>Tabla14[[#This Row],[Personas13]]</f>
        <v>0</v>
      </c>
      <c r="AZ547" s="310">
        <f>Tabla14[[#This Row],[Valor bolsas Pesona2]]*Tabla14[[#This Row],[Personas Rechazo]]</f>
        <v>0</v>
      </c>
      <c r="BA547" s="311">
        <f>+Tabla14[[#This Row],[Total Valor Segunda]]+Tabla14[[#This Row],[Total Valor Primera]]+Tabla14[[#This Row],[Total Valor Precorte]]</f>
        <v>0</v>
      </c>
      <c r="BB547" s="292">
        <f>Tabla14[[#This Row],[Valor bolsas Pesona2]]+Tabla14[[#This Row],[Valor Embarque Pesona3]]</f>
        <v>0</v>
      </c>
      <c r="BC547" s="332">
        <v>40000</v>
      </c>
      <c r="BD547" s="292">
        <f>Tabla14[[#This Row],[VALOR GANADO]]-Tabla14[[#This Row],[REAJUSTADO]]</f>
        <v>-40000</v>
      </c>
      <c r="BE547" s="250">
        <f>Tabla14[[#This Row],[CUANTO SE REAJUSTA]]*Tabla14[[#This Row],[Personas Rechazo]]</f>
        <v>0</v>
      </c>
      <c r="BF547" s="250">
        <f>Tabla14[[#This Row],[REAJUSTADO]]/25000</f>
        <v>1.6</v>
      </c>
      <c r="BG547" s="302">
        <f>Tabla14[[#This Row],[REAJUSTADO]]*Tabla14[[#This Row],[Personas Rechazo]]</f>
        <v>0</v>
      </c>
      <c r="BH547" s="292" t="str">
        <f>Tabla14[[#This Row],[Finca]]</f>
        <v>Pedrito</v>
      </c>
      <c r="BJ547" s="332">
        <f>Tabla14[[#This Row],[Numero de Ocacionales]]*Tabla14[[#This Row],[REAJUSTADO]]</f>
        <v>0</v>
      </c>
      <c r="BK547" s="332"/>
      <c r="BL547" s="332"/>
      <c r="BM547" s="332">
        <f>+Tabla14[[#This Row],[CUANTO SE REAJUSTA]]*3</f>
        <v>-120000</v>
      </c>
    </row>
    <row r="548" spans="3:65" x14ac:dyDescent="0.25">
      <c r="C548" s="515">
        <v>45320</v>
      </c>
      <c r="D548" s="549">
        <f>YEAR(Tabla14[[#This Row],[Fecha]])</f>
        <v>2024</v>
      </c>
      <c r="E548" s="516">
        <f>IF(Tabla14[[#This Row],[Fecha]]&gt;0,_xlfn.ISOWEEKNUM(Tabla14[[#This Row],[Fecha]]),0)</f>
        <v>5</v>
      </c>
      <c r="F548" s="283">
        <v>202</v>
      </c>
      <c r="G548" s="275" t="s">
        <v>274</v>
      </c>
      <c r="H548" s="325" t="str">
        <f>_xlfn.XLOOKUP(Tabla14[[#This Row],[Codigo Finca]],Tabla4[Codigo Finca],Tabla4[Nombre Finca],"")</f>
        <v>San Pedro</v>
      </c>
      <c r="I548" s="277">
        <f>_xlfn.XLOOKUP(Tabla14[[#This Row],[Codigo Finca]],Tabla4[Codigo Finca],Tabla4[Precio Caja],0)</f>
        <v>2000</v>
      </c>
      <c r="J548" s="277">
        <f>_xlfn.XLOOKUP(Tabla14[[#This Row],[Codigo Finca]],Tabla4[Codigo Finca],Tabla4[Precio Caja Segunda],0)</f>
        <v>0</v>
      </c>
      <c r="K548" s="277">
        <f>_xlfn.XLOOKUP(Tabla14[[#This Row],[Codigo Finca]],Tabla4[Codigo Finca],Tabla4[Precio Rechazo],0)</f>
        <v>575</v>
      </c>
      <c r="L548" s="277">
        <f t="shared" si="555"/>
        <v>1155</v>
      </c>
      <c r="M548" s="278">
        <f t="shared" si="556"/>
        <v>5.717821782178218</v>
      </c>
      <c r="N548" s="283"/>
      <c r="O548" s="279"/>
      <c r="P548" s="280">
        <f t="shared" si="557"/>
        <v>0</v>
      </c>
      <c r="Q548" s="281">
        <f t="shared" si="558"/>
        <v>0</v>
      </c>
      <c r="R548" s="282">
        <f t="shared" si="559"/>
        <v>0</v>
      </c>
      <c r="S548" s="283">
        <f>176+549+274+156</f>
        <v>1155</v>
      </c>
      <c r="T548" s="275">
        <v>15</v>
      </c>
      <c r="U548" s="280">
        <f t="shared" si="560"/>
        <v>202</v>
      </c>
      <c r="V548" s="281">
        <f t="shared" si="561"/>
        <v>13.466666666666667</v>
      </c>
      <c r="W548" s="282">
        <f t="shared" si="562"/>
        <v>26933.333333333332</v>
      </c>
      <c r="X548" s="283"/>
      <c r="Y548" s="275"/>
      <c r="Z548" s="280">
        <f>Tabla14[[#This Row],[Cajas Segunda]]</f>
        <v>0</v>
      </c>
      <c r="AA548" s="281">
        <f t="shared" si="563"/>
        <v>0</v>
      </c>
      <c r="AB548" s="284">
        <f t="shared" si="564"/>
        <v>0</v>
      </c>
      <c r="AC548" s="285"/>
      <c r="AD548" s="286">
        <f>5200+2200</f>
        <v>7400</v>
      </c>
      <c r="AE548" s="286"/>
      <c r="AF548" s="286"/>
      <c r="AG548" s="286">
        <v>15</v>
      </c>
      <c r="AH548" s="280">
        <f t="shared" si="565"/>
        <v>296</v>
      </c>
      <c r="AI548" s="281">
        <f t="shared" si="566"/>
        <v>19.733333333333334</v>
      </c>
      <c r="AJ548" s="282">
        <f t="shared" si="567"/>
        <v>11346.666666666668</v>
      </c>
      <c r="AK548" s="287">
        <f>Tabla14[[#This Row],[Cajas por Personas]]</f>
        <v>0</v>
      </c>
      <c r="AL548" s="288">
        <f>Tabla14[[#This Row],[Valor Precorte Pesona]]</f>
        <v>0</v>
      </c>
      <c r="AM548" s="294">
        <f>Tabla14[[#This Row],[Personas Precorte]]</f>
        <v>0</v>
      </c>
      <c r="AN548" s="308">
        <f>Tabla14[[#This Row],[Valor Precorte Pesona Precorte]]*Tabla14[[#This Row],[Perzonas Precorte]]</f>
        <v>0</v>
      </c>
      <c r="AO548" s="287">
        <f>Tabla14[[#This Row],[Cajas por Personas2]]</f>
        <v>13.466666666666667</v>
      </c>
      <c r="AP548" s="288">
        <f>Tabla14[[#This Row],[Valor Embarque Pesona]]</f>
        <v>26933.333333333332</v>
      </c>
      <c r="AQ548" s="295">
        <f>Tabla14[[#This Row],[Personas Precorte2]]</f>
        <v>15</v>
      </c>
      <c r="AR548" s="296">
        <f>Tabla14[[#This Row],[Valor Embarque Pesona3]]*Tabla14[[#This Row],[Perzona Primera]]</f>
        <v>404000</v>
      </c>
      <c r="AS548" s="287">
        <f>Tabla14[[#This Row],[Columna2]]</f>
        <v>0</v>
      </c>
      <c r="AT548" s="288">
        <f>Tabla14[[#This Row],[Columna1]]</f>
        <v>0</v>
      </c>
      <c r="AU548" s="302">
        <f>Tabla14[[#This Row],[Personas Intervienen]]</f>
        <v>0</v>
      </c>
      <c r="AV548" s="297">
        <f>Tabla14[[#This Row],[Valor Embarque Pesona5]]*Tabla14[[#This Row],[Presonas Segunda]]</f>
        <v>0</v>
      </c>
      <c r="AW548" s="287">
        <f>Tabla14[[#This Row],[Bolsas Por Personas]]</f>
        <v>19.733333333333334</v>
      </c>
      <c r="AX548" s="288">
        <f>Tabla14[[#This Row],[Valor bolsas Pesona]]</f>
        <v>11346.666666666668</v>
      </c>
      <c r="AY548" s="309">
        <f>Tabla14[[#This Row],[Personas13]]</f>
        <v>15</v>
      </c>
      <c r="AZ548" s="310">
        <f>Tabla14[[#This Row],[Valor bolsas Pesona2]]*Tabla14[[#This Row],[Personas Rechazo]]</f>
        <v>170200.00000000003</v>
      </c>
      <c r="BA548" s="311">
        <f>+Tabla14[[#This Row],[Total Valor Segunda]]+Tabla14[[#This Row],[Total Valor Primera]]+Tabla14[[#This Row],[Total Valor Precorte]]</f>
        <v>404000</v>
      </c>
      <c r="BB548" s="470">
        <f>Tabla14[[#This Row],[Valor bolsas Pesona2]]+Tabla14[[#This Row],[Valor Embarque Pesona3]]</f>
        <v>38280</v>
      </c>
      <c r="BC548" s="471">
        <f>Tabla14[[#This Row],[VALOR GANADO]]+BB550</f>
        <v>55155</v>
      </c>
      <c r="BD548" s="470">
        <f>Tabla14[[#This Row],[VALOR GANADO]]-Tabla14[[#This Row],[REAJUSTADO]]</f>
        <v>-16875</v>
      </c>
      <c r="BE548" s="250">
        <f>Tabla14[[#This Row],[CUANTO SE REAJUSTA]]*Tabla14[[#This Row],[Personas Rechazo]]</f>
        <v>-253125</v>
      </c>
      <c r="BF548" s="250">
        <f>Tabla14[[#This Row],[REAJUSTADO]]/25000</f>
        <v>2.2061999999999999</v>
      </c>
      <c r="BG548" s="302">
        <f>Tabla14[[#This Row],[REAJUSTADO]]*Tabla14[[#This Row],[Personas Rechazo]]</f>
        <v>827325</v>
      </c>
      <c r="BH548" s="292" t="str">
        <f>Tabla14[[#This Row],[Finca]]</f>
        <v>San Pedro</v>
      </c>
      <c r="BJ548" s="332">
        <f>Tabla14[[#This Row],[Numero de Ocacionales]]*Tabla14[[#This Row],[REAJUSTADO]]</f>
        <v>0</v>
      </c>
      <c r="BK548" s="332"/>
      <c r="BL548" s="332"/>
      <c r="BM548" s="332">
        <f>+Tabla14[[#This Row],[CUANTO SE REAJUSTA]]*3</f>
        <v>-50625</v>
      </c>
    </row>
    <row r="549" spans="3:65" x14ac:dyDescent="0.25">
      <c r="C549" s="515">
        <v>45321</v>
      </c>
      <c r="D549" s="549">
        <f>YEAR(Tabla14[[#This Row],[Fecha]])</f>
        <v>2024</v>
      </c>
      <c r="E549" s="516">
        <f>IF(Tabla14[[#This Row],[Fecha]]&gt;0,_xlfn.ISOWEEKNUM(Tabla14[[#This Row],[Fecha]]),0)</f>
        <v>5</v>
      </c>
      <c r="F549" s="283">
        <v>60</v>
      </c>
      <c r="G549" s="275" t="s">
        <v>272</v>
      </c>
      <c r="H549" s="325" t="str">
        <f>_xlfn.XLOOKUP(Tabla14[[#This Row],[Codigo Finca]],Tabla4[Codigo Finca],Tabla4[Nombre Finca],"")</f>
        <v>Pedrito</v>
      </c>
      <c r="I549" s="277">
        <f>_xlfn.XLOOKUP(Tabla14[[#This Row],[Codigo Finca]],Tabla4[Codigo Finca],Tabla4[Precio Caja],0)</f>
        <v>2000</v>
      </c>
      <c r="J549" s="277">
        <f>_xlfn.XLOOKUP(Tabla14[[#This Row],[Codigo Finca]],Tabla4[Codigo Finca],Tabla4[Precio Caja Segunda],0)</f>
        <v>0</v>
      </c>
      <c r="K549" s="277">
        <f>_xlfn.XLOOKUP(Tabla14[[#This Row],[Codigo Finca]],Tabla4[Codigo Finca],Tabla4[Precio Rechazo],0)</f>
        <v>575</v>
      </c>
      <c r="L549" s="277">
        <f t="shared" si="555"/>
        <v>1625</v>
      </c>
      <c r="M549" s="278">
        <f t="shared" si="556"/>
        <v>27.083333333333332</v>
      </c>
      <c r="N549" s="283"/>
      <c r="O549" s="279"/>
      <c r="P549" s="280">
        <f t="shared" si="557"/>
        <v>0</v>
      </c>
      <c r="Q549" s="281">
        <f t="shared" si="558"/>
        <v>0</v>
      </c>
      <c r="R549" s="282">
        <f t="shared" si="559"/>
        <v>0</v>
      </c>
      <c r="S549" s="283">
        <v>1625</v>
      </c>
      <c r="T549" s="275">
        <v>12</v>
      </c>
      <c r="U549" s="280">
        <f t="shared" si="560"/>
        <v>60</v>
      </c>
      <c r="V549" s="281">
        <f t="shared" si="561"/>
        <v>5</v>
      </c>
      <c r="W549" s="282">
        <f t="shared" si="562"/>
        <v>10000</v>
      </c>
      <c r="X549" s="283"/>
      <c r="Y549" s="275"/>
      <c r="Z549" s="280">
        <f>Tabla14[[#This Row],[Cajas Segunda]]</f>
        <v>0</v>
      </c>
      <c r="AA549" s="281">
        <f t="shared" si="563"/>
        <v>0</v>
      </c>
      <c r="AB549" s="284">
        <f t="shared" si="564"/>
        <v>0</v>
      </c>
      <c r="AC549" s="285"/>
      <c r="AD549" s="286">
        <v>7433</v>
      </c>
      <c r="AE549" s="286"/>
      <c r="AF549" s="286"/>
      <c r="AG549" s="286">
        <v>12</v>
      </c>
      <c r="AH549" s="280">
        <f t="shared" si="565"/>
        <v>297.32</v>
      </c>
      <c r="AI549" s="281">
        <f t="shared" si="566"/>
        <v>24.776666666666667</v>
      </c>
      <c r="AJ549" s="282">
        <f t="shared" si="567"/>
        <v>14246.583333333334</v>
      </c>
      <c r="AK549" s="287">
        <f>Tabla14[[#This Row],[Cajas por Personas]]</f>
        <v>0</v>
      </c>
      <c r="AL549" s="288">
        <f>Tabla14[[#This Row],[Valor Precorte Pesona]]</f>
        <v>0</v>
      </c>
      <c r="AM549" s="294">
        <f>Tabla14[[#This Row],[Personas Precorte]]</f>
        <v>0</v>
      </c>
      <c r="AN549" s="308">
        <f>Tabla14[[#This Row],[Valor Precorte Pesona Precorte]]*Tabla14[[#This Row],[Perzonas Precorte]]</f>
        <v>0</v>
      </c>
      <c r="AO549" s="287">
        <f>Tabla14[[#This Row],[Cajas por Personas2]]</f>
        <v>5</v>
      </c>
      <c r="AP549" s="288">
        <f>Tabla14[[#This Row],[Valor Embarque Pesona]]</f>
        <v>10000</v>
      </c>
      <c r="AQ549" s="295">
        <f>Tabla14[[#This Row],[Personas Precorte2]]</f>
        <v>12</v>
      </c>
      <c r="AR549" s="296">
        <f>Tabla14[[#This Row],[Valor Embarque Pesona3]]*Tabla14[[#This Row],[Perzona Primera]]</f>
        <v>120000</v>
      </c>
      <c r="AS549" s="287">
        <f>Tabla14[[#This Row],[Columna2]]</f>
        <v>0</v>
      </c>
      <c r="AT549" s="288">
        <f>Tabla14[[#This Row],[Columna1]]</f>
        <v>0</v>
      </c>
      <c r="AU549" s="302">
        <f>Tabla14[[#This Row],[Personas Intervienen]]</f>
        <v>0</v>
      </c>
      <c r="AV549" s="297">
        <f>Tabla14[[#This Row],[Valor Embarque Pesona5]]*Tabla14[[#This Row],[Presonas Segunda]]</f>
        <v>0</v>
      </c>
      <c r="AW549" s="287">
        <f>Tabla14[[#This Row],[Bolsas Por Personas]]</f>
        <v>24.776666666666667</v>
      </c>
      <c r="AX549" s="288">
        <f>Tabla14[[#This Row],[Valor bolsas Pesona]]</f>
        <v>14246.583333333334</v>
      </c>
      <c r="AY549" s="309">
        <f>Tabla14[[#This Row],[Personas13]]</f>
        <v>12</v>
      </c>
      <c r="AZ549" s="310">
        <f>Tabla14[[#This Row],[Valor bolsas Pesona2]]*Tabla14[[#This Row],[Personas Rechazo]]</f>
        <v>170959</v>
      </c>
      <c r="BA549" s="311">
        <f>+Tabla14[[#This Row],[Total Valor Segunda]]+Tabla14[[#This Row],[Total Valor Primera]]+Tabla14[[#This Row],[Total Valor Precorte]]</f>
        <v>120000</v>
      </c>
      <c r="BB549" s="292">
        <f>Tabla14[[#This Row],[Valor bolsas Pesona2]]+Tabla14[[#This Row],[Valor Embarque Pesona3]]</f>
        <v>24246.583333333336</v>
      </c>
      <c r="BD549" s="292">
        <f>Tabla14[[#This Row],[VALOR GANADO]]-Tabla14[[#This Row],[REAJUSTADO]]</f>
        <v>24246.583333333336</v>
      </c>
      <c r="BE549" s="250">
        <f>Tabla14[[#This Row],[CUANTO SE REAJUSTA]]*Tabla14[[#This Row],[Personas Rechazo]]</f>
        <v>290959</v>
      </c>
      <c r="BF549" s="250">
        <f>Tabla14[[#This Row],[REAJUSTADO]]/25000</f>
        <v>0</v>
      </c>
      <c r="BG549" s="302">
        <f>Tabla14[[#This Row],[REAJUSTADO]]*Tabla14[[#This Row],[Personas Rechazo]]</f>
        <v>0</v>
      </c>
      <c r="BH549" s="292" t="str">
        <f>Tabla14[[#This Row],[Finca]]</f>
        <v>Pedrito</v>
      </c>
      <c r="BJ549" s="332">
        <f>Tabla14[[#This Row],[Numero de Ocacionales]]*Tabla14[[#This Row],[REAJUSTADO]]</f>
        <v>0</v>
      </c>
      <c r="BK549" s="332"/>
      <c r="BL549" s="332"/>
      <c r="BM549" s="332">
        <f>+Tabla14[[#This Row],[CUANTO SE REAJUSTA]]*3</f>
        <v>72739.75</v>
      </c>
    </row>
    <row r="550" spans="3:65" x14ac:dyDescent="0.25">
      <c r="C550" s="515">
        <v>45321</v>
      </c>
      <c r="D550" s="549">
        <f>YEAR(Tabla14[[#This Row],[Fecha]])</f>
        <v>2024</v>
      </c>
      <c r="E550" s="516">
        <f>IF(Tabla14[[#This Row],[Fecha]]&gt;0,_xlfn.ISOWEEKNUM(Tabla14[[#This Row],[Fecha]]),0)</f>
        <v>5</v>
      </c>
      <c r="F550" s="283">
        <v>135</v>
      </c>
      <c r="G550" s="275" t="s">
        <v>274</v>
      </c>
      <c r="H550" s="325" t="str">
        <f>_xlfn.XLOOKUP(Tabla14[[#This Row],[Codigo Finca]],Tabla4[Codigo Finca],Tabla4[Nombre Finca],"")</f>
        <v>San Pedro</v>
      </c>
      <c r="I550" s="277">
        <f>_xlfn.XLOOKUP(Tabla14[[#This Row],[Codigo Finca]],Tabla4[Codigo Finca],Tabla4[Precio Caja],0)</f>
        <v>2000</v>
      </c>
      <c r="J550" s="277">
        <f>_xlfn.XLOOKUP(Tabla14[[#This Row],[Codigo Finca]],Tabla4[Codigo Finca],Tabla4[Precio Caja Segunda],0)</f>
        <v>0</v>
      </c>
      <c r="K550" s="277">
        <f>_xlfn.XLOOKUP(Tabla14[[#This Row],[Codigo Finca]],Tabla4[Codigo Finca],Tabla4[Precio Rechazo],0)</f>
        <v>575</v>
      </c>
      <c r="L550" s="277">
        <f t="shared" si="555"/>
        <v>561</v>
      </c>
      <c r="M550" s="278">
        <f t="shared" si="556"/>
        <v>4.1555555555555559</v>
      </c>
      <c r="N550" s="283"/>
      <c r="O550" s="279"/>
      <c r="P550" s="280">
        <f t="shared" si="557"/>
        <v>0</v>
      </c>
      <c r="Q550" s="281">
        <f t="shared" si="558"/>
        <v>0</v>
      </c>
      <c r="R550" s="282">
        <f t="shared" si="559"/>
        <v>0</v>
      </c>
      <c r="S550" s="283">
        <v>561</v>
      </c>
      <c r="T550" s="275">
        <v>16</v>
      </c>
      <c r="U550" s="280">
        <f t="shared" si="560"/>
        <v>135</v>
      </c>
      <c r="V550" s="281">
        <f t="shared" si="561"/>
        <v>8.4375</v>
      </c>
      <c r="W550" s="282">
        <f t="shared" si="562"/>
        <v>16875</v>
      </c>
      <c r="X550" s="283"/>
      <c r="Y550" s="275"/>
      <c r="Z550" s="280">
        <f>Tabla14[[#This Row],[Cajas Segunda]]</f>
        <v>0</v>
      </c>
      <c r="AA550" s="281">
        <f t="shared" si="563"/>
        <v>0</v>
      </c>
      <c r="AB550" s="284">
        <f t="shared" si="564"/>
        <v>0</v>
      </c>
      <c r="AC550" s="285"/>
      <c r="AD550" s="286"/>
      <c r="AE550" s="286"/>
      <c r="AF550" s="286"/>
      <c r="AG550" s="286">
        <v>16</v>
      </c>
      <c r="AH550" s="280">
        <f t="shared" si="565"/>
        <v>0</v>
      </c>
      <c r="AI550" s="281">
        <f t="shared" si="566"/>
        <v>0</v>
      </c>
      <c r="AJ550" s="282">
        <f t="shared" si="567"/>
        <v>0</v>
      </c>
      <c r="AK550" s="287">
        <f>Tabla14[[#This Row],[Cajas por Personas]]</f>
        <v>0</v>
      </c>
      <c r="AL550" s="288">
        <f>Tabla14[[#This Row],[Valor Precorte Pesona]]</f>
        <v>0</v>
      </c>
      <c r="AM550" s="294">
        <f>Tabla14[[#This Row],[Personas Precorte]]</f>
        <v>0</v>
      </c>
      <c r="AN550" s="308">
        <f>Tabla14[[#This Row],[Valor Precorte Pesona Precorte]]*Tabla14[[#This Row],[Perzonas Precorte]]</f>
        <v>0</v>
      </c>
      <c r="AO550" s="287">
        <f>Tabla14[[#This Row],[Cajas por Personas2]]</f>
        <v>8.4375</v>
      </c>
      <c r="AP550" s="288">
        <f>Tabla14[[#This Row],[Valor Embarque Pesona]]</f>
        <v>16875</v>
      </c>
      <c r="AQ550" s="295">
        <f>Tabla14[[#This Row],[Personas Precorte2]]</f>
        <v>16</v>
      </c>
      <c r="AR550" s="296">
        <f>Tabla14[[#This Row],[Valor Embarque Pesona3]]*Tabla14[[#This Row],[Perzona Primera]]</f>
        <v>270000</v>
      </c>
      <c r="AS550" s="287">
        <f>Tabla14[[#This Row],[Columna2]]</f>
        <v>0</v>
      </c>
      <c r="AT550" s="288">
        <f>Tabla14[[#This Row],[Columna1]]</f>
        <v>0</v>
      </c>
      <c r="AU550" s="302">
        <f>Tabla14[[#This Row],[Personas Intervienen]]</f>
        <v>0</v>
      </c>
      <c r="AV550" s="297">
        <f>Tabla14[[#This Row],[Valor Embarque Pesona5]]*Tabla14[[#This Row],[Presonas Segunda]]</f>
        <v>0</v>
      </c>
      <c r="AW550" s="287">
        <f>Tabla14[[#This Row],[Bolsas Por Personas]]</f>
        <v>0</v>
      </c>
      <c r="AX550" s="288">
        <f>Tabla14[[#This Row],[Valor bolsas Pesona]]</f>
        <v>0</v>
      </c>
      <c r="AY550" s="309">
        <f>Tabla14[[#This Row],[Personas13]]</f>
        <v>16</v>
      </c>
      <c r="AZ550" s="310">
        <f>Tabla14[[#This Row],[Valor bolsas Pesona2]]*Tabla14[[#This Row],[Personas Rechazo]]</f>
        <v>0</v>
      </c>
      <c r="BA550" s="311">
        <f>+Tabla14[[#This Row],[Total Valor Segunda]]+Tabla14[[#This Row],[Total Valor Primera]]+Tabla14[[#This Row],[Total Valor Precorte]]</f>
        <v>270000</v>
      </c>
      <c r="BB550" s="470">
        <f>Tabla14[[#This Row],[Valor bolsas Pesona2]]+Tabla14[[#This Row],[Valor Embarque Pesona3]]</f>
        <v>16875</v>
      </c>
      <c r="BC550" s="471">
        <v>50000</v>
      </c>
      <c r="BD550" s="470">
        <f>Tabla14[[#This Row],[VALOR GANADO]]-Tabla14[[#This Row],[REAJUSTADO]]</f>
        <v>-33125</v>
      </c>
      <c r="BE550" s="250">
        <f>Tabla14[[#This Row],[CUANTO SE REAJUSTA]]*Tabla14[[#This Row],[Personas Rechazo]]</f>
        <v>-530000</v>
      </c>
      <c r="BF550" s="250">
        <f>Tabla14[[#This Row],[REAJUSTADO]]/25000</f>
        <v>2</v>
      </c>
      <c r="BG550" s="302">
        <f>Tabla14[[#This Row],[REAJUSTADO]]*Tabla14[[#This Row],[Personas Rechazo]]</f>
        <v>800000</v>
      </c>
      <c r="BH550" s="292" t="str">
        <f>Tabla14[[#This Row],[Finca]]</f>
        <v>San Pedro</v>
      </c>
      <c r="BJ550" s="332">
        <f>Tabla14[[#This Row],[Numero de Ocacionales]]*Tabla14[[#This Row],[REAJUSTADO]]</f>
        <v>0</v>
      </c>
      <c r="BK550" s="332"/>
      <c r="BL550" s="332"/>
      <c r="BM550" s="332">
        <f>+Tabla14[[#This Row],[CUANTO SE REAJUSTA]]*3</f>
        <v>-99375</v>
      </c>
    </row>
    <row r="551" spans="3:65" x14ac:dyDescent="0.25">
      <c r="C551" s="515">
        <v>45327</v>
      </c>
      <c r="D551" s="549">
        <f>YEAR(Tabla14[[#This Row],[Fecha]])</f>
        <v>2024</v>
      </c>
      <c r="E551" s="516">
        <f>IF(Tabla14[[#This Row],[Fecha]]&gt;0,_xlfn.ISOWEEKNUM(Tabla14[[#This Row],[Fecha]]),0)</f>
        <v>6</v>
      </c>
      <c r="F551" s="283">
        <v>20</v>
      </c>
      <c r="G551" s="275" t="s">
        <v>275</v>
      </c>
      <c r="H551" s="325" t="str">
        <f>_xlfn.XLOOKUP(Tabla14[[#This Row],[Codigo Finca]],Tabla4[Codigo Finca],Tabla4[Nombre Finca],"")</f>
        <v>Uveros</v>
      </c>
      <c r="I551" s="277">
        <f>_xlfn.XLOOKUP(Tabla14[[#This Row],[Codigo Finca]],Tabla4[Codigo Finca],Tabla4[Precio Caja],0)</f>
        <v>2000</v>
      </c>
      <c r="J551" s="277">
        <f>_xlfn.XLOOKUP(Tabla14[[#This Row],[Codigo Finca]],Tabla4[Codigo Finca],Tabla4[Precio Caja Segunda],0)</f>
        <v>0</v>
      </c>
      <c r="K551" s="277">
        <f>_xlfn.XLOOKUP(Tabla14[[#This Row],[Codigo Finca]],Tabla4[Codigo Finca],Tabla4[Precio Rechazo],0)</f>
        <v>575</v>
      </c>
      <c r="L551" s="277">
        <f t="shared" si="555"/>
        <v>0</v>
      </c>
      <c r="M551" s="278">
        <f t="shared" si="556"/>
        <v>0</v>
      </c>
      <c r="N551" s="283"/>
      <c r="O551" s="279"/>
      <c r="P551" s="280">
        <f t="shared" si="557"/>
        <v>0</v>
      </c>
      <c r="Q551" s="281">
        <f t="shared" si="558"/>
        <v>0</v>
      </c>
      <c r="R551" s="282">
        <f t="shared" si="559"/>
        <v>0</v>
      </c>
      <c r="S551" s="283"/>
      <c r="T551" s="275"/>
      <c r="U551" s="280">
        <f t="shared" si="560"/>
        <v>20</v>
      </c>
      <c r="V551" s="281">
        <f t="shared" si="561"/>
        <v>0</v>
      </c>
      <c r="W551" s="282">
        <f t="shared" si="562"/>
        <v>0</v>
      </c>
      <c r="X551" s="283"/>
      <c r="Y551" s="275"/>
      <c r="Z551" s="280">
        <f>Tabla14[[#This Row],[Cajas Segunda]]</f>
        <v>0</v>
      </c>
      <c r="AA551" s="281">
        <f t="shared" si="563"/>
        <v>0</v>
      </c>
      <c r="AB551" s="284">
        <f t="shared" si="564"/>
        <v>0</v>
      </c>
      <c r="AC551" s="285"/>
      <c r="AD551" s="286">
        <v>320</v>
      </c>
      <c r="AE551" s="286"/>
      <c r="AF551" s="286"/>
      <c r="AG551" s="286"/>
      <c r="AH551" s="280">
        <f t="shared" si="565"/>
        <v>12.8</v>
      </c>
      <c r="AI551" s="281">
        <f t="shared" si="566"/>
        <v>0</v>
      </c>
      <c r="AJ551" s="282">
        <f t="shared" si="567"/>
        <v>0</v>
      </c>
      <c r="AK551" s="287">
        <f>Tabla14[[#This Row],[Cajas por Personas]]</f>
        <v>0</v>
      </c>
      <c r="AL551" s="288">
        <f>Tabla14[[#This Row],[Valor Precorte Pesona]]</f>
        <v>0</v>
      </c>
      <c r="AM551" s="294">
        <f>Tabla14[[#This Row],[Personas Precorte]]</f>
        <v>0</v>
      </c>
      <c r="AN551" s="308">
        <f>Tabla14[[#This Row],[Valor Precorte Pesona Precorte]]*Tabla14[[#This Row],[Perzonas Precorte]]</f>
        <v>0</v>
      </c>
      <c r="AO551" s="287">
        <f>Tabla14[[#This Row],[Cajas por Personas2]]</f>
        <v>0</v>
      </c>
      <c r="AP551" s="288">
        <f>Tabla14[[#This Row],[Valor Embarque Pesona]]</f>
        <v>0</v>
      </c>
      <c r="AQ551" s="295">
        <f>Tabla14[[#This Row],[Personas Precorte2]]</f>
        <v>0</v>
      </c>
      <c r="AR551" s="296">
        <f>Tabla14[[#This Row],[Valor Embarque Pesona3]]*Tabla14[[#This Row],[Perzona Primera]]</f>
        <v>0</v>
      </c>
      <c r="AS551" s="287">
        <f>Tabla14[[#This Row],[Columna2]]</f>
        <v>0</v>
      </c>
      <c r="AT551" s="288">
        <f>Tabla14[[#This Row],[Columna1]]</f>
        <v>0</v>
      </c>
      <c r="AU551" s="302">
        <f>Tabla14[[#This Row],[Personas Intervienen]]</f>
        <v>0</v>
      </c>
      <c r="AV551" s="297">
        <f>Tabla14[[#This Row],[Valor Embarque Pesona5]]*Tabla14[[#This Row],[Presonas Segunda]]</f>
        <v>0</v>
      </c>
      <c r="AW551" s="287">
        <f>Tabla14[[#This Row],[Bolsas Por Personas]]</f>
        <v>0</v>
      </c>
      <c r="AX551" s="288">
        <f>Tabla14[[#This Row],[Valor bolsas Pesona]]</f>
        <v>0</v>
      </c>
      <c r="AY551" s="309">
        <f>Tabla14[[#This Row],[Personas13]]</f>
        <v>0</v>
      </c>
      <c r="AZ551" s="310">
        <f>Tabla14[[#This Row],[Valor bolsas Pesona2]]*Tabla14[[#This Row],[Personas Rechazo]]</f>
        <v>0</v>
      </c>
      <c r="BA551" s="311">
        <f>+Tabla14[[#This Row],[Total Valor Segunda]]+Tabla14[[#This Row],[Total Valor Primera]]+Tabla14[[#This Row],[Total Valor Precorte]]</f>
        <v>0</v>
      </c>
      <c r="BB551" s="292">
        <f>Tabla14[[#This Row],[Valor bolsas Pesona2]]+Tabla14[[#This Row],[Valor Embarque Pesona3]]</f>
        <v>0</v>
      </c>
      <c r="BD551" s="292">
        <f>Tabla14[[#This Row],[VALOR GANADO]]-Tabla14[[#This Row],[REAJUSTADO]]</f>
        <v>0</v>
      </c>
      <c r="BE551" s="250">
        <f>Tabla14[[#This Row],[CUANTO SE REAJUSTA]]*Tabla14[[#This Row],[Personas Rechazo]]</f>
        <v>0</v>
      </c>
      <c r="BF551" s="250">
        <f>Tabla14[[#This Row],[REAJUSTADO]]/25000</f>
        <v>0</v>
      </c>
      <c r="BG551" s="302">
        <f>Tabla14[[#This Row],[REAJUSTADO]]*Tabla14[[#This Row],[Personas Rechazo]]</f>
        <v>0</v>
      </c>
      <c r="BH551" s="292" t="str">
        <f>Tabla14[[#This Row],[Finca]]</f>
        <v>Uveros</v>
      </c>
      <c r="BJ551" s="332">
        <f>Tabla14[[#This Row],[Numero de Ocacionales]]*Tabla14[[#This Row],[REAJUSTADO]]</f>
        <v>0</v>
      </c>
      <c r="BK551" s="332"/>
      <c r="BL551" s="332"/>
      <c r="BM551" s="332">
        <f>+Tabla14[[#This Row],[CUANTO SE REAJUSTA]]*3</f>
        <v>0</v>
      </c>
    </row>
    <row r="552" spans="3:65" x14ac:dyDescent="0.25">
      <c r="C552" s="515">
        <v>45327</v>
      </c>
      <c r="D552" s="549">
        <f>YEAR(Tabla14[[#This Row],[Fecha]])</f>
        <v>2024</v>
      </c>
      <c r="E552" s="516">
        <f>IF(Tabla14[[#This Row],[Fecha]]&gt;0,_xlfn.ISOWEEKNUM(Tabla14[[#This Row],[Fecha]]),0)</f>
        <v>6</v>
      </c>
      <c r="F552" s="283">
        <v>74</v>
      </c>
      <c r="G552" s="275" t="s">
        <v>273</v>
      </c>
      <c r="H552" s="325" t="str">
        <f>_xlfn.XLOOKUP(Tabla14[[#This Row],[Codigo Finca]],Tabla4[Codigo Finca],Tabla4[Nombre Finca],"")</f>
        <v>San Pedro</v>
      </c>
      <c r="I552" s="277">
        <f>_xlfn.XLOOKUP(Tabla14[[#This Row],[Codigo Finca]],Tabla4[Codigo Finca],Tabla4[Precio Caja],0)</f>
        <v>2200</v>
      </c>
      <c r="J552" s="277">
        <f>_xlfn.XLOOKUP(Tabla14[[#This Row],[Codigo Finca]],Tabla4[Codigo Finca],Tabla4[Precio Caja Segunda],0)</f>
        <v>0</v>
      </c>
      <c r="K552" s="277">
        <f>_xlfn.XLOOKUP(Tabla14[[#This Row],[Codigo Finca]],Tabla4[Codigo Finca],Tabla4[Precio Rechazo],0)</f>
        <v>675</v>
      </c>
      <c r="L552" s="277">
        <f t="shared" si="555"/>
        <v>0</v>
      </c>
      <c r="M552" s="278">
        <f t="shared" si="556"/>
        <v>0</v>
      </c>
      <c r="N552" s="283"/>
      <c r="O552" s="279"/>
      <c r="P552" s="280">
        <f t="shared" si="557"/>
        <v>0</v>
      </c>
      <c r="Q552" s="281">
        <f t="shared" si="558"/>
        <v>0</v>
      </c>
      <c r="R552" s="282">
        <f t="shared" si="559"/>
        <v>0</v>
      </c>
      <c r="S552" s="283"/>
      <c r="T552" s="275">
        <v>22</v>
      </c>
      <c r="U552" s="280">
        <f t="shared" si="560"/>
        <v>74</v>
      </c>
      <c r="V552" s="281">
        <f t="shared" si="561"/>
        <v>3.3636363636363638</v>
      </c>
      <c r="W552" s="282">
        <f t="shared" si="562"/>
        <v>7400</v>
      </c>
      <c r="X552" s="283"/>
      <c r="Y552" s="275"/>
      <c r="Z552" s="280">
        <f>Tabla14[[#This Row],[Cajas Segunda]]</f>
        <v>0</v>
      </c>
      <c r="AA552" s="281">
        <f t="shared" si="563"/>
        <v>0</v>
      </c>
      <c r="AB552" s="284">
        <f t="shared" si="564"/>
        <v>0</v>
      </c>
      <c r="AC552" s="285"/>
      <c r="AD552" s="286"/>
      <c r="AE552" s="286"/>
      <c r="AF552" s="286"/>
      <c r="AG552" s="286">
        <v>22</v>
      </c>
      <c r="AH552" s="280">
        <f t="shared" si="565"/>
        <v>0</v>
      </c>
      <c r="AI552" s="281">
        <f t="shared" si="566"/>
        <v>0</v>
      </c>
      <c r="AJ552" s="282">
        <f t="shared" si="567"/>
        <v>0</v>
      </c>
      <c r="AK552" s="287">
        <f>Tabla14[[#This Row],[Cajas por Personas]]</f>
        <v>0</v>
      </c>
      <c r="AL552" s="288">
        <f>Tabla14[[#This Row],[Valor Precorte Pesona]]</f>
        <v>0</v>
      </c>
      <c r="AM552" s="294">
        <f>Tabla14[[#This Row],[Personas Precorte]]</f>
        <v>0</v>
      </c>
      <c r="AN552" s="308">
        <f>Tabla14[[#This Row],[Valor Precorte Pesona Precorte]]*Tabla14[[#This Row],[Perzonas Precorte]]</f>
        <v>0</v>
      </c>
      <c r="AO552" s="287">
        <f>Tabla14[[#This Row],[Cajas por Personas2]]</f>
        <v>3.3636363636363638</v>
      </c>
      <c r="AP552" s="288">
        <f>Tabla14[[#This Row],[Valor Embarque Pesona]]</f>
        <v>7400</v>
      </c>
      <c r="AQ552" s="295">
        <f>Tabla14[[#This Row],[Personas Precorte2]]</f>
        <v>22</v>
      </c>
      <c r="AR552" s="296">
        <f>Tabla14[[#This Row],[Valor Embarque Pesona3]]*Tabla14[[#This Row],[Perzona Primera]]</f>
        <v>162800</v>
      </c>
      <c r="AS552" s="287">
        <f>Tabla14[[#This Row],[Columna2]]</f>
        <v>0</v>
      </c>
      <c r="AT552" s="288">
        <f>Tabla14[[#This Row],[Columna1]]</f>
        <v>0</v>
      </c>
      <c r="AU552" s="302">
        <f>Tabla14[[#This Row],[Personas Intervienen]]</f>
        <v>0</v>
      </c>
      <c r="AV552" s="297">
        <f>Tabla14[[#This Row],[Valor Embarque Pesona5]]*Tabla14[[#This Row],[Presonas Segunda]]</f>
        <v>0</v>
      </c>
      <c r="AW552" s="287">
        <f>Tabla14[[#This Row],[Bolsas Por Personas]]</f>
        <v>0</v>
      </c>
      <c r="AX552" s="288">
        <f>Tabla14[[#This Row],[Valor bolsas Pesona]]</f>
        <v>0</v>
      </c>
      <c r="AY552" s="309">
        <f>Tabla14[[#This Row],[Personas13]]</f>
        <v>22</v>
      </c>
      <c r="AZ552" s="310">
        <f>Tabla14[[#This Row],[Valor bolsas Pesona2]]*Tabla14[[#This Row],[Personas Rechazo]]</f>
        <v>0</v>
      </c>
      <c r="BA552" s="311">
        <f>+Tabla14[[#This Row],[Total Valor Segunda]]+Tabla14[[#This Row],[Total Valor Primera]]+Tabla14[[#This Row],[Total Valor Precorte]]</f>
        <v>162800</v>
      </c>
      <c r="BB552" s="292">
        <f>Tabla14[[#This Row],[Valor bolsas Pesona2]]+Tabla14[[#This Row],[Valor Embarque Pesona3]]</f>
        <v>7400</v>
      </c>
      <c r="BC552" s="332">
        <f>Tabla14[[#This Row],[VALOR GANADO]]+BB553</f>
        <v>26409.227272727272</v>
      </c>
      <c r="BD552" s="292">
        <f>Tabla14[[#This Row],[VALOR GANADO]]-Tabla14[[#This Row],[REAJUSTADO]]</f>
        <v>-19009.227272727272</v>
      </c>
      <c r="BE552" s="250">
        <f>Tabla14[[#This Row],[CUANTO SE REAJUSTA]]*Tabla14[[#This Row],[Personas Rechazo]]</f>
        <v>-418203</v>
      </c>
      <c r="BF552" s="250">
        <f>Tabla14[[#This Row],[REAJUSTADO]]/25000</f>
        <v>1.0563690909090908</v>
      </c>
      <c r="BG552" s="302">
        <f>Tabla14[[#This Row],[REAJUSTADO]]*Tabla14[[#This Row],[Personas Rechazo]]</f>
        <v>581003</v>
      </c>
      <c r="BH552" s="292" t="str">
        <f>Tabla14[[#This Row],[Finca]]</f>
        <v>San Pedro</v>
      </c>
      <c r="BJ552" s="332">
        <f>Tabla14[[#This Row],[Numero de Ocacionales]]*Tabla14[[#This Row],[REAJUSTADO]]</f>
        <v>0</v>
      </c>
      <c r="BK552" s="332"/>
      <c r="BL552" s="332"/>
      <c r="BM552" s="332">
        <f>+Tabla14[[#This Row],[CUANTO SE REAJUSTA]]*3</f>
        <v>-57027.681818181816</v>
      </c>
    </row>
    <row r="553" spans="3:65" x14ac:dyDescent="0.25">
      <c r="C553" s="515">
        <v>45327</v>
      </c>
      <c r="D553" s="549">
        <f>YEAR(Tabla14[[#This Row],[Fecha]])</f>
        <v>2024</v>
      </c>
      <c r="E553" s="516">
        <f>IF(Tabla14[[#This Row],[Fecha]]&gt;0,_xlfn.ISOWEEKNUM(Tabla14[[#This Row],[Fecha]]),0)</f>
        <v>6</v>
      </c>
      <c r="F553" s="283">
        <f>68+76</f>
        <v>144</v>
      </c>
      <c r="G553" s="275" t="s">
        <v>279</v>
      </c>
      <c r="H553" s="325" t="str">
        <f>_xlfn.XLOOKUP(Tabla14[[#This Row],[Codigo Finca]],Tabla4[Codigo Finca],Tabla4[Nombre Finca],"")</f>
        <v>San Pedro</v>
      </c>
      <c r="I553" s="277">
        <f>_xlfn.XLOOKUP(Tabla14[[#This Row],[Codigo Finca]],Tabla4[Codigo Finca],Tabla4[Precio Caja],0)</f>
        <v>2000</v>
      </c>
      <c r="J553" s="277">
        <f>_xlfn.XLOOKUP(Tabla14[[#This Row],[Codigo Finca]],Tabla4[Codigo Finca],Tabla4[Precio Caja Segunda],0)</f>
        <v>0</v>
      </c>
      <c r="K553" s="277">
        <f>_xlfn.XLOOKUP(Tabla14[[#This Row],[Codigo Finca]],Tabla4[Codigo Finca],Tabla4[Precio Rechazo],0)</f>
        <v>575</v>
      </c>
      <c r="L553" s="277">
        <f t="shared" si="555"/>
        <v>926</v>
      </c>
      <c r="M553" s="278">
        <f t="shared" si="556"/>
        <v>6.4305555555555554</v>
      </c>
      <c r="N553" s="283"/>
      <c r="O553" s="279"/>
      <c r="P553" s="280">
        <f t="shared" si="557"/>
        <v>0</v>
      </c>
      <c r="Q553" s="281">
        <f t="shared" si="558"/>
        <v>0</v>
      </c>
      <c r="R553" s="282">
        <f t="shared" si="559"/>
        <v>0</v>
      </c>
      <c r="S553" s="283">
        <v>926</v>
      </c>
      <c r="T553" s="275">
        <v>22</v>
      </c>
      <c r="U553" s="280">
        <f t="shared" si="560"/>
        <v>144</v>
      </c>
      <c r="V553" s="281">
        <f t="shared" si="561"/>
        <v>6.5454545454545459</v>
      </c>
      <c r="W553" s="282">
        <f t="shared" si="562"/>
        <v>13090.90909090909</v>
      </c>
      <c r="X553" s="283"/>
      <c r="Y553" s="275"/>
      <c r="Z553" s="280">
        <f>Tabla14[[#This Row],[Cajas Segunda]]</f>
        <v>0</v>
      </c>
      <c r="AA553" s="281">
        <f t="shared" si="563"/>
        <v>0</v>
      </c>
      <c r="AB553" s="284">
        <f t="shared" si="564"/>
        <v>0</v>
      </c>
      <c r="AC553" s="285"/>
      <c r="AD553" s="286">
        <f>3386+2275</f>
        <v>5661</v>
      </c>
      <c r="AE553" s="286"/>
      <c r="AF553" s="286"/>
      <c r="AG553" s="286">
        <v>22</v>
      </c>
      <c r="AH553" s="280">
        <f t="shared" si="565"/>
        <v>226.44</v>
      </c>
      <c r="AI553" s="281">
        <f t="shared" si="566"/>
        <v>10.292727272727273</v>
      </c>
      <c r="AJ553" s="282">
        <f t="shared" si="567"/>
        <v>5918.318181818182</v>
      </c>
      <c r="AK553" s="287">
        <f>Tabla14[[#This Row],[Cajas por Personas]]</f>
        <v>0</v>
      </c>
      <c r="AL553" s="288">
        <f>Tabla14[[#This Row],[Valor Precorte Pesona]]</f>
        <v>0</v>
      </c>
      <c r="AM553" s="294">
        <f>Tabla14[[#This Row],[Personas Precorte]]</f>
        <v>0</v>
      </c>
      <c r="AN553" s="308">
        <f>Tabla14[[#This Row],[Valor Precorte Pesona Precorte]]*Tabla14[[#This Row],[Perzonas Precorte]]</f>
        <v>0</v>
      </c>
      <c r="AO553" s="287">
        <f>Tabla14[[#This Row],[Cajas por Personas2]]</f>
        <v>6.5454545454545459</v>
      </c>
      <c r="AP553" s="288">
        <f>Tabla14[[#This Row],[Valor Embarque Pesona]]</f>
        <v>13090.90909090909</v>
      </c>
      <c r="AQ553" s="295">
        <f>Tabla14[[#This Row],[Personas Precorte2]]</f>
        <v>22</v>
      </c>
      <c r="AR553" s="296">
        <f>Tabla14[[#This Row],[Valor Embarque Pesona3]]*Tabla14[[#This Row],[Perzona Primera]]</f>
        <v>288000</v>
      </c>
      <c r="AS553" s="287">
        <f>Tabla14[[#This Row],[Columna2]]</f>
        <v>0</v>
      </c>
      <c r="AT553" s="288">
        <f>Tabla14[[#This Row],[Columna1]]</f>
        <v>0</v>
      </c>
      <c r="AU553" s="302">
        <f>Tabla14[[#This Row],[Personas Intervienen]]</f>
        <v>0</v>
      </c>
      <c r="AV553" s="297">
        <f>Tabla14[[#This Row],[Valor Embarque Pesona5]]*Tabla14[[#This Row],[Presonas Segunda]]</f>
        <v>0</v>
      </c>
      <c r="AW553" s="287">
        <f>Tabla14[[#This Row],[Bolsas Por Personas]]</f>
        <v>10.292727272727273</v>
      </c>
      <c r="AX553" s="288">
        <f>Tabla14[[#This Row],[Valor bolsas Pesona]]</f>
        <v>5918.318181818182</v>
      </c>
      <c r="AY553" s="309">
        <f>Tabla14[[#This Row],[Personas13]]</f>
        <v>22</v>
      </c>
      <c r="AZ553" s="310">
        <f>Tabla14[[#This Row],[Valor bolsas Pesona2]]*Tabla14[[#This Row],[Personas Rechazo]]</f>
        <v>130203</v>
      </c>
      <c r="BA553" s="311">
        <f>+Tabla14[[#This Row],[Total Valor Segunda]]+Tabla14[[#This Row],[Total Valor Primera]]+Tabla14[[#This Row],[Total Valor Precorte]]</f>
        <v>288000</v>
      </c>
      <c r="BB553" s="292">
        <f>Tabla14[[#This Row],[Valor bolsas Pesona2]]+Tabla14[[#This Row],[Valor Embarque Pesona3]]</f>
        <v>19009.227272727272</v>
      </c>
      <c r="BC553" s="332">
        <v>40000</v>
      </c>
      <c r="BD553" s="292">
        <f>Tabla14[[#This Row],[VALOR GANADO]]-Tabla14[[#This Row],[REAJUSTADO]]</f>
        <v>-20990.772727272728</v>
      </c>
      <c r="BE553" s="250">
        <f>Tabla14[[#This Row],[CUANTO SE REAJUSTA]]*Tabla14[[#This Row],[Personas Rechazo]]</f>
        <v>-461797</v>
      </c>
      <c r="BF553" s="250">
        <f>Tabla14[[#This Row],[REAJUSTADO]]/25000</f>
        <v>1.6</v>
      </c>
      <c r="BG553" s="302">
        <f>Tabla14[[#This Row],[REAJUSTADO]]*Tabla14[[#This Row],[Personas Rechazo]]</f>
        <v>880000</v>
      </c>
      <c r="BH553" s="292" t="str">
        <f>Tabla14[[#This Row],[Finca]]</f>
        <v>San Pedro</v>
      </c>
      <c r="BJ553" s="332">
        <f>Tabla14[[#This Row],[Numero de Ocacionales]]*Tabla14[[#This Row],[REAJUSTADO]]</f>
        <v>0</v>
      </c>
      <c r="BK553" s="332"/>
      <c r="BL553" s="332"/>
      <c r="BM553" s="332">
        <f>+Tabla14[[#This Row],[CUANTO SE REAJUSTA]]*3</f>
        <v>-62972.318181818184</v>
      </c>
    </row>
    <row r="554" spans="3:65" x14ac:dyDescent="0.25">
      <c r="C554" s="517">
        <v>45327</v>
      </c>
      <c r="D554" s="549">
        <f>YEAR(Tabla14[[#This Row],[Fecha]])</f>
        <v>2024</v>
      </c>
      <c r="E554" s="518">
        <f>IF(Tabla14[[#This Row],[Fecha]]&gt;0,_xlfn.ISOWEEKNUM(Tabla14[[#This Row],[Fecha]]),0)</f>
        <v>6</v>
      </c>
      <c r="F554" s="269">
        <v>3</v>
      </c>
      <c r="G554" s="268" t="s">
        <v>276</v>
      </c>
      <c r="H554" s="266" t="str">
        <f>_xlfn.XLOOKUP(Tabla14[[#This Row],[Codigo Finca]],Tabla4[Codigo Finca],Tabla4[Nombre Finca],"")</f>
        <v>Damaquiel</v>
      </c>
      <c r="I554" s="262">
        <f>_xlfn.XLOOKUP(Tabla14[[#This Row],[Codigo Finca]],Tabla4[Codigo Finca],Tabla4[Precio Caja],0)</f>
        <v>2000</v>
      </c>
      <c r="J554" s="262">
        <f>_xlfn.XLOOKUP(Tabla14[[#This Row],[Codigo Finca]],Tabla4[Codigo Finca],Tabla4[Precio Caja Segunda],0)</f>
        <v>0</v>
      </c>
      <c r="K554" s="262">
        <f>_xlfn.XLOOKUP(Tabla14[[#This Row],[Codigo Finca]],Tabla4[Codigo Finca],Tabla4[Precio Rechazo],0)</f>
        <v>575</v>
      </c>
      <c r="L554" s="262">
        <f t="shared" si="555"/>
        <v>0</v>
      </c>
      <c r="M554" s="272">
        <f t="shared" si="556"/>
        <v>0</v>
      </c>
      <c r="N554" s="269"/>
      <c r="O554" s="270"/>
      <c r="P554" s="280">
        <f t="shared" si="557"/>
        <v>0</v>
      </c>
      <c r="Q554" s="263">
        <f t="shared" si="558"/>
        <v>0</v>
      </c>
      <c r="R554" s="322">
        <f t="shared" si="559"/>
        <v>0</v>
      </c>
      <c r="S554" s="269"/>
      <c r="T554" s="268"/>
      <c r="U554" s="251">
        <f t="shared" si="560"/>
        <v>3</v>
      </c>
      <c r="V554" s="263">
        <f t="shared" si="561"/>
        <v>0</v>
      </c>
      <c r="W554" s="322">
        <f t="shared" si="562"/>
        <v>0</v>
      </c>
      <c r="X554" s="269"/>
      <c r="Y554" s="268"/>
      <c r="Z554" s="251">
        <f>Tabla14[[#This Row],[Cajas Segunda]]</f>
        <v>0</v>
      </c>
      <c r="AA554" s="263">
        <f t="shared" si="563"/>
        <v>0</v>
      </c>
      <c r="AB554" s="265">
        <f t="shared" si="564"/>
        <v>0</v>
      </c>
      <c r="AC554" s="273"/>
      <c r="AD554" s="559"/>
      <c r="AE554" s="271"/>
      <c r="AF554" s="271"/>
      <c r="AG554" s="271"/>
      <c r="AH554" s="251">
        <f t="shared" si="565"/>
        <v>0</v>
      </c>
      <c r="AI554" s="263">
        <f t="shared" si="566"/>
        <v>0</v>
      </c>
      <c r="AJ554" s="322">
        <f t="shared" si="567"/>
        <v>0</v>
      </c>
      <c r="AK554" s="264">
        <f>Tabla14[[#This Row],[Cajas por Personas]]</f>
        <v>0</v>
      </c>
      <c r="AL554" s="267">
        <f>Tabla14[[#This Row],[Valor Precorte Pesona]]</f>
        <v>0</v>
      </c>
      <c r="AM554" s="294">
        <f>Tabla14[[#This Row],[Personas Precorte]]</f>
        <v>0</v>
      </c>
      <c r="AN554" s="308">
        <f>Tabla14[[#This Row],[Valor Precorte Pesona Precorte]]*Tabla14[[#This Row],[Perzonas Precorte]]</f>
        <v>0</v>
      </c>
      <c r="AO554" s="264">
        <f>Tabla14[[#This Row],[Cajas por Personas2]]</f>
        <v>0</v>
      </c>
      <c r="AP554" s="267">
        <f>Tabla14[[#This Row],[Valor Embarque Pesona]]</f>
        <v>0</v>
      </c>
      <c r="AQ554" s="295">
        <f>Tabla14[[#This Row],[Personas Precorte2]]</f>
        <v>0</v>
      </c>
      <c r="AR554" s="296">
        <f>Tabla14[[#This Row],[Valor Embarque Pesona3]]*Tabla14[[#This Row],[Perzona Primera]]</f>
        <v>0</v>
      </c>
      <c r="AS554" s="264">
        <f>Tabla14[[#This Row],[Columna2]]</f>
        <v>0</v>
      </c>
      <c r="AT554" s="267">
        <f>Tabla14[[#This Row],[Columna1]]</f>
        <v>0</v>
      </c>
      <c r="AU554" s="302">
        <f>Tabla14[[#This Row],[Personas Intervienen]]</f>
        <v>0</v>
      </c>
      <c r="AV554" s="297">
        <f>Tabla14[[#This Row],[Valor Embarque Pesona5]]*Tabla14[[#This Row],[Presonas Segunda]]</f>
        <v>0</v>
      </c>
      <c r="AW554" s="264">
        <f>Tabla14[[#This Row],[Bolsas Por Personas]]</f>
        <v>0</v>
      </c>
      <c r="AX554" s="267">
        <f>Tabla14[[#This Row],[Valor bolsas Pesona]]</f>
        <v>0</v>
      </c>
      <c r="AY554" s="290">
        <f>Tabla14[[#This Row],[Personas13]]</f>
        <v>0</v>
      </c>
      <c r="AZ554" s="323">
        <f>Tabla14[[#This Row],[Valor bolsas Pesona2]]*Tabla14[[#This Row],[Personas Rechazo]]</f>
        <v>0</v>
      </c>
      <c r="BA554" s="324">
        <f>+Tabla14[[#This Row],[Total Valor Segunda]]+Tabla14[[#This Row],[Total Valor Primera]]+Tabla14[[#This Row],[Total Valor Precorte]]</f>
        <v>0</v>
      </c>
      <c r="BB554" s="292">
        <f>Tabla14[[#This Row],[Valor bolsas Pesona2]]+Tabla14[[#This Row],[Valor Embarque Pesona3]]</f>
        <v>0</v>
      </c>
      <c r="BD554" s="292">
        <f>Tabla14[[#This Row],[VALOR GANADO]]-Tabla14[[#This Row],[REAJUSTADO]]</f>
        <v>0</v>
      </c>
      <c r="BE554" s="250">
        <f>Tabla14[[#This Row],[CUANTO SE REAJUSTA]]*Tabla14[[#This Row],[Personas Rechazo]]</f>
        <v>0</v>
      </c>
      <c r="BF554" s="250">
        <f>Tabla14[[#This Row],[REAJUSTADO]]/25000</f>
        <v>0</v>
      </c>
      <c r="BG554" s="302">
        <f>Tabla14[[#This Row],[REAJUSTADO]]*Tabla14[[#This Row],[Personas Rechazo]]</f>
        <v>0</v>
      </c>
      <c r="BH554" s="292" t="str">
        <f>Tabla14[[#This Row],[Finca]]</f>
        <v>Damaquiel</v>
      </c>
      <c r="BJ554" s="330">
        <f>Tabla14[[#This Row],[Numero de Ocacionales]]*Tabla14[[#This Row],[REAJUSTADO]]</f>
        <v>0</v>
      </c>
      <c r="BM554" s="330">
        <f>+Tabla14[[#This Row],[CUANTO SE REAJUSTA]]*3</f>
        <v>0</v>
      </c>
    </row>
    <row r="555" spans="3:65" x14ac:dyDescent="0.25">
      <c r="C555" s="515">
        <v>45327</v>
      </c>
      <c r="D555" s="549">
        <f>YEAR(Tabla14[[#This Row],[Fecha]])</f>
        <v>2024</v>
      </c>
      <c r="E555" s="516">
        <f>IF(Tabla14[[#This Row],[Fecha]]&gt;0,_xlfn.ISOWEEKNUM(Tabla14[[#This Row],[Fecha]]),0)</f>
        <v>6</v>
      </c>
      <c r="F555" s="283">
        <v>76</v>
      </c>
      <c r="G555" s="275" t="s">
        <v>272</v>
      </c>
      <c r="H555" s="325" t="str">
        <f>_xlfn.XLOOKUP(Tabla14[[#This Row],[Codigo Finca]],Tabla4[Codigo Finca],Tabla4[Nombre Finca],"")</f>
        <v>Pedrito</v>
      </c>
      <c r="I555" s="277">
        <f>_xlfn.XLOOKUP(Tabla14[[#This Row],[Codigo Finca]],Tabla4[Codigo Finca],Tabla4[Precio Caja],0)</f>
        <v>2000</v>
      </c>
      <c r="J555" s="277">
        <f>_xlfn.XLOOKUP(Tabla14[[#This Row],[Codigo Finca]],Tabla4[Codigo Finca],Tabla4[Precio Caja Segunda],0)</f>
        <v>0</v>
      </c>
      <c r="K555" s="277">
        <f>_xlfn.XLOOKUP(Tabla14[[#This Row],[Codigo Finca]],Tabla4[Codigo Finca],Tabla4[Precio Rechazo],0)</f>
        <v>575</v>
      </c>
      <c r="L555" s="277">
        <f t="shared" si="555"/>
        <v>1827</v>
      </c>
      <c r="M555" s="278">
        <f t="shared" si="556"/>
        <v>24.039473684210527</v>
      </c>
      <c r="N555" s="283"/>
      <c r="O555" s="279"/>
      <c r="P555" s="280">
        <f t="shared" si="557"/>
        <v>0</v>
      </c>
      <c r="Q555" s="281">
        <f t="shared" si="558"/>
        <v>0</v>
      </c>
      <c r="R555" s="282">
        <f t="shared" si="559"/>
        <v>0</v>
      </c>
      <c r="S555" s="283">
        <v>1827</v>
      </c>
      <c r="T555" s="275">
        <v>13</v>
      </c>
      <c r="U555" s="280">
        <f t="shared" si="560"/>
        <v>76</v>
      </c>
      <c r="V555" s="281">
        <f t="shared" si="561"/>
        <v>5.8461538461538458</v>
      </c>
      <c r="W555" s="282">
        <f t="shared" si="562"/>
        <v>11692.307692307691</v>
      </c>
      <c r="X555" s="283"/>
      <c r="Y555" s="275"/>
      <c r="Z555" s="280">
        <f>Tabla14[[#This Row],[Cajas Segunda]]</f>
        <v>0</v>
      </c>
      <c r="AA555" s="281">
        <f t="shared" si="563"/>
        <v>0</v>
      </c>
      <c r="AB555" s="284">
        <f t="shared" si="564"/>
        <v>0</v>
      </c>
      <c r="AC555" s="285"/>
      <c r="AD555" s="286">
        <v>2710</v>
      </c>
      <c r="AE555" s="286"/>
      <c r="AF555" s="286"/>
      <c r="AG555" s="286">
        <v>13</v>
      </c>
      <c r="AH555" s="280">
        <f t="shared" si="565"/>
        <v>108.4</v>
      </c>
      <c r="AI555" s="281">
        <f t="shared" si="566"/>
        <v>8.338461538461539</v>
      </c>
      <c r="AJ555" s="282">
        <f t="shared" si="567"/>
        <v>4794.6153846153848</v>
      </c>
      <c r="AK555" s="287">
        <f>Tabla14[[#This Row],[Cajas por Personas]]</f>
        <v>0</v>
      </c>
      <c r="AL555" s="288">
        <f>Tabla14[[#This Row],[Valor Precorte Pesona]]</f>
        <v>0</v>
      </c>
      <c r="AM555" s="294">
        <f>Tabla14[[#This Row],[Personas Precorte]]</f>
        <v>0</v>
      </c>
      <c r="AN555" s="308">
        <f>Tabla14[[#This Row],[Valor Precorte Pesona Precorte]]*Tabla14[[#This Row],[Perzonas Precorte]]</f>
        <v>0</v>
      </c>
      <c r="AO555" s="287">
        <f>Tabla14[[#This Row],[Cajas por Personas2]]</f>
        <v>5.8461538461538458</v>
      </c>
      <c r="AP555" s="288">
        <f>Tabla14[[#This Row],[Valor Embarque Pesona]]</f>
        <v>11692.307692307691</v>
      </c>
      <c r="AQ555" s="295">
        <f>Tabla14[[#This Row],[Personas Precorte2]]</f>
        <v>13</v>
      </c>
      <c r="AR555" s="296">
        <f>Tabla14[[#This Row],[Valor Embarque Pesona3]]*Tabla14[[#This Row],[Perzona Primera]]</f>
        <v>152000</v>
      </c>
      <c r="AS555" s="287">
        <f>Tabla14[[#This Row],[Columna2]]</f>
        <v>0</v>
      </c>
      <c r="AT555" s="288">
        <f>Tabla14[[#This Row],[Columna1]]</f>
        <v>0</v>
      </c>
      <c r="AU555" s="302">
        <f>Tabla14[[#This Row],[Personas Intervienen]]</f>
        <v>0</v>
      </c>
      <c r="AV555" s="297">
        <f>Tabla14[[#This Row],[Valor Embarque Pesona5]]*Tabla14[[#This Row],[Presonas Segunda]]</f>
        <v>0</v>
      </c>
      <c r="AW555" s="287">
        <f>Tabla14[[#This Row],[Bolsas Por Personas]]</f>
        <v>8.338461538461539</v>
      </c>
      <c r="AX555" s="288">
        <f>Tabla14[[#This Row],[Valor bolsas Pesona]]</f>
        <v>4794.6153846153848</v>
      </c>
      <c r="AY555" s="309">
        <f>Tabla14[[#This Row],[Personas13]]</f>
        <v>13</v>
      </c>
      <c r="AZ555" s="310">
        <f>Tabla14[[#This Row],[Valor bolsas Pesona2]]*Tabla14[[#This Row],[Personas Rechazo]]</f>
        <v>62330</v>
      </c>
      <c r="BA555" s="311">
        <f>+Tabla14[[#This Row],[Total Valor Segunda]]+Tabla14[[#This Row],[Total Valor Primera]]+Tabla14[[#This Row],[Total Valor Precorte]]</f>
        <v>152000</v>
      </c>
      <c r="BB555" s="292">
        <f>Tabla14[[#This Row],[Valor bolsas Pesona2]]+Tabla14[[#This Row],[Valor Embarque Pesona3]]</f>
        <v>16486.923076923078</v>
      </c>
      <c r="BD555" s="292">
        <f>Tabla14[[#This Row],[VALOR GANADO]]-Tabla14[[#This Row],[REAJUSTADO]]</f>
        <v>16486.923076923078</v>
      </c>
      <c r="BE555" s="250">
        <f>Tabla14[[#This Row],[CUANTO SE REAJUSTA]]*Tabla14[[#This Row],[Personas Rechazo]]</f>
        <v>214330</v>
      </c>
      <c r="BF555" s="250">
        <f>Tabla14[[#This Row],[REAJUSTADO]]/25000</f>
        <v>0</v>
      </c>
      <c r="BG555" s="302">
        <f>Tabla14[[#This Row],[REAJUSTADO]]*Tabla14[[#This Row],[Personas Rechazo]]</f>
        <v>0</v>
      </c>
      <c r="BH555" s="292" t="str">
        <f>Tabla14[[#This Row],[Finca]]</f>
        <v>Pedrito</v>
      </c>
      <c r="BJ555" s="332">
        <f>Tabla14[[#This Row],[Numero de Ocacionales]]*Tabla14[[#This Row],[REAJUSTADO]]</f>
        <v>0</v>
      </c>
      <c r="BK555" s="332"/>
      <c r="BL555" s="332"/>
      <c r="BM555" s="332">
        <f>+Tabla14[[#This Row],[CUANTO SE REAJUSTA]]*3</f>
        <v>49460.769230769234</v>
      </c>
    </row>
    <row r="556" spans="3:65" hidden="1" x14ac:dyDescent="0.25">
      <c r="C556" s="515">
        <v>45334</v>
      </c>
      <c r="D556" s="558">
        <f>YEAR(Tabla14[[#This Row],[Fecha]])</f>
        <v>2024</v>
      </c>
      <c r="E556" s="516">
        <f>IF(Tabla14[[#This Row],[Fecha]]&gt;0,_xlfn.ISOWEEKNUM(Tabla14[[#This Row],[Fecha]]),0)</f>
        <v>7</v>
      </c>
      <c r="F556" s="283"/>
      <c r="G556" s="275"/>
      <c r="H556" s="325">
        <f>_xlfn.XLOOKUP(Tabla14[[#This Row],[Codigo Finca]],Tabla4[Codigo Finca],Tabla4[Nombre Finca],"")</f>
        <v>0</v>
      </c>
      <c r="I556" s="277">
        <f>_xlfn.XLOOKUP(Tabla14[[#This Row],[Codigo Finca]],Tabla4[Codigo Finca],Tabla4[Precio Caja],0)</f>
        <v>0</v>
      </c>
      <c r="J556" s="277">
        <f>_xlfn.XLOOKUP(Tabla14[[#This Row],[Codigo Finca]],Tabla4[Codigo Finca],Tabla4[Precio Caja Segunda],0)</f>
        <v>0</v>
      </c>
      <c r="K556" s="277">
        <f>_xlfn.XLOOKUP(Tabla14[[#This Row],[Codigo Finca]],Tabla4[Codigo Finca],Tabla4[Precio Rechazo],0)</f>
        <v>0</v>
      </c>
      <c r="L556" s="277">
        <f t="shared" si="555"/>
        <v>0</v>
      </c>
      <c r="M556" s="278">
        <f t="shared" si="556"/>
        <v>0</v>
      </c>
      <c r="N556" s="283"/>
      <c r="O556" s="279"/>
      <c r="P556" s="280">
        <f t="shared" si="557"/>
        <v>0</v>
      </c>
      <c r="Q556" s="281">
        <f t="shared" si="558"/>
        <v>0</v>
      </c>
      <c r="R556" s="282">
        <f t="shared" si="559"/>
        <v>0</v>
      </c>
      <c r="S556" s="283"/>
      <c r="T556" s="275"/>
      <c r="U556" s="280">
        <f t="shared" si="560"/>
        <v>0</v>
      </c>
      <c r="V556" s="281">
        <f t="shared" si="561"/>
        <v>0</v>
      </c>
      <c r="W556" s="282">
        <f t="shared" si="562"/>
        <v>0</v>
      </c>
      <c r="X556" s="283"/>
      <c r="Y556" s="275"/>
      <c r="Z556" s="280">
        <f>Tabla14[[#This Row],[Cajas Segunda]]</f>
        <v>0</v>
      </c>
      <c r="AA556" s="281">
        <f t="shared" si="563"/>
        <v>0</v>
      </c>
      <c r="AB556" s="284">
        <f t="shared" si="564"/>
        <v>0</v>
      </c>
      <c r="AC556" s="285"/>
      <c r="AD556" s="286"/>
      <c r="AE556" s="286"/>
      <c r="AF556" s="286"/>
      <c r="AG556" s="286"/>
      <c r="AH556" s="280">
        <f t="shared" si="565"/>
        <v>0</v>
      </c>
      <c r="AI556" s="281">
        <f t="shared" si="566"/>
        <v>0</v>
      </c>
      <c r="AJ556" s="282">
        <f t="shared" si="567"/>
        <v>0</v>
      </c>
      <c r="AK556" s="287">
        <f>Tabla14[[#This Row],[Cajas por Personas]]</f>
        <v>0</v>
      </c>
      <c r="AL556" s="288">
        <f>Tabla14[[#This Row],[Valor Precorte Pesona]]</f>
        <v>0</v>
      </c>
      <c r="AM556" s="294">
        <f>Tabla14[[#This Row],[Personas Precorte]]</f>
        <v>0</v>
      </c>
      <c r="AN556" s="308">
        <f>Tabla14[[#This Row],[Valor Precorte Pesona Precorte]]*Tabla14[[#This Row],[Perzonas Precorte]]</f>
        <v>0</v>
      </c>
      <c r="AO556" s="287">
        <f>Tabla14[[#This Row],[Cajas por Personas2]]</f>
        <v>0</v>
      </c>
      <c r="AP556" s="288">
        <f>Tabla14[[#This Row],[Valor Embarque Pesona]]</f>
        <v>0</v>
      </c>
      <c r="AQ556" s="295">
        <f>Tabla14[[#This Row],[Personas Precorte2]]</f>
        <v>0</v>
      </c>
      <c r="AR556" s="296">
        <f>Tabla14[[#This Row],[Valor Embarque Pesona3]]*Tabla14[[#This Row],[Perzona Primera]]</f>
        <v>0</v>
      </c>
      <c r="AS556" s="287">
        <f>Tabla14[[#This Row],[Columna2]]</f>
        <v>0</v>
      </c>
      <c r="AT556" s="288">
        <f>Tabla14[[#This Row],[Columna1]]</f>
        <v>0</v>
      </c>
      <c r="AU556" s="302">
        <f>Tabla14[[#This Row],[Personas Intervienen]]</f>
        <v>0</v>
      </c>
      <c r="AV556" s="297">
        <f>Tabla14[[#This Row],[Valor Embarque Pesona5]]*Tabla14[[#This Row],[Presonas Segunda]]</f>
        <v>0</v>
      </c>
      <c r="AW556" s="287">
        <f>Tabla14[[#This Row],[Bolsas Por Personas]]</f>
        <v>0</v>
      </c>
      <c r="AX556" s="288">
        <f>Tabla14[[#This Row],[Valor bolsas Pesona]]</f>
        <v>0</v>
      </c>
      <c r="AY556" s="309">
        <f>Tabla14[[#This Row],[Personas13]]</f>
        <v>0</v>
      </c>
      <c r="AZ556" s="310">
        <f>Tabla14[[#This Row],[Valor bolsas Pesona2]]*Tabla14[[#This Row],[Personas Rechazo]]</f>
        <v>0</v>
      </c>
      <c r="BA556" s="311">
        <f>+Tabla14[[#This Row],[Total Valor Segunda]]+Tabla14[[#This Row],[Total Valor Primera]]+Tabla14[[#This Row],[Total Valor Precorte]]</f>
        <v>0</v>
      </c>
      <c r="BB556" s="292">
        <f>Tabla14[[#This Row],[Valor bolsas Pesona2]]+Tabla14[[#This Row],[Valor Embarque Pesona3]]</f>
        <v>0</v>
      </c>
      <c r="BD556" s="292">
        <f>Tabla14[[#This Row],[VALOR GANADO]]-Tabla14[[#This Row],[REAJUSTADO]]</f>
        <v>0</v>
      </c>
      <c r="BE556" s="250">
        <f>Tabla14[[#This Row],[CUANTO SE REAJUSTA]]*Tabla14[[#This Row],[Personas Rechazo]]</f>
        <v>0</v>
      </c>
      <c r="BF556" s="250">
        <f>Tabla14[[#This Row],[REAJUSTADO]]/25000</f>
        <v>0</v>
      </c>
      <c r="BG556" s="302">
        <f>Tabla14[[#This Row],[REAJUSTADO]]*Tabla14[[#This Row],[Personas Rechazo]]</f>
        <v>0</v>
      </c>
      <c r="BH556" s="292">
        <f>Tabla14[[#This Row],[Finca]]</f>
        <v>0</v>
      </c>
      <c r="BJ556" s="332">
        <f>Tabla14[[#This Row],[Numero de Ocacionales]]*Tabla14[[#This Row],[REAJUSTADO]]</f>
        <v>0</v>
      </c>
      <c r="BK556" s="332"/>
      <c r="BL556" s="332"/>
      <c r="BM556" s="332">
        <f>+Tabla14[[#This Row],[CUANTO SE REAJUSTA]]*3</f>
        <v>0</v>
      </c>
    </row>
    <row r="557" spans="3:65" x14ac:dyDescent="0.25">
      <c r="C557" s="515">
        <v>45334</v>
      </c>
      <c r="D557" s="549">
        <f>YEAR(Tabla14[[#This Row],[Fecha]])</f>
        <v>2024</v>
      </c>
      <c r="E557" s="516">
        <f>IF(Tabla14[[#This Row],[Fecha]]&gt;0,_xlfn.ISOWEEKNUM(Tabla14[[#This Row],[Fecha]]),0)</f>
        <v>7</v>
      </c>
      <c r="F557" s="283">
        <f>165+11</f>
        <v>176</v>
      </c>
      <c r="G557" s="275" t="s">
        <v>274</v>
      </c>
      <c r="H557" s="325" t="str">
        <f>_xlfn.XLOOKUP(Tabla14[[#This Row],[Codigo Finca]],Tabla4[Codigo Finca],Tabla4[Nombre Finca],"")</f>
        <v>San Pedro</v>
      </c>
      <c r="I557" s="277">
        <f>_xlfn.XLOOKUP(Tabla14[[#This Row],[Codigo Finca]],Tabla4[Codigo Finca],Tabla4[Precio Caja],0)</f>
        <v>2000</v>
      </c>
      <c r="J557" s="277">
        <f>_xlfn.XLOOKUP(Tabla14[[#This Row],[Codigo Finca]],Tabla4[Codigo Finca],Tabla4[Precio Caja Segunda],0)</f>
        <v>0</v>
      </c>
      <c r="K557" s="277">
        <f>_xlfn.XLOOKUP(Tabla14[[#This Row],[Codigo Finca]],Tabla4[Codigo Finca],Tabla4[Precio Rechazo],0)</f>
        <v>575</v>
      </c>
      <c r="L557" s="277">
        <f t="shared" si="555"/>
        <v>970</v>
      </c>
      <c r="M557" s="278">
        <f t="shared" si="556"/>
        <v>5.5113636363636367</v>
      </c>
      <c r="N557" s="283"/>
      <c r="O557" s="279"/>
      <c r="P557" s="280">
        <f t="shared" si="557"/>
        <v>0</v>
      </c>
      <c r="Q557" s="281">
        <f t="shared" si="558"/>
        <v>0</v>
      </c>
      <c r="R557" s="282">
        <f t="shared" si="559"/>
        <v>0</v>
      </c>
      <c r="S557" s="283">
        <f>38+31+34+41+90+30+30+37+37+27+40+39+33+29+48+27+32+37+38+28+27+44+64+59+30</f>
        <v>970</v>
      </c>
      <c r="T557" s="275">
        <v>20</v>
      </c>
      <c r="U557" s="280">
        <f t="shared" si="560"/>
        <v>176</v>
      </c>
      <c r="V557" s="281">
        <f t="shared" si="561"/>
        <v>8.8000000000000007</v>
      </c>
      <c r="W557" s="282">
        <f t="shared" si="562"/>
        <v>17600</v>
      </c>
      <c r="X557" s="283"/>
      <c r="Y557" s="275"/>
      <c r="Z557" s="280">
        <f>Tabla14[[#This Row],[Cajas Segunda]]</f>
        <v>0</v>
      </c>
      <c r="AA557" s="281">
        <f t="shared" si="563"/>
        <v>0</v>
      </c>
      <c r="AB557" s="284">
        <f t="shared" si="564"/>
        <v>0</v>
      </c>
      <c r="AC557" s="285">
        <v>43</v>
      </c>
      <c r="AD557" s="286"/>
      <c r="AE557" s="286"/>
      <c r="AF557" s="286"/>
      <c r="AG557" s="286">
        <v>20</v>
      </c>
      <c r="AH557" s="280">
        <f t="shared" si="565"/>
        <v>43</v>
      </c>
      <c r="AI557" s="281">
        <f t="shared" si="566"/>
        <v>2.15</v>
      </c>
      <c r="AJ557" s="282">
        <f t="shared" si="567"/>
        <v>1236.25</v>
      </c>
      <c r="AK557" s="287">
        <f>Tabla14[[#This Row],[Cajas por Personas]]</f>
        <v>0</v>
      </c>
      <c r="AL557" s="288">
        <f>Tabla14[[#This Row],[Valor Precorte Pesona]]</f>
        <v>0</v>
      </c>
      <c r="AM557" s="294">
        <f>Tabla14[[#This Row],[Personas Precorte]]</f>
        <v>0</v>
      </c>
      <c r="AN557" s="308">
        <f>Tabla14[[#This Row],[Valor Precorte Pesona Precorte]]*Tabla14[[#This Row],[Perzonas Precorte]]</f>
        <v>0</v>
      </c>
      <c r="AO557" s="287">
        <f>Tabla14[[#This Row],[Cajas por Personas2]]</f>
        <v>8.8000000000000007</v>
      </c>
      <c r="AP557" s="288">
        <f>Tabla14[[#This Row],[Valor Embarque Pesona]]</f>
        <v>17600</v>
      </c>
      <c r="AQ557" s="295">
        <f>Tabla14[[#This Row],[Personas Precorte2]]</f>
        <v>20</v>
      </c>
      <c r="AR557" s="296">
        <f>Tabla14[[#This Row],[Valor Embarque Pesona3]]*Tabla14[[#This Row],[Perzona Primera]]</f>
        <v>352000</v>
      </c>
      <c r="AS557" s="287">
        <f>Tabla14[[#This Row],[Columna2]]</f>
        <v>0</v>
      </c>
      <c r="AT557" s="288">
        <f>Tabla14[[#This Row],[Columna1]]</f>
        <v>0</v>
      </c>
      <c r="AU557" s="302">
        <f>Tabla14[[#This Row],[Personas Intervienen]]</f>
        <v>0</v>
      </c>
      <c r="AV557" s="297">
        <f>Tabla14[[#This Row],[Valor Embarque Pesona5]]*Tabla14[[#This Row],[Presonas Segunda]]</f>
        <v>0</v>
      </c>
      <c r="AW557" s="287">
        <f>Tabla14[[#This Row],[Bolsas Por Personas]]</f>
        <v>2.15</v>
      </c>
      <c r="AX557" s="288">
        <f>Tabla14[[#This Row],[Valor bolsas Pesona]]</f>
        <v>1236.25</v>
      </c>
      <c r="AY557" s="309">
        <f>Tabla14[[#This Row],[Personas13]]</f>
        <v>20</v>
      </c>
      <c r="AZ557" s="310">
        <f>Tabla14[[#This Row],[Valor bolsas Pesona2]]*Tabla14[[#This Row],[Personas Rechazo]]</f>
        <v>24725</v>
      </c>
      <c r="BA557" s="311">
        <f>+Tabla14[[#This Row],[Total Valor Segunda]]+Tabla14[[#This Row],[Total Valor Primera]]+Tabla14[[#This Row],[Total Valor Precorte]]</f>
        <v>352000</v>
      </c>
      <c r="BB557" s="292">
        <f>Tabla14[[#This Row],[Valor bolsas Pesona2]]+Tabla14[[#This Row],[Valor Embarque Pesona3]]</f>
        <v>18836.25</v>
      </c>
      <c r="BC557" s="332">
        <v>40000</v>
      </c>
      <c r="BD557" s="292">
        <f>Tabla14[[#This Row],[VALOR GANADO]]-Tabla14[[#This Row],[REAJUSTADO]]</f>
        <v>-21163.75</v>
      </c>
      <c r="BE557" s="250">
        <f>Tabla14[[#This Row],[CUANTO SE REAJUSTA]]*Tabla14[[#This Row],[Personas Rechazo]]</f>
        <v>-423275</v>
      </c>
      <c r="BF557" s="250">
        <f>Tabla14[[#This Row],[REAJUSTADO]]/25000</f>
        <v>1.6</v>
      </c>
      <c r="BG557" s="302">
        <f>Tabla14[[#This Row],[REAJUSTADO]]*Tabla14[[#This Row],[Personas Rechazo]]</f>
        <v>800000</v>
      </c>
      <c r="BH557" s="292" t="str">
        <f>Tabla14[[#This Row],[Finca]]</f>
        <v>San Pedro</v>
      </c>
      <c r="BJ557" s="332">
        <f>Tabla14[[#This Row],[Numero de Ocacionales]]*Tabla14[[#This Row],[REAJUSTADO]]</f>
        <v>0</v>
      </c>
      <c r="BK557" s="332"/>
      <c r="BL557" s="332"/>
      <c r="BM557" s="332">
        <f>+Tabla14[[#This Row],[CUANTO SE REAJUSTA]]*3</f>
        <v>-63491.25</v>
      </c>
    </row>
    <row r="558" spans="3:65" x14ac:dyDescent="0.25">
      <c r="C558" s="515">
        <v>45334</v>
      </c>
      <c r="D558" s="549">
        <f>YEAR(Tabla14[[#This Row],[Fecha]])</f>
        <v>2024</v>
      </c>
      <c r="E558" s="516">
        <f>IF(Tabla14[[#This Row],[Fecha]]&gt;0,_xlfn.ISOWEEKNUM(Tabla14[[#This Row],[Fecha]]),0)</f>
        <v>7</v>
      </c>
      <c r="F558" s="283">
        <v>6</v>
      </c>
      <c r="G558" s="275" t="s">
        <v>273</v>
      </c>
      <c r="H558" s="325" t="str">
        <f>_xlfn.XLOOKUP(Tabla14[[#This Row],[Codigo Finca]],Tabla4[Codigo Finca],Tabla4[Nombre Finca],"")</f>
        <v>San Pedro</v>
      </c>
      <c r="I558" s="277">
        <f>_xlfn.XLOOKUP(Tabla14[[#This Row],[Codigo Finca]],Tabla4[Codigo Finca],Tabla4[Precio Caja],0)</f>
        <v>2200</v>
      </c>
      <c r="J558" s="277">
        <f>_xlfn.XLOOKUP(Tabla14[[#This Row],[Codigo Finca]],Tabla4[Codigo Finca],Tabla4[Precio Caja Segunda],0)</f>
        <v>0</v>
      </c>
      <c r="K558" s="277">
        <f>_xlfn.XLOOKUP(Tabla14[[#This Row],[Codigo Finca]],Tabla4[Codigo Finca],Tabla4[Precio Rechazo],0)</f>
        <v>675</v>
      </c>
      <c r="L558" s="277">
        <f t="shared" si="555"/>
        <v>46</v>
      </c>
      <c r="M558" s="278">
        <f t="shared" si="556"/>
        <v>7.666666666666667</v>
      </c>
      <c r="N558" s="283"/>
      <c r="O558" s="279"/>
      <c r="P558" s="280">
        <f t="shared" si="557"/>
        <v>0</v>
      </c>
      <c r="Q558" s="281">
        <f t="shared" si="558"/>
        <v>0</v>
      </c>
      <c r="R558" s="282">
        <f t="shared" si="559"/>
        <v>0</v>
      </c>
      <c r="S558" s="283">
        <v>46</v>
      </c>
      <c r="T558" s="275">
        <v>20</v>
      </c>
      <c r="U558" s="280">
        <f t="shared" si="560"/>
        <v>6</v>
      </c>
      <c r="V558" s="281">
        <f t="shared" si="561"/>
        <v>0.3</v>
      </c>
      <c r="W558" s="282">
        <f t="shared" si="562"/>
        <v>660</v>
      </c>
      <c r="X558" s="283"/>
      <c r="Y558" s="275"/>
      <c r="Z558" s="280">
        <f>Tabla14[[#This Row],[Cajas Segunda]]</f>
        <v>0</v>
      </c>
      <c r="AA558" s="281">
        <f t="shared" si="563"/>
        <v>0</v>
      </c>
      <c r="AB558" s="284">
        <f t="shared" si="564"/>
        <v>0</v>
      </c>
      <c r="AC558" s="285"/>
      <c r="AD558" s="286"/>
      <c r="AE558" s="286"/>
      <c r="AF558" s="286"/>
      <c r="AG558" s="286"/>
      <c r="AH558" s="280">
        <f t="shared" si="565"/>
        <v>0</v>
      </c>
      <c r="AI558" s="281">
        <f t="shared" si="566"/>
        <v>0</v>
      </c>
      <c r="AJ558" s="282">
        <f t="shared" si="567"/>
        <v>0</v>
      </c>
      <c r="AK558" s="287">
        <f>Tabla14[[#This Row],[Cajas por Personas]]</f>
        <v>0</v>
      </c>
      <c r="AL558" s="288">
        <f>Tabla14[[#This Row],[Valor Precorte Pesona]]</f>
        <v>0</v>
      </c>
      <c r="AM558" s="294">
        <f>Tabla14[[#This Row],[Personas Precorte]]</f>
        <v>0</v>
      </c>
      <c r="AN558" s="308">
        <f>Tabla14[[#This Row],[Valor Precorte Pesona Precorte]]*Tabla14[[#This Row],[Perzonas Precorte]]</f>
        <v>0</v>
      </c>
      <c r="AO558" s="287">
        <f>Tabla14[[#This Row],[Cajas por Personas2]]</f>
        <v>0.3</v>
      </c>
      <c r="AP558" s="288">
        <f>Tabla14[[#This Row],[Valor Embarque Pesona]]</f>
        <v>660</v>
      </c>
      <c r="AQ558" s="295">
        <f>Tabla14[[#This Row],[Personas Precorte2]]</f>
        <v>20</v>
      </c>
      <c r="AR558" s="296">
        <f>Tabla14[[#This Row],[Valor Embarque Pesona3]]*Tabla14[[#This Row],[Perzona Primera]]</f>
        <v>13200</v>
      </c>
      <c r="AS558" s="287">
        <f>Tabla14[[#This Row],[Columna2]]</f>
        <v>0</v>
      </c>
      <c r="AT558" s="288">
        <f>Tabla14[[#This Row],[Columna1]]</f>
        <v>0</v>
      </c>
      <c r="AU558" s="302">
        <f>Tabla14[[#This Row],[Personas Intervienen]]</f>
        <v>0</v>
      </c>
      <c r="AV558" s="297">
        <f>Tabla14[[#This Row],[Valor Embarque Pesona5]]*Tabla14[[#This Row],[Presonas Segunda]]</f>
        <v>0</v>
      </c>
      <c r="AW558" s="287">
        <f>Tabla14[[#This Row],[Bolsas Por Personas]]</f>
        <v>0</v>
      </c>
      <c r="AX558" s="288">
        <f>Tabla14[[#This Row],[Valor bolsas Pesona]]</f>
        <v>0</v>
      </c>
      <c r="AY558" s="309">
        <f>Tabla14[[#This Row],[Personas13]]</f>
        <v>0</v>
      </c>
      <c r="AZ558" s="310">
        <f>Tabla14[[#This Row],[Valor bolsas Pesona2]]*Tabla14[[#This Row],[Personas Rechazo]]</f>
        <v>0</v>
      </c>
      <c r="BA558" s="311">
        <f>+Tabla14[[#This Row],[Total Valor Segunda]]+Tabla14[[#This Row],[Total Valor Primera]]+Tabla14[[#This Row],[Total Valor Precorte]]</f>
        <v>13200</v>
      </c>
      <c r="BB558" s="292">
        <f>Tabla14[[#This Row],[Valor bolsas Pesona2]]+Tabla14[[#This Row],[Valor Embarque Pesona3]]</f>
        <v>660</v>
      </c>
      <c r="BD558" s="292">
        <f>Tabla14[[#This Row],[VALOR GANADO]]-Tabla14[[#This Row],[REAJUSTADO]]</f>
        <v>660</v>
      </c>
      <c r="BE558" s="250">
        <f>Tabla14[[#This Row],[CUANTO SE REAJUSTA]]*Tabla14[[#This Row],[Personas Rechazo]]</f>
        <v>0</v>
      </c>
      <c r="BF558" s="250">
        <f>Tabla14[[#This Row],[REAJUSTADO]]/25000</f>
        <v>0</v>
      </c>
      <c r="BG558" s="302">
        <f>Tabla14[[#This Row],[REAJUSTADO]]*Tabla14[[#This Row],[Personas Rechazo]]</f>
        <v>0</v>
      </c>
      <c r="BH558" s="292" t="str">
        <f>Tabla14[[#This Row],[Finca]]</f>
        <v>San Pedro</v>
      </c>
      <c r="BJ558" s="332">
        <f>Tabla14[[#This Row],[Numero de Ocacionales]]*Tabla14[[#This Row],[REAJUSTADO]]</f>
        <v>0</v>
      </c>
      <c r="BK558" s="332"/>
      <c r="BL558" s="332"/>
      <c r="BM558" s="332">
        <f>+Tabla14[[#This Row],[CUANTO SE REAJUSTA]]*3</f>
        <v>1980</v>
      </c>
    </row>
    <row r="559" spans="3:65" x14ac:dyDescent="0.25">
      <c r="C559" s="515">
        <v>45335</v>
      </c>
      <c r="D559" s="549">
        <f>YEAR(Tabla14[[#This Row],[Fecha]])</f>
        <v>2024</v>
      </c>
      <c r="E559" s="516">
        <f>IF(Tabla14[[#This Row],[Fecha]]&gt;0,_xlfn.ISOWEEKNUM(Tabla14[[#This Row],[Fecha]]),0)</f>
        <v>7</v>
      </c>
      <c r="F559" s="283">
        <v>44</v>
      </c>
      <c r="G559" s="275" t="s">
        <v>280</v>
      </c>
      <c r="H559" s="325" t="str">
        <f>_xlfn.XLOOKUP(Tabla14[[#This Row],[Codigo Finca]],Tabla4[Codigo Finca],Tabla4[Nombre Finca],"")</f>
        <v>Pedrito</v>
      </c>
      <c r="I559" s="277">
        <f>_xlfn.XLOOKUP(Tabla14[[#This Row],[Codigo Finca]],Tabla4[Codigo Finca],Tabla4[Precio Caja],0)</f>
        <v>2000</v>
      </c>
      <c r="J559" s="277">
        <f>_xlfn.XLOOKUP(Tabla14[[#This Row],[Codigo Finca]],Tabla4[Codigo Finca],Tabla4[Precio Caja Segunda],0)</f>
        <v>0</v>
      </c>
      <c r="K559" s="277">
        <f>_xlfn.XLOOKUP(Tabla14[[#This Row],[Codigo Finca]],Tabla4[Codigo Finca],Tabla4[Precio Rechazo],0)</f>
        <v>575</v>
      </c>
      <c r="L559" s="277">
        <f t="shared" si="555"/>
        <v>1173</v>
      </c>
      <c r="M559" s="278">
        <f t="shared" si="556"/>
        <v>26.65909090909091</v>
      </c>
      <c r="N559" s="283"/>
      <c r="O559" s="279"/>
      <c r="P559" s="280">
        <f t="shared" si="557"/>
        <v>0</v>
      </c>
      <c r="Q559" s="281">
        <f t="shared" si="558"/>
        <v>0</v>
      </c>
      <c r="R559" s="282">
        <f t="shared" si="559"/>
        <v>0</v>
      </c>
      <c r="S559" s="283">
        <v>1173</v>
      </c>
      <c r="T559" s="275">
        <v>12</v>
      </c>
      <c r="U559" s="280">
        <f t="shared" si="560"/>
        <v>44</v>
      </c>
      <c r="V559" s="281">
        <f t="shared" si="561"/>
        <v>3.6666666666666665</v>
      </c>
      <c r="W559" s="282">
        <f t="shared" si="562"/>
        <v>7333.333333333333</v>
      </c>
      <c r="X559" s="283"/>
      <c r="Y559" s="275"/>
      <c r="Z559" s="280">
        <f>Tabla14[[#This Row],[Cajas Segunda]]</f>
        <v>0</v>
      </c>
      <c r="AA559" s="281">
        <f t="shared" si="563"/>
        <v>0</v>
      </c>
      <c r="AB559" s="284">
        <f t="shared" si="564"/>
        <v>0</v>
      </c>
      <c r="AC559" s="285"/>
      <c r="AD559" s="286"/>
      <c r="AE559" s="286"/>
      <c r="AF559" s="286"/>
      <c r="AG559" s="286"/>
      <c r="AH559" s="280">
        <f t="shared" si="565"/>
        <v>0</v>
      </c>
      <c r="AI559" s="281">
        <f t="shared" si="566"/>
        <v>0</v>
      </c>
      <c r="AJ559" s="282">
        <f t="shared" si="567"/>
        <v>0</v>
      </c>
      <c r="AK559" s="287">
        <f>Tabla14[[#This Row],[Cajas por Personas]]</f>
        <v>0</v>
      </c>
      <c r="AL559" s="288">
        <f>Tabla14[[#This Row],[Valor Precorte Pesona]]</f>
        <v>0</v>
      </c>
      <c r="AM559" s="294">
        <f>Tabla14[[#This Row],[Personas Precorte]]</f>
        <v>0</v>
      </c>
      <c r="AN559" s="308">
        <f>Tabla14[[#This Row],[Valor Precorte Pesona Precorte]]*Tabla14[[#This Row],[Perzonas Precorte]]</f>
        <v>0</v>
      </c>
      <c r="AO559" s="287">
        <f>Tabla14[[#This Row],[Cajas por Personas2]]</f>
        <v>3.6666666666666665</v>
      </c>
      <c r="AP559" s="288">
        <f>Tabla14[[#This Row],[Valor Embarque Pesona]]</f>
        <v>7333.333333333333</v>
      </c>
      <c r="AQ559" s="295">
        <f>Tabla14[[#This Row],[Personas Precorte2]]</f>
        <v>12</v>
      </c>
      <c r="AR559" s="296">
        <f>Tabla14[[#This Row],[Valor Embarque Pesona3]]*Tabla14[[#This Row],[Perzona Primera]]</f>
        <v>88000</v>
      </c>
      <c r="AS559" s="287">
        <f>Tabla14[[#This Row],[Columna2]]</f>
        <v>0</v>
      </c>
      <c r="AT559" s="288">
        <f>Tabla14[[#This Row],[Columna1]]</f>
        <v>0</v>
      </c>
      <c r="AU559" s="302">
        <f>Tabla14[[#This Row],[Personas Intervienen]]</f>
        <v>0</v>
      </c>
      <c r="AV559" s="297">
        <f>Tabla14[[#This Row],[Valor Embarque Pesona5]]*Tabla14[[#This Row],[Presonas Segunda]]</f>
        <v>0</v>
      </c>
      <c r="AW559" s="287">
        <f>Tabla14[[#This Row],[Bolsas Por Personas]]</f>
        <v>0</v>
      </c>
      <c r="AX559" s="288">
        <f>Tabla14[[#This Row],[Valor bolsas Pesona]]</f>
        <v>0</v>
      </c>
      <c r="AY559" s="309">
        <f>Tabla14[[#This Row],[Personas13]]</f>
        <v>0</v>
      </c>
      <c r="AZ559" s="310">
        <f>Tabla14[[#This Row],[Valor bolsas Pesona2]]*Tabla14[[#This Row],[Personas Rechazo]]</f>
        <v>0</v>
      </c>
      <c r="BA559" s="311">
        <f>+Tabla14[[#This Row],[Total Valor Segunda]]+Tabla14[[#This Row],[Total Valor Primera]]+Tabla14[[#This Row],[Total Valor Precorte]]</f>
        <v>88000</v>
      </c>
      <c r="BB559" s="292">
        <f>Tabla14[[#This Row],[Valor bolsas Pesona2]]+Tabla14[[#This Row],[Valor Embarque Pesona3]]</f>
        <v>7333.333333333333</v>
      </c>
      <c r="BC559" s="332">
        <v>40000</v>
      </c>
      <c r="BD559" s="292">
        <f>Tabla14[[#This Row],[VALOR GANADO]]-Tabla14[[#This Row],[REAJUSTADO]]</f>
        <v>-32666.666666666668</v>
      </c>
      <c r="BE559" s="250">
        <f>Tabla14[[#This Row],[CUANTO SE REAJUSTA]]*Tabla14[[#This Row],[Personas Rechazo]]</f>
        <v>0</v>
      </c>
      <c r="BF559" s="250">
        <f>Tabla14[[#This Row],[REAJUSTADO]]/25000</f>
        <v>1.6</v>
      </c>
      <c r="BG559" s="302">
        <f>Tabla14[[#This Row],[REAJUSTADO]]*Tabla14[[#This Row],[Personas Rechazo]]</f>
        <v>0</v>
      </c>
      <c r="BH559" s="292" t="str">
        <f>Tabla14[[#This Row],[Finca]]</f>
        <v>Pedrito</v>
      </c>
      <c r="BJ559" s="332">
        <f>Tabla14[[#This Row],[Numero de Ocacionales]]*Tabla14[[#This Row],[REAJUSTADO]]</f>
        <v>0</v>
      </c>
      <c r="BK559" s="332"/>
      <c r="BL559" s="332"/>
      <c r="BM559" s="332">
        <f>+Tabla14[[#This Row],[CUANTO SE REAJUSTA]]*3</f>
        <v>-98000</v>
      </c>
    </row>
    <row r="560" spans="3:65" x14ac:dyDescent="0.25">
      <c r="C560" s="515">
        <v>45335</v>
      </c>
      <c r="D560" s="549">
        <f>YEAR(Tabla14[[#This Row],[Fecha]])</f>
        <v>2024</v>
      </c>
      <c r="E560" s="516">
        <f>IF(Tabla14[[#This Row],[Fecha]]&gt;0,_xlfn.ISOWEEKNUM(Tabla14[[#This Row],[Fecha]]),0)</f>
        <v>7</v>
      </c>
      <c r="F560" s="283">
        <v>11</v>
      </c>
      <c r="G560" s="275" t="s">
        <v>275</v>
      </c>
      <c r="H560" s="325" t="str">
        <f>_xlfn.XLOOKUP(Tabla14[[#This Row],[Codigo Finca]],Tabla4[Codigo Finca],Tabla4[Nombre Finca],"")</f>
        <v>Uveros</v>
      </c>
      <c r="I560" s="277">
        <f>_xlfn.XLOOKUP(Tabla14[[#This Row],[Codigo Finca]],Tabla4[Codigo Finca],Tabla4[Precio Caja],0)</f>
        <v>2000</v>
      </c>
      <c r="J560" s="277">
        <f>_xlfn.XLOOKUP(Tabla14[[#This Row],[Codigo Finca]],Tabla4[Codigo Finca],Tabla4[Precio Caja Segunda],0)</f>
        <v>0</v>
      </c>
      <c r="K560" s="277">
        <f>_xlfn.XLOOKUP(Tabla14[[#This Row],[Codigo Finca]],Tabla4[Codigo Finca],Tabla4[Precio Rechazo],0)</f>
        <v>575</v>
      </c>
      <c r="L560" s="277">
        <f t="shared" si="555"/>
        <v>0</v>
      </c>
      <c r="M560" s="278">
        <f t="shared" si="556"/>
        <v>0</v>
      </c>
      <c r="N560" s="283"/>
      <c r="O560" s="279"/>
      <c r="P560" s="280">
        <f t="shared" si="557"/>
        <v>0</v>
      </c>
      <c r="Q560" s="281">
        <f t="shared" si="558"/>
        <v>0</v>
      </c>
      <c r="R560" s="282">
        <f t="shared" si="559"/>
        <v>0</v>
      </c>
      <c r="S560" s="283"/>
      <c r="T560" s="275">
        <v>3</v>
      </c>
      <c r="U560" s="280">
        <f t="shared" si="560"/>
        <v>11</v>
      </c>
      <c r="V560" s="281">
        <f t="shared" si="561"/>
        <v>3.6666666666666665</v>
      </c>
      <c r="W560" s="282">
        <f t="shared" si="562"/>
        <v>7333.333333333333</v>
      </c>
      <c r="X560" s="283"/>
      <c r="Y560" s="275"/>
      <c r="Z560" s="280">
        <f>Tabla14[[#This Row],[Cajas Segunda]]</f>
        <v>0</v>
      </c>
      <c r="AA560" s="281">
        <f t="shared" si="563"/>
        <v>0</v>
      </c>
      <c r="AB560" s="284">
        <f t="shared" si="564"/>
        <v>0</v>
      </c>
      <c r="AC560" s="285"/>
      <c r="AD560" s="286"/>
      <c r="AE560" s="286"/>
      <c r="AF560" s="286"/>
      <c r="AG560" s="286"/>
      <c r="AH560" s="280">
        <f t="shared" si="565"/>
        <v>0</v>
      </c>
      <c r="AI560" s="281">
        <f t="shared" si="566"/>
        <v>0</v>
      </c>
      <c r="AJ560" s="282">
        <f t="shared" si="567"/>
        <v>0</v>
      </c>
      <c r="AK560" s="287">
        <f>Tabla14[[#This Row],[Cajas por Personas]]</f>
        <v>0</v>
      </c>
      <c r="AL560" s="288">
        <f>Tabla14[[#This Row],[Valor Precorte Pesona]]</f>
        <v>0</v>
      </c>
      <c r="AM560" s="294">
        <f>Tabla14[[#This Row],[Personas Precorte]]</f>
        <v>0</v>
      </c>
      <c r="AN560" s="308">
        <f>Tabla14[[#This Row],[Valor Precorte Pesona Precorte]]*Tabla14[[#This Row],[Perzonas Precorte]]</f>
        <v>0</v>
      </c>
      <c r="AO560" s="287">
        <f>Tabla14[[#This Row],[Cajas por Personas2]]</f>
        <v>3.6666666666666665</v>
      </c>
      <c r="AP560" s="288">
        <f>Tabla14[[#This Row],[Valor Embarque Pesona]]</f>
        <v>7333.333333333333</v>
      </c>
      <c r="AQ560" s="295">
        <f>Tabla14[[#This Row],[Personas Precorte2]]</f>
        <v>3</v>
      </c>
      <c r="AR560" s="296">
        <f>Tabla14[[#This Row],[Valor Embarque Pesona3]]*Tabla14[[#This Row],[Perzona Primera]]</f>
        <v>22000</v>
      </c>
      <c r="AS560" s="287">
        <f>Tabla14[[#This Row],[Columna2]]</f>
        <v>0</v>
      </c>
      <c r="AT560" s="288">
        <f>Tabla14[[#This Row],[Columna1]]</f>
        <v>0</v>
      </c>
      <c r="AU560" s="302">
        <f>Tabla14[[#This Row],[Personas Intervienen]]</f>
        <v>0</v>
      </c>
      <c r="AV560" s="297">
        <f>Tabla14[[#This Row],[Valor Embarque Pesona5]]*Tabla14[[#This Row],[Presonas Segunda]]</f>
        <v>0</v>
      </c>
      <c r="AW560" s="287">
        <f>Tabla14[[#This Row],[Bolsas Por Personas]]</f>
        <v>0</v>
      </c>
      <c r="AX560" s="288">
        <f>Tabla14[[#This Row],[Valor bolsas Pesona]]</f>
        <v>0</v>
      </c>
      <c r="AY560" s="309">
        <f>Tabla14[[#This Row],[Personas13]]</f>
        <v>0</v>
      </c>
      <c r="AZ560" s="310">
        <f>Tabla14[[#This Row],[Valor bolsas Pesona2]]*Tabla14[[#This Row],[Personas Rechazo]]</f>
        <v>0</v>
      </c>
      <c r="BA560" s="311">
        <f>+Tabla14[[#This Row],[Total Valor Segunda]]+Tabla14[[#This Row],[Total Valor Primera]]+Tabla14[[#This Row],[Total Valor Precorte]]</f>
        <v>22000</v>
      </c>
      <c r="BB560" s="292">
        <f>Tabla14[[#This Row],[Valor bolsas Pesona2]]+Tabla14[[#This Row],[Valor Embarque Pesona3]]</f>
        <v>7333.333333333333</v>
      </c>
      <c r="BC560" s="332">
        <v>40000</v>
      </c>
      <c r="BD560" s="292">
        <f>Tabla14[[#This Row],[VALOR GANADO]]-Tabla14[[#This Row],[REAJUSTADO]]</f>
        <v>-32666.666666666668</v>
      </c>
      <c r="BE560" s="250">
        <f>Tabla14[[#This Row],[CUANTO SE REAJUSTA]]*Tabla14[[#This Row],[Personas Rechazo]]</f>
        <v>0</v>
      </c>
      <c r="BF560" s="250">
        <f>Tabla14[[#This Row],[REAJUSTADO]]/25000</f>
        <v>1.6</v>
      </c>
      <c r="BG560" s="302">
        <f>Tabla14[[#This Row],[REAJUSTADO]]*Tabla14[[#This Row],[Personas Rechazo]]</f>
        <v>0</v>
      </c>
      <c r="BH560" s="292" t="str">
        <f>Tabla14[[#This Row],[Finca]]</f>
        <v>Uveros</v>
      </c>
      <c r="BJ560" s="332">
        <f>Tabla14[[#This Row],[Numero de Ocacionales]]*Tabla14[[#This Row],[REAJUSTADO]]</f>
        <v>0</v>
      </c>
      <c r="BK560" s="332"/>
      <c r="BL560" s="332"/>
      <c r="BM560" s="332">
        <f>+Tabla14[[#This Row],[CUANTO SE REAJUSTA]]*3</f>
        <v>-98000</v>
      </c>
    </row>
    <row r="561" spans="3:65" hidden="1" x14ac:dyDescent="0.25">
      <c r="C561" s="515">
        <v>45335</v>
      </c>
      <c r="D561" s="558">
        <f>YEAR(Tabla14[[#This Row],[Fecha]])</f>
        <v>2024</v>
      </c>
      <c r="E561" s="516">
        <f>IF(Tabla14[[#This Row],[Fecha]]&gt;0,_xlfn.ISOWEEKNUM(Tabla14[[#This Row],[Fecha]]),0)</f>
        <v>7</v>
      </c>
      <c r="F561" s="283"/>
      <c r="G561" s="275"/>
      <c r="H561" s="325">
        <f>_xlfn.XLOOKUP(Tabla14[[#This Row],[Codigo Finca]],Tabla4[Codigo Finca],Tabla4[Nombre Finca],"")</f>
        <v>0</v>
      </c>
      <c r="I561" s="277">
        <f>_xlfn.XLOOKUP(Tabla14[[#This Row],[Codigo Finca]],Tabla4[Codigo Finca],Tabla4[Precio Caja],0)</f>
        <v>0</v>
      </c>
      <c r="J561" s="277">
        <f>_xlfn.XLOOKUP(Tabla14[[#This Row],[Codigo Finca]],Tabla4[Codigo Finca],Tabla4[Precio Caja Segunda],0)</f>
        <v>0</v>
      </c>
      <c r="K561" s="277">
        <f>_xlfn.XLOOKUP(Tabla14[[#This Row],[Codigo Finca]],Tabla4[Codigo Finca],Tabla4[Precio Rechazo],0)</f>
        <v>0</v>
      </c>
      <c r="L561" s="277">
        <f t="shared" si="555"/>
        <v>0</v>
      </c>
      <c r="M561" s="278">
        <f t="shared" si="556"/>
        <v>0</v>
      </c>
      <c r="N561" s="283"/>
      <c r="O561" s="279"/>
      <c r="P561" s="280">
        <f t="shared" si="557"/>
        <v>0</v>
      </c>
      <c r="Q561" s="281">
        <f t="shared" si="558"/>
        <v>0</v>
      </c>
      <c r="R561" s="282">
        <f t="shared" si="559"/>
        <v>0</v>
      </c>
      <c r="S561" s="283"/>
      <c r="T561" s="275"/>
      <c r="U561" s="280">
        <f t="shared" si="560"/>
        <v>0</v>
      </c>
      <c r="V561" s="281">
        <f t="shared" si="561"/>
        <v>0</v>
      </c>
      <c r="W561" s="282">
        <f t="shared" si="562"/>
        <v>0</v>
      </c>
      <c r="X561" s="283"/>
      <c r="Y561" s="275"/>
      <c r="Z561" s="280">
        <f>Tabla14[[#This Row],[Cajas Segunda]]</f>
        <v>0</v>
      </c>
      <c r="AA561" s="281">
        <f t="shared" si="563"/>
        <v>0</v>
      </c>
      <c r="AB561" s="284">
        <f t="shared" si="564"/>
        <v>0</v>
      </c>
      <c r="AC561" s="285"/>
      <c r="AD561" s="286"/>
      <c r="AE561" s="286"/>
      <c r="AF561" s="286"/>
      <c r="AG561" s="286"/>
      <c r="AH561" s="280">
        <f t="shared" si="565"/>
        <v>0</v>
      </c>
      <c r="AI561" s="281">
        <f t="shared" si="566"/>
        <v>0</v>
      </c>
      <c r="AJ561" s="282">
        <f t="shared" si="567"/>
        <v>0</v>
      </c>
      <c r="AK561" s="287">
        <f>Tabla14[[#This Row],[Cajas por Personas]]</f>
        <v>0</v>
      </c>
      <c r="AL561" s="288">
        <f>Tabla14[[#This Row],[Valor Precorte Pesona]]</f>
        <v>0</v>
      </c>
      <c r="AM561" s="294">
        <f>Tabla14[[#This Row],[Personas Precorte]]</f>
        <v>0</v>
      </c>
      <c r="AN561" s="308">
        <f>Tabla14[[#This Row],[Valor Precorte Pesona Precorte]]*Tabla14[[#This Row],[Perzonas Precorte]]</f>
        <v>0</v>
      </c>
      <c r="AO561" s="287">
        <f>Tabla14[[#This Row],[Cajas por Personas2]]</f>
        <v>0</v>
      </c>
      <c r="AP561" s="288">
        <f>Tabla14[[#This Row],[Valor Embarque Pesona]]</f>
        <v>0</v>
      </c>
      <c r="AQ561" s="295">
        <f>Tabla14[[#This Row],[Personas Precorte2]]</f>
        <v>0</v>
      </c>
      <c r="AR561" s="296">
        <f>Tabla14[[#This Row],[Valor Embarque Pesona3]]*Tabla14[[#This Row],[Perzona Primera]]</f>
        <v>0</v>
      </c>
      <c r="AS561" s="287">
        <f>Tabla14[[#This Row],[Columna2]]</f>
        <v>0</v>
      </c>
      <c r="AT561" s="288">
        <f>Tabla14[[#This Row],[Columna1]]</f>
        <v>0</v>
      </c>
      <c r="AU561" s="302">
        <f>Tabla14[[#This Row],[Personas Intervienen]]</f>
        <v>0</v>
      </c>
      <c r="AV561" s="297">
        <f>Tabla14[[#This Row],[Valor Embarque Pesona5]]*Tabla14[[#This Row],[Presonas Segunda]]</f>
        <v>0</v>
      </c>
      <c r="AW561" s="287">
        <f>Tabla14[[#This Row],[Bolsas Por Personas]]</f>
        <v>0</v>
      </c>
      <c r="AX561" s="288">
        <f>Tabla14[[#This Row],[Valor bolsas Pesona]]</f>
        <v>0</v>
      </c>
      <c r="AY561" s="309">
        <f>Tabla14[[#This Row],[Personas13]]</f>
        <v>0</v>
      </c>
      <c r="AZ561" s="310">
        <f>Tabla14[[#This Row],[Valor bolsas Pesona2]]*Tabla14[[#This Row],[Personas Rechazo]]</f>
        <v>0</v>
      </c>
      <c r="BA561" s="311">
        <f>+Tabla14[[#This Row],[Total Valor Segunda]]+Tabla14[[#This Row],[Total Valor Primera]]+Tabla14[[#This Row],[Total Valor Precorte]]</f>
        <v>0</v>
      </c>
      <c r="BB561" s="292">
        <f>Tabla14[[#This Row],[Valor bolsas Pesona2]]+Tabla14[[#This Row],[Valor Embarque Pesona3]]</f>
        <v>0</v>
      </c>
      <c r="BD561" s="292">
        <f>Tabla14[[#This Row],[VALOR GANADO]]-Tabla14[[#This Row],[REAJUSTADO]]</f>
        <v>0</v>
      </c>
      <c r="BE561" s="250">
        <f>Tabla14[[#This Row],[CUANTO SE REAJUSTA]]*Tabla14[[#This Row],[Personas Rechazo]]</f>
        <v>0</v>
      </c>
      <c r="BF561" s="250">
        <f>Tabla14[[#This Row],[REAJUSTADO]]/25000</f>
        <v>0</v>
      </c>
      <c r="BG561" s="302">
        <f>Tabla14[[#This Row],[REAJUSTADO]]*Tabla14[[#This Row],[Personas Rechazo]]</f>
        <v>0</v>
      </c>
      <c r="BH561" s="292">
        <f>Tabla14[[#This Row],[Finca]]</f>
        <v>0</v>
      </c>
      <c r="BJ561" s="332">
        <f>Tabla14[[#This Row],[Numero de Ocacionales]]*Tabla14[[#This Row],[REAJUSTADO]]</f>
        <v>0</v>
      </c>
      <c r="BK561" s="332"/>
      <c r="BL561" s="332"/>
      <c r="BM561" s="332">
        <f>+Tabla14[[#This Row],[CUANTO SE REAJUSTA]]*3</f>
        <v>0</v>
      </c>
    </row>
    <row r="562" spans="3:65" hidden="1" x14ac:dyDescent="0.25">
      <c r="C562" s="515">
        <v>45335</v>
      </c>
      <c r="D562" s="558">
        <f>YEAR(Tabla14[[#This Row],[Fecha]])</f>
        <v>2024</v>
      </c>
      <c r="E562" s="516">
        <f>IF(Tabla14[[#This Row],[Fecha]]&gt;0,_xlfn.ISOWEEKNUM(Tabla14[[#This Row],[Fecha]]),0)</f>
        <v>7</v>
      </c>
      <c r="F562" s="283"/>
      <c r="G562" s="275"/>
      <c r="H562" s="325">
        <f>_xlfn.XLOOKUP(Tabla14[[#This Row],[Codigo Finca]],Tabla4[Codigo Finca],Tabla4[Nombre Finca],"")</f>
        <v>0</v>
      </c>
      <c r="I562" s="277">
        <f>_xlfn.XLOOKUP(Tabla14[[#This Row],[Codigo Finca]],Tabla4[Codigo Finca],Tabla4[Precio Caja],0)</f>
        <v>0</v>
      </c>
      <c r="J562" s="277">
        <f>_xlfn.XLOOKUP(Tabla14[[#This Row],[Codigo Finca]],Tabla4[Codigo Finca],Tabla4[Precio Caja Segunda],0)</f>
        <v>0</v>
      </c>
      <c r="K562" s="277">
        <f>_xlfn.XLOOKUP(Tabla14[[#This Row],[Codigo Finca]],Tabla4[Codigo Finca],Tabla4[Precio Rechazo],0)</f>
        <v>0</v>
      </c>
      <c r="L562" s="277">
        <f t="shared" si="555"/>
        <v>0</v>
      </c>
      <c r="M562" s="278">
        <f t="shared" si="556"/>
        <v>0</v>
      </c>
      <c r="N562" s="283"/>
      <c r="O562" s="279"/>
      <c r="P562" s="280">
        <f t="shared" si="557"/>
        <v>0</v>
      </c>
      <c r="Q562" s="281">
        <f t="shared" si="558"/>
        <v>0</v>
      </c>
      <c r="R562" s="282">
        <f t="shared" si="559"/>
        <v>0</v>
      </c>
      <c r="S562" s="283"/>
      <c r="T562" s="275"/>
      <c r="U562" s="280">
        <f t="shared" si="560"/>
        <v>0</v>
      </c>
      <c r="V562" s="281">
        <f t="shared" si="561"/>
        <v>0</v>
      </c>
      <c r="W562" s="282">
        <f t="shared" si="562"/>
        <v>0</v>
      </c>
      <c r="X562" s="283"/>
      <c r="Y562" s="275"/>
      <c r="Z562" s="280">
        <f>Tabla14[[#This Row],[Cajas Segunda]]</f>
        <v>0</v>
      </c>
      <c r="AA562" s="281">
        <f t="shared" si="563"/>
        <v>0</v>
      </c>
      <c r="AB562" s="284">
        <f t="shared" si="564"/>
        <v>0</v>
      </c>
      <c r="AC562" s="285"/>
      <c r="AD562" s="286"/>
      <c r="AE562" s="286"/>
      <c r="AF562" s="286"/>
      <c r="AG562" s="286"/>
      <c r="AH562" s="280">
        <f t="shared" si="565"/>
        <v>0</v>
      </c>
      <c r="AI562" s="281">
        <f t="shared" si="566"/>
        <v>0</v>
      </c>
      <c r="AJ562" s="282">
        <f t="shared" si="567"/>
        <v>0</v>
      </c>
      <c r="AK562" s="287">
        <f>Tabla14[[#This Row],[Cajas por Personas]]</f>
        <v>0</v>
      </c>
      <c r="AL562" s="288">
        <f>Tabla14[[#This Row],[Valor Precorte Pesona]]</f>
        <v>0</v>
      </c>
      <c r="AM562" s="294">
        <f>Tabla14[[#This Row],[Personas Precorte]]</f>
        <v>0</v>
      </c>
      <c r="AN562" s="308">
        <f>Tabla14[[#This Row],[Valor Precorte Pesona Precorte]]*Tabla14[[#This Row],[Perzonas Precorte]]</f>
        <v>0</v>
      </c>
      <c r="AO562" s="287">
        <f>Tabla14[[#This Row],[Cajas por Personas2]]</f>
        <v>0</v>
      </c>
      <c r="AP562" s="288">
        <f>Tabla14[[#This Row],[Valor Embarque Pesona]]</f>
        <v>0</v>
      </c>
      <c r="AQ562" s="295">
        <f>Tabla14[[#This Row],[Personas Precorte2]]</f>
        <v>0</v>
      </c>
      <c r="AR562" s="296">
        <f>Tabla14[[#This Row],[Valor Embarque Pesona3]]*Tabla14[[#This Row],[Perzona Primera]]</f>
        <v>0</v>
      </c>
      <c r="AS562" s="287">
        <f>Tabla14[[#This Row],[Columna2]]</f>
        <v>0</v>
      </c>
      <c r="AT562" s="288">
        <f>Tabla14[[#This Row],[Columna1]]</f>
        <v>0</v>
      </c>
      <c r="AU562" s="302">
        <f>Tabla14[[#This Row],[Personas Intervienen]]</f>
        <v>0</v>
      </c>
      <c r="AV562" s="297">
        <f>Tabla14[[#This Row],[Valor Embarque Pesona5]]*Tabla14[[#This Row],[Presonas Segunda]]</f>
        <v>0</v>
      </c>
      <c r="AW562" s="287">
        <f>Tabla14[[#This Row],[Bolsas Por Personas]]</f>
        <v>0</v>
      </c>
      <c r="AX562" s="288">
        <f>Tabla14[[#This Row],[Valor bolsas Pesona]]</f>
        <v>0</v>
      </c>
      <c r="AY562" s="309">
        <f>Tabla14[[#This Row],[Personas13]]</f>
        <v>0</v>
      </c>
      <c r="AZ562" s="310">
        <f>Tabla14[[#This Row],[Valor bolsas Pesona2]]*Tabla14[[#This Row],[Personas Rechazo]]</f>
        <v>0</v>
      </c>
      <c r="BA562" s="311">
        <f>+Tabla14[[#This Row],[Total Valor Segunda]]+Tabla14[[#This Row],[Total Valor Primera]]+Tabla14[[#This Row],[Total Valor Precorte]]</f>
        <v>0</v>
      </c>
      <c r="BB562" s="292">
        <f>Tabla14[[#This Row],[Valor bolsas Pesona2]]+Tabla14[[#This Row],[Valor Embarque Pesona3]]</f>
        <v>0</v>
      </c>
      <c r="BD562" s="292">
        <f>Tabla14[[#This Row],[VALOR GANADO]]-Tabla14[[#This Row],[REAJUSTADO]]</f>
        <v>0</v>
      </c>
      <c r="BE562" s="250">
        <f>Tabla14[[#This Row],[CUANTO SE REAJUSTA]]*Tabla14[[#This Row],[Personas Rechazo]]</f>
        <v>0</v>
      </c>
      <c r="BF562" s="250">
        <f>Tabla14[[#This Row],[REAJUSTADO]]/25000</f>
        <v>0</v>
      </c>
      <c r="BG562" s="302">
        <f>Tabla14[[#This Row],[REAJUSTADO]]*Tabla14[[#This Row],[Personas Rechazo]]</f>
        <v>0</v>
      </c>
      <c r="BH562" s="292">
        <f>Tabla14[[#This Row],[Finca]]</f>
        <v>0</v>
      </c>
      <c r="BJ562" s="332">
        <f>Tabla14[[#This Row],[Numero de Ocacionales]]*Tabla14[[#This Row],[REAJUSTADO]]</f>
        <v>0</v>
      </c>
      <c r="BK562" s="332"/>
      <c r="BL562" s="332"/>
      <c r="BM562" s="332">
        <f>+Tabla14[[#This Row],[CUANTO SE REAJUSTA]]*3</f>
        <v>0</v>
      </c>
    </row>
    <row r="563" spans="3:65" hidden="1" x14ac:dyDescent="0.25">
      <c r="C563" s="515">
        <v>45335</v>
      </c>
      <c r="D563" s="558">
        <f>YEAR(Tabla14[[#This Row],[Fecha]])</f>
        <v>2024</v>
      </c>
      <c r="E563" s="516">
        <f>IF(Tabla14[[#This Row],[Fecha]]&gt;0,_xlfn.ISOWEEKNUM(Tabla14[[#This Row],[Fecha]]),0)</f>
        <v>7</v>
      </c>
      <c r="F563" s="283"/>
      <c r="G563" s="275"/>
      <c r="H563" s="325">
        <f>_xlfn.XLOOKUP(Tabla14[[#This Row],[Codigo Finca]],Tabla4[Codigo Finca],Tabla4[Nombre Finca],"")</f>
        <v>0</v>
      </c>
      <c r="I563" s="277">
        <f>_xlfn.XLOOKUP(Tabla14[[#This Row],[Codigo Finca]],Tabla4[Codigo Finca],Tabla4[Precio Caja],0)</f>
        <v>0</v>
      </c>
      <c r="J563" s="277">
        <f>_xlfn.XLOOKUP(Tabla14[[#This Row],[Codigo Finca]],Tabla4[Codigo Finca],Tabla4[Precio Caja Segunda],0)</f>
        <v>0</v>
      </c>
      <c r="K563" s="277">
        <f>_xlfn.XLOOKUP(Tabla14[[#This Row],[Codigo Finca]],Tabla4[Codigo Finca],Tabla4[Precio Rechazo],0)</f>
        <v>0</v>
      </c>
      <c r="L563" s="277">
        <f t="shared" si="555"/>
        <v>0</v>
      </c>
      <c r="M563" s="278">
        <f t="shared" si="556"/>
        <v>0</v>
      </c>
      <c r="N563" s="283"/>
      <c r="O563" s="279"/>
      <c r="P563" s="280">
        <f t="shared" si="557"/>
        <v>0</v>
      </c>
      <c r="Q563" s="281">
        <f t="shared" si="558"/>
        <v>0</v>
      </c>
      <c r="R563" s="282">
        <f t="shared" si="559"/>
        <v>0</v>
      </c>
      <c r="S563" s="283"/>
      <c r="T563" s="275"/>
      <c r="U563" s="280">
        <f t="shared" si="560"/>
        <v>0</v>
      </c>
      <c r="V563" s="281">
        <f t="shared" si="561"/>
        <v>0</v>
      </c>
      <c r="W563" s="282">
        <f t="shared" si="562"/>
        <v>0</v>
      </c>
      <c r="X563" s="283"/>
      <c r="Y563" s="275"/>
      <c r="Z563" s="280">
        <f>Tabla14[[#This Row],[Cajas Segunda]]</f>
        <v>0</v>
      </c>
      <c r="AA563" s="281">
        <f t="shared" si="563"/>
        <v>0</v>
      </c>
      <c r="AB563" s="284">
        <f t="shared" si="564"/>
        <v>0</v>
      </c>
      <c r="AC563" s="285"/>
      <c r="AD563" s="286"/>
      <c r="AE563" s="286"/>
      <c r="AF563" s="286"/>
      <c r="AG563" s="286"/>
      <c r="AH563" s="280">
        <f t="shared" si="565"/>
        <v>0</v>
      </c>
      <c r="AI563" s="281">
        <f t="shared" si="566"/>
        <v>0</v>
      </c>
      <c r="AJ563" s="282">
        <f t="shared" si="567"/>
        <v>0</v>
      </c>
      <c r="AK563" s="287">
        <f>Tabla14[[#This Row],[Cajas por Personas]]</f>
        <v>0</v>
      </c>
      <c r="AL563" s="288">
        <f>Tabla14[[#This Row],[Valor Precorte Pesona]]</f>
        <v>0</v>
      </c>
      <c r="AM563" s="294">
        <f>Tabla14[[#This Row],[Personas Precorte]]</f>
        <v>0</v>
      </c>
      <c r="AN563" s="308">
        <f>Tabla14[[#This Row],[Valor Precorte Pesona Precorte]]*Tabla14[[#This Row],[Perzonas Precorte]]</f>
        <v>0</v>
      </c>
      <c r="AO563" s="287">
        <f>Tabla14[[#This Row],[Cajas por Personas2]]</f>
        <v>0</v>
      </c>
      <c r="AP563" s="288">
        <f>Tabla14[[#This Row],[Valor Embarque Pesona]]</f>
        <v>0</v>
      </c>
      <c r="AQ563" s="295">
        <f>Tabla14[[#This Row],[Personas Precorte2]]</f>
        <v>0</v>
      </c>
      <c r="AR563" s="296">
        <f>Tabla14[[#This Row],[Valor Embarque Pesona3]]*Tabla14[[#This Row],[Perzona Primera]]</f>
        <v>0</v>
      </c>
      <c r="AS563" s="287">
        <f>Tabla14[[#This Row],[Columna2]]</f>
        <v>0</v>
      </c>
      <c r="AT563" s="288">
        <f>Tabla14[[#This Row],[Columna1]]</f>
        <v>0</v>
      </c>
      <c r="AU563" s="302">
        <f>Tabla14[[#This Row],[Personas Intervienen]]</f>
        <v>0</v>
      </c>
      <c r="AV563" s="297">
        <f>Tabla14[[#This Row],[Valor Embarque Pesona5]]*Tabla14[[#This Row],[Presonas Segunda]]</f>
        <v>0</v>
      </c>
      <c r="AW563" s="287">
        <f>Tabla14[[#This Row],[Bolsas Por Personas]]</f>
        <v>0</v>
      </c>
      <c r="AX563" s="288">
        <f>Tabla14[[#This Row],[Valor bolsas Pesona]]</f>
        <v>0</v>
      </c>
      <c r="AY563" s="309">
        <f>Tabla14[[#This Row],[Personas13]]</f>
        <v>0</v>
      </c>
      <c r="AZ563" s="310">
        <f>Tabla14[[#This Row],[Valor bolsas Pesona2]]*Tabla14[[#This Row],[Personas Rechazo]]</f>
        <v>0</v>
      </c>
      <c r="BA563" s="311">
        <f>+Tabla14[[#This Row],[Total Valor Segunda]]+Tabla14[[#This Row],[Total Valor Primera]]+Tabla14[[#This Row],[Total Valor Precorte]]</f>
        <v>0</v>
      </c>
      <c r="BB563" s="292">
        <f>Tabla14[[#This Row],[Valor bolsas Pesona2]]+Tabla14[[#This Row],[Valor Embarque Pesona3]]</f>
        <v>0</v>
      </c>
      <c r="BD563" s="292">
        <f>Tabla14[[#This Row],[VALOR GANADO]]-Tabla14[[#This Row],[REAJUSTADO]]</f>
        <v>0</v>
      </c>
      <c r="BE563" s="250">
        <f>Tabla14[[#This Row],[CUANTO SE REAJUSTA]]*Tabla14[[#This Row],[Personas Rechazo]]</f>
        <v>0</v>
      </c>
      <c r="BF563" s="250">
        <f>Tabla14[[#This Row],[REAJUSTADO]]/25000</f>
        <v>0</v>
      </c>
      <c r="BG563" s="302">
        <f>Tabla14[[#This Row],[REAJUSTADO]]*Tabla14[[#This Row],[Personas Rechazo]]</f>
        <v>0</v>
      </c>
      <c r="BH563" s="292">
        <f>Tabla14[[#This Row],[Finca]]</f>
        <v>0</v>
      </c>
      <c r="BJ563" s="332">
        <f>Tabla14[[#This Row],[Numero de Ocacionales]]*Tabla14[[#This Row],[REAJUSTADO]]</f>
        <v>0</v>
      </c>
      <c r="BK563" s="332"/>
      <c r="BL563" s="332"/>
      <c r="BM563" s="332">
        <f>+Tabla14[[#This Row],[CUANTO SE REAJUSTA]]*3</f>
        <v>0</v>
      </c>
    </row>
    <row r="564" spans="3:65" x14ac:dyDescent="0.25">
      <c r="C564" s="515">
        <v>45335</v>
      </c>
      <c r="D564" s="549">
        <f>YEAR(Tabla14[[#This Row],[Fecha]])</f>
        <v>2024</v>
      </c>
      <c r="E564" s="516">
        <f>IF(Tabla14[[#This Row],[Fecha]]&gt;0,_xlfn.ISOWEEKNUM(Tabla14[[#This Row],[Fecha]]),0)</f>
        <v>7</v>
      </c>
      <c r="F564" s="283">
        <v>6</v>
      </c>
      <c r="G564" s="275" t="s">
        <v>276</v>
      </c>
      <c r="H564" s="325" t="str">
        <f>_xlfn.XLOOKUP(Tabla14[[#This Row],[Codigo Finca]],Tabla4[Codigo Finca],Tabla4[Nombre Finca],"")</f>
        <v>Damaquiel</v>
      </c>
      <c r="I564" s="277">
        <f>_xlfn.XLOOKUP(Tabla14[[#This Row],[Codigo Finca]],Tabla4[Codigo Finca],Tabla4[Precio Caja],0)</f>
        <v>2000</v>
      </c>
      <c r="J564" s="277">
        <f>_xlfn.XLOOKUP(Tabla14[[#This Row],[Codigo Finca]],Tabla4[Codigo Finca],Tabla4[Precio Caja Segunda],0)</f>
        <v>0</v>
      </c>
      <c r="K564" s="277">
        <f>_xlfn.XLOOKUP(Tabla14[[#This Row],[Codigo Finca]],Tabla4[Codigo Finca],Tabla4[Precio Rechazo],0)</f>
        <v>575</v>
      </c>
      <c r="L564" s="277">
        <f t="shared" si="555"/>
        <v>0</v>
      </c>
      <c r="M564" s="278">
        <f t="shared" si="556"/>
        <v>0</v>
      </c>
      <c r="N564" s="283"/>
      <c r="O564" s="279"/>
      <c r="P564" s="280">
        <f t="shared" si="557"/>
        <v>0</v>
      </c>
      <c r="Q564" s="281">
        <f t="shared" si="558"/>
        <v>0</v>
      </c>
      <c r="R564" s="282">
        <f t="shared" si="559"/>
        <v>0</v>
      </c>
      <c r="S564" s="283"/>
      <c r="T564" s="275">
        <v>3</v>
      </c>
      <c r="U564" s="280">
        <f t="shared" si="560"/>
        <v>6</v>
      </c>
      <c r="V564" s="281">
        <f t="shared" si="561"/>
        <v>2</v>
      </c>
      <c r="W564" s="282">
        <f t="shared" si="562"/>
        <v>4000</v>
      </c>
      <c r="X564" s="283"/>
      <c r="Y564" s="275"/>
      <c r="Z564" s="280">
        <f>Tabla14[[#This Row],[Cajas Segunda]]</f>
        <v>0</v>
      </c>
      <c r="AA564" s="281">
        <f t="shared" si="563"/>
        <v>0</v>
      </c>
      <c r="AB564" s="284">
        <f t="shared" si="564"/>
        <v>0</v>
      </c>
      <c r="AC564" s="285"/>
      <c r="AD564" s="286"/>
      <c r="AE564" s="286"/>
      <c r="AF564" s="286"/>
      <c r="AG564" s="286"/>
      <c r="AH564" s="280">
        <f t="shared" si="565"/>
        <v>0</v>
      </c>
      <c r="AI564" s="281">
        <f t="shared" si="566"/>
        <v>0</v>
      </c>
      <c r="AJ564" s="282">
        <f t="shared" si="567"/>
        <v>0</v>
      </c>
      <c r="AK564" s="287">
        <f>Tabla14[[#This Row],[Cajas por Personas]]</f>
        <v>0</v>
      </c>
      <c r="AL564" s="288">
        <f>Tabla14[[#This Row],[Valor Precorte Pesona]]</f>
        <v>0</v>
      </c>
      <c r="AM564" s="294">
        <f>Tabla14[[#This Row],[Personas Precorte]]</f>
        <v>0</v>
      </c>
      <c r="AN564" s="308">
        <f>Tabla14[[#This Row],[Valor Precorte Pesona Precorte]]*Tabla14[[#This Row],[Perzonas Precorte]]</f>
        <v>0</v>
      </c>
      <c r="AO564" s="287">
        <f>Tabla14[[#This Row],[Cajas por Personas2]]</f>
        <v>2</v>
      </c>
      <c r="AP564" s="288">
        <f>Tabla14[[#This Row],[Valor Embarque Pesona]]</f>
        <v>4000</v>
      </c>
      <c r="AQ564" s="295">
        <f>Tabla14[[#This Row],[Personas Precorte2]]</f>
        <v>3</v>
      </c>
      <c r="AR564" s="296">
        <f>Tabla14[[#This Row],[Valor Embarque Pesona3]]*Tabla14[[#This Row],[Perzona Primera]]</f>
        <v>12000</v>
      </c>
      <c r="AS564" s="287">
        <f>Tabla14[[#This Row],[Columna2]]</f>
        <v>0</v>
      </c>
      <c r="AT564" s="288">
        <f>Tabla14[[#This Row],[Columna1]]</f>
        <v>0</v>
      </c>
      <c r="AU564" s="302">
        <f>Tabla14[[#This Row],[Personas Intervienen]]</f>
        <v>0</v>
      </c>
      <c r="AV564" s="297">
        <f>Tabla14[[#This Row],[Valor Embarque Pesona5]]*Tabla14[[#This Row],[Presonas Segunda]]</f>
        <v>0</v>
      </c>
      <c r="AW564" s="287">
        <f>Tabla14[[#This Row],[Bolsas Por Personas]]</f>
        <v>0</v>
      </c>
      <c r="AX564" s="288">
        <f>Tabla14[[#This Row],[Valor bolsas Pesona]]</f>
        <v>0</v>
      </c>
      <c r="AY564" s="309">
        <f>Tabla14[[#This Row],[Personas13]]</f>
        <v>0</v>
      </c>
      <c r="AZ564" s="310">
        <f>Tabla14[[#This Row],[Valor bolsas Pesona2]]*Tabla14[[#This Row],[Personas Rechazo]]</f>
        <v>0</v>
      </c>
      <c r="BA564" s="311">
        <f>+Tabla14[[#This Row],[Total Valor Segunda]]+Tabla14[[#This Row],[Total Valor Primera]]+Tabla14[[#This Row],[Total Valor Precorte]]</f>
        <v>12000</v>
      </c>
      <c r="BB564" s="292">
        <f>Tabla14[[#This Row],[Valor bolsas Pesona2]]+Tabla14[[#This Row],[Valor Embarque Pesona3]]</f>
        <v>4000</v>
      </c>
      <c r="BC564" s="332">
        <v>40000</v>
      </c>
      <c r="BD564" s="292">
        <f>Tabla14[[#This Row],[VALOR GANADO]]-Tabla14[[#This Row],[REAJUSTADO]]</f>
        <v>-36000</v>
      </c>
      <c r="BE564" s="250">
        <f>Tabla14[[#This Row],[CUANTO SE REAJUSTA]]*Tabla14[[#This Row],[Personas Rechazo]]</f>
        <v>0</v>
      </c>
      <c r="BF564" s="250">
        <f>Tabla14[[#This Row],[REAJUSTADO]]/25000</f>
        <v>1.6</v>
      </c>
      <c r="BG564" s="302">
        <f>Tabla14[[#This Row],[REAJUSTADO]]*Tabla14[[#This Row],[Personas Rechazo]]</f>
        <v>0</v>
      </c>
      <c r="BH564" s="292" t="str">
        <f>Tabla14[[#This Row],[Finca]]</f>
        <v>Damaquiel</v>
      </c>
      <c r="BJ564" s="332">
        <f>Tabla14[[#This Row],[Numero de Ocacionales]]*Tabla14[[#This Row],[REAJUSTADO]]</f>
        <v>0</v>
      </c>
      <c r="BK564" s="332"/>
      <c r="BL564" s="332"/>
      <c r="BM564" s="332">
        <f>+Tabla14[[#This Row],[CUANTO SE REAJUSTA]]*3</f>
        <v>-108000</v>
      </c>
    </row>
    <row r="565" spans="3:65" x14ac:dyDescent="0.25">
      <c r="C565" s="515">
        <v>45335</v>
      </c>
      <c r="D565" s="549">
        <f>YEAR(Tabla14[[#This Row],[Fecha]])</f>
        <v>2024</v>
      </c>
      <c r="E565" s="516">
        <f>IF(Tabla14[[#This Row],[Fecha]]&gt;0,_xlfn.ISOWEEKNUM(Tabla14[[#This Row],[Fecha]]),0)</f>
        <v>7</v>
      </c>
      <c r="F565" s="283">
        <v>2</v>
      </c>
      <c r="G565" s="275" t="s">
        <v>274</v>
      </c>
      <c r="H565" s="325" t="str">
        <f>_xlfn.XLOOKUP(Tabla14[[#This Row],[Codigo Finca]],Tabla4[Codigo Finca],Tabla4[Nombre Finca],"")</f>
        <v>San Pedro</v>
      </c>
      <c r="I565" s="277">
        <f>_xlfn.XLOOKUP(Tabla14[[#This Row],[Codigo Finca]],Tabla4[Codigo Finca],Tabla4[Precio Caja],0)</f>
        <v>2000</v>
      </c>
      <c r="J565" s="277">
        <f>_xlfn.XLOOKUP(Tabla14[[#This Row],[Codigo Finca]],Tabla4[Codigo Finca],Tabla4[Precio Caja Segunda],0)</f>
        <v>0</v>
      </c>
      <c r="K565" s="277">
        <f>_xlfn.XLOOKUP(Tabla14[[#This Row],[Codigo Finca]],Tabla4[Codigo Finca],Tabla4[Precio Rechazo],0)</f>
        <v>575</v>
      </c>
      <c r="L565" s="277">
        <f t="shared" ref="L565:L592" si="568">S565+N565</f>
        <v>0</v>
      </c>
      <c r="M565" s="278">
        <f t="shared" ref="M565:M592" si="569">IF(F565&gt;0,L565/F565,0)</f>
        <v>0</v>
      </c>
      <c r="N565" s="283"/>
      <c r="O565" s="279"/>
      <c r="P565" s="280">
        <f t="shared" ref="P565:P592" si="570">IF(N565&gt;0,(N565/M565)/2,0)</f>
        <v>0</v>
      </c>
      <c r="Q565" s="281">
        <f t="shared" ref="Q565:Q592" si="571">IF(O565&gt;0,P565/O565,0)</f>
        <v>0</v>
      </c>
      <c r="R565" s="282">
        <f t="shared" ref="R565:R592" si="572">IF(I565&gt;0,Q565*I565,)</f>
        <v>0</v>
      </c>
      <c r="S565" s="283"/>
      <c r="T565" s="275">
        <v>1</v>
      </c>
      <c r="U565" s="280">
        <f t="shared" ref="U565:U592" si="573">F565-P565</f>
        <v>2</v>
      </c>
      <c r="V565" s="281">
        <f t="shared" ref="V565:V592" si="574">IF(T565&gt;0,U565/T565,0)</f>
        <v>2</v>
      </c>
      <c r="W565" s="282">
        <f t="shared" ref="W565:W592" si="575">IF(T565&gt;0,(U565*I565)/T565,0)</f>
        <v>4000</v>
      </c>
      <c r="X565" s="283"/>
      <c r="Y565" s="275"/>
      <c r="Z565" s="280">
        <f>Tabla14[[#This Row],[Cajas Segunda]]</f>
        <v>0</v>
      </c>
      <c r="AA565" s="281">
        <f t="shared" ref="AA565:AA592" si="576">IF(Y565&gt;0,Z565/Y565,0)</f>
        <v>0</v>
      </c>
      <c r="AB565" s="284">
        <f t="shared" ref="AB565:AB592" si="577">IF(Y565&gt;0,(Z565*J565)/Y565,0)</f>
        <v>0</v>
      </c>
      <c r="AC565" s="285"/>
      <c r="AD565" s="286"/>
      <c r="AE565" s="286"/>
      <c r="AF565" s="286"/>
      <c r="AG565" s="286"/>
      <c r="AH565" s="280">
        <f t="shared" ref="AH565:AH592" si="578">IF(AND(AC565&gt;0,AE565=0,AF565=0,AD565=0),AC565,IF(AND(AC565=0,AE565&gt;0,AF565&gt;0,AD565=0),AE565*AF565/25,IF(AND(AC565=0,AE565=0,AF565=0,AD565&gt;0),AD565/25,0)))</f>
        <v>0</v>
      </c>
      <c r="AI565" s="281">
        <f t="shared" ref="AI565:AI592" si="579">IF(AG565&gt;0,AH565/AG565,0)</f>
        <v>0</v>
      </c>
      <c r="AJ565" s="282">
        <f t="shared" ref="AJ565:AJ592" si="580">AI565*K565</f>
        <v>0</v>
      </c>
      <c r="AK565" s="287">
        <f>Tabla14[[#This Row],[Cajas por Personas]]</f>
        <v>0</v>
      </c>
      <c r="AL565" s="288">
        <f>Tabla14[[#This Row],[Valor Precorte Pesona]]</f>
        <v>0</v>
      </c>
      <c r="AM565" s="294">
        <f>Tabla14[[#This Row],[Personas Precorte]]</f>
        <v>0</v>
      </c>
      <c r="AN565" s="308">
        <f>Tabla14[[#This Row],[Valor Precorte Pesona Precorte]]*Tabla14[[#This Row],[Perzonas Precorte]]</f>
        <v>0</v>
      </c>
      <c r="AO565" s="287">
        <f>Tabla14[[#This Row],[Cajas por Personas2]]</f>
        <v>2</v>
      </c>
      <c r="AP565" s="288">
        <f>Tabla14[[#This Row],[Valor Embarque Pesona]]</f>
        <v>4000</v>
      </c>
      <c r="AQ565" s="295">
        <f>Tabla14[[#This Row],[Personas Precorte2]]</f>
        <v>1</v>
      </c>
      <c r="AR565" s="296">
        <f>Tabla14[[#This Row],[Valor Embarque Pesona3]]*Tabla14[[#This Row],[Perzona Primera]]</f>
        <v>4000</v>
      </c>
      <c r="AS565" s="287">
        <f>Tabla14[[#This Row],[Columna2]]</f>
        <v>0</v>
      </c>
      <c r="AT565" s="288">
        <f>Tabla14[[#This Row],[Columna1]]</f>
        <v>0</v>
      </c>
      <c r="AU565" s="302">
        <f>Tabla14[[#This Row],[Personas Intervienen]]</f>
        <v>0</v>
      </c>
      <c r="AV565" s="297">
        <f>Tabla14[[#This Row],[Valor Embarque Pesona5]]*Tabla14[[#This Row],[Presonas Segunda]]</f>
        <v>0</v>
      </c>
      <c r="AW565" s="287">
        <f>Tabla14[[#This Row],[Bolsas Por Personas]]</f>
        <v>0</v>
      </c>
      <c r="AX565" s="288">
        <f>Tabla14[[#This Row],[Valor bolsas Pesona]]</f>
        <v>0</v>
      </c>
      <c r="AY565" s="309">
        <f>Tabla14[[#This Row],[Personas13]]</f>
        <v>0</v>
      </c>
      <c r="AZ565" s="310">
        <f>Tabla14[[#This Row],[Valor bolsas Pesona2]]*Tabla14[[#This Row],[Personas Rechazo]]</f>
        <v>0</v>
      </c>
      <c r="BA565" s="311">
        <f>+Tabla14[[#This Row],[Total Valor Segunda]]+Tabla14[[#This Row],[Total Valor Primera]]+Tabla14[[#This Row],[Total Valor Precorte]]</f>
        <v>4000</v>
      </c>
      <c r="BB565" s="292">
        <f>Tabla14[[#This Row],[Valor bolsas Pesona2]]+Tabla14[[#This Row],[Valor Embarque Pesona3]]</f>
        <v>4000</v>
      </c>
      <c r="BD565" s="292">
        <f>Tabla14[[#This Row],[VALOR GANADO]]-Tabla14[[#This Row],[REAJUSTADO]]</f>
        <v>4000</v>
      </c>
      <c r="BE565" s="250">
        <f>Tabla14[[#This Row],[CUANTO SE REAJUSTA]]*Tabla14[[#This Row],[Personas Rechazo]]</f>
        <v>0</v>
      </c>
      <c r="BF565" s="250">
        <f>Tabla14[[#This Row],[REAJUSTADO]]/25000</f>
        <v>0</v>
      </c>
      <c r="BG565" s="302">
        <f>Tabla14[[#This Row],[REAJUSTADO]]*Tabla14[[#This Row],[Personas Rechazo]]</f>
        <v>0</v>
      </c>
      <c r="BH565" s="292" t="str">
        <f>Tabla14[[#This Row],[Finca]]</f>
        <v>San Pedro</v>
      </c>
      <c r="BJ565" s="332">
        <f>Tabla14[[#This Row],[Numero de Ocacionales]]*Tabla14[[#This Row],[REAJUSTADO]]</f>
        <v>0</v>
      </c>
      <c r="BK565" s="332"/>
      <c r="BL565" s="332"/>
      <c r="BM565" s="332">
        <f>+Tabla14[[#This Row],[CUANTO SE REAJUSTA]]*3</f>
        <v>12000</v>
      </c>
    </row>
    <row r="566" spans="3:65" x14ac:dyDescent="0.25">
      <c r="C566" s="515">
        <v>45341</v>
      </c>
      <c r="D566" s="549">
        <f>YEAR(Tabla14[[#This Row],[Fecha]])</f>
        <v>2024</v>
      </c>
      <c r="E566" s="516">
        <f>IF(Tabla14[[#This Row],[Fecha]]&gt;0,_xlfn.ISOWEEKNUM(Tabla14[[#This Row],[Fecha]]),0)</f>
        <v>8</v>
      </c>
      <c r="F566" s="283">
        <v>2</v>
      </c>
      <c r="G566" s="275" t="s">
        <v>275</v>
      </c>
      <c r="H566" s="325" t="str">
        <f>_xlfn.XLOOKUP(Tabla14[[#This Row],[Codigo Finca]],Tabla4[Codigo Finca],Tabla4[Nombre Finca],"")</f>
        <v>Uveros</v>
      </c>
      <c r="I566" s="277">
        <f>_xlfn.XLOOKUP(Tabla14[[#This Row],[Codigo Finca]],Tabla4[Codigo Finca],Tabla4[Precio Caja],0)</f>
        <v>2000</v>
      </c>
      <c r="J566" s="277">
        <f>_xlfn.XLOOKUP(Tabla14[[#This Row],[Codigo Finca]],Tabla4[Codigo Finca],Tabla4[Precio Caja Segunda],0)</f>
        <v>0</v>
      </c>
      <c r="K566" s="277">
        <f>_xlfn.XLOOKUP(Tabla14[[#This Row],[Codigo Finca]],Tabla4[Codigo Finca],Tabla4[Precio Rechazo],0)</f>
        <v>575</v>
      </c>
      <c r="L566" s="277">
        <f t="shared" si="568"/>
        <v>0</v>
      </c>
      <c r="M566" s="278">
        <f t="shared" si="569"/>
        <v>0</v>
      </c>
      <c r="N566" s="283"/>
      <c r="O566" s="279"/>
      <c r="P566" s="280">
        <f t="shared" si="570"/>
        <v>0</v>
      </c>
      <c r="Q566" s="281">
        <f t="shared" si="571"/>
        <v>0</v>
      </c>
      <c r="R566" s="282">
        <f t="shared" si="572"/>
        <v>0</v>
      </c>
      <c r="S566" s="283"/>
      <c r="T566" s="275"/>
      <c r="U566" s="280">
        <f t="shared" si="573"/>
        <v>2</v>
      </c>
      <c r="V566" s="281">
        <f t="shared" si="574"/>
        <v>0</v>
      </c>
      <c r="W566" s="282">
        <f t="shared" si="575"/>
        <v>0</v>
      </c>
      <c r="X566" s="283"/>
      <c r="Y566" s="275"/>
      <c r="Z566" s="280">
        <f>Tabla14[[#This Row],[Cajas Segunda]]</f>
        <v>0</v>
      </c>
      <c r="AA566" s="281">
        <f t="shared" si="576"/>
        <v>0</v>
      </c>
      <c r="AB566" s="284">
        <f t="shared" si="577"/>
        <v>0</v>
      </c>
      <c r="AC566" s="285">
        <v>7</v>
      </c>
      <c r="AD566" s="286"/>
      <c r="AE566" s="286"/>
      <c r="AF566" s="286"/>
      <c r="AG566" s="286"/>
      <c r="AH566" s="280">
        <f t="shared" si="578"/>
        <v>7</v>
      </c>
      <c r="AI566" s="281">
        <f t="shared" si="579"/>
        <v>0</v>
      </c>
      <c r="AJ566" s="282">
        <f t="shared" si="580"/>
        <v>0</v>
      </c>
      <c r="AK566" s="287">
        <f>Tabla14[[#This Row],[Cajas por Personas]]</f>
        <v>0</v>
      </c>
      <c r="AL566" s="288">
        <f>Tabla14[[#This Row],[Valor Precorte Pesona]]</f>
        <v>0</v>
      </c>
      <c r="AM566" s="294">
        <f>Tabla14[[#This Row],[Personas Precorte]]</f>
        <v>0</v>
      </c>
      <c r="AN566" s="308">
        <f>Tabla14[[#This Row],[Valor Precorte Pesona Precorte]]*Tabla14[[#This Row],[Perzonas Precorte]]</f>
        <v>0</v>
      </c>
      <c r="AO566" s="287">
        <f>Tabla14[[#This Row],[Cajas por Personas2]]</f>
        <v>0</v>
      </c>
      <c r="AP566" s="288">
        <f>Tabla14[[#This Row],[Valor Embarque Pesona]]</f>
        <v>0</v>
      </c>
      <c r="AQ566" s="295">
        <f>Tabla14[[#This Row],[Personas Precorte2]]</f>
        <v>0</v>
      </c>
      <c r="AR566" s="296">
        <f>Tabla14[[#This Row],[Valor Embarque Pesona3]]*Tabla14[[#This Row],[Perzona Primera]]</f>
        <v>0</v>
      </c>
      <c r="AS566" s="287">
        <f>Tabla14[[#This Row],[Columna2]]</f>
        <v>0</v>
      </c>
      <c r="AT566" s="288">
        <f>Tabla14[[#This Row],[Columna1]]</f>
        <v>0</v>
      </c>
      <c r="AU566" s="302">
        <f>Tabla14[[#This Row],[Personas Intervienen]]</f>
        <v>0</v>
      </c>
      <c r="AV566" s="297">
        <f>Tabla14[[#This Row],[Valor Embarque Pesona5]]*Tabla14[[#This Row],[Presonas Segunda]]</f>
        <v>0</v>
      </c>
      <c r="AW566" s="287">
        <f>Tabla14[[#This Row],[Bolsas Por Personas]]</f>
        <v>0</v>
      </c>
      <c r="AX566" s="288">
        <f>Tabla14[[#This Row],[Valor bolsas Pesona]]</f>
        <v>0</v>
      </c>
      <c r="AY566" s="309">
        <f>Tabla14[[#This Row],[Personas13]]</f>
        <v>0</v>
      </c>
      <c r="AZ566" s="310">
        <f>Tabla14[[#This Row],[Valor bolsas Pesona2]]*Tabla14[[#This Row],[Personas Rechazo]]</f>
        <v>0</v>
      </c>
      <c r="BA566" s="311">
        <f>+Tabla14[[#This Row],[Total Valor Segunda]]+Tabla14[[#This Row],[Total Valor Primera]]+Tabla14[[#This Row],[Total Valor Precorte]]</f>
        <v>0</v>
      </c>
      <c r="BB566" s="292">
        <f>Tabla14[[#This Row],[Valor bolsas Pesona2]]+Tabla14[[#This Row],[Valor Embarque Pesona3]]</f>
        <v>0</v>
      </c>
      <c r="BC566" s="332">
        <v>40000</v>
      </c>
      <c r="BD566" s="292">
        <f>Tabla14[[#This Row],[VALOR GANADO]]-Tabla14[[#This Row],[REAJUSTADO]]</f>
        <v>-40000</v>
      </c>
      <c r="BE566" s="250">
        <f>Tabla14[[#This Row],[CUANTO SE REAJUSTA]]*Tabla14[[#This Row],[Personas Rechazo]]</f>
        <v>0</v>
      </c>
      <c r="BF566" s="250">
        <f>Tabla14[[#This Row],[REAJUSTADO]]/25000</f>
        <v>1.6</v>
      </c>
      <c r="BG566" s="302">
        <f>Tabla14[[#This Row],[REAJUSTADO]]*Tabla14[[#This Row],[Personas Rechazo]]</f>
        <v>0</v>
      </c>
      <c r="BH566" s="292" t="str">
        <f>Tabla14[[#This Row],[Finca]]</f>
        <v>Uveros</v>
      </c>
      <c r="BJ566" s="332">
        <f>Tabla14[[#This Row],[Numero de Ocacionales]]*Tabla14[[#This Row],[REAJUSTADO]]</f>
        <v>0</v>
      </c>
      <c r="BK566" s="332"/>
      <c r="BL566" s="332"/>
      <c r="BM566" s="332">
        <f>+Tabla14[[#This Row],[CUANTO SE REAJUSTA]]*3</f>
        <v>-120000</v>
      </c>
    </row>
    <row r="567" spans="3:65" x14ac:dyDescent="0.25">
      <c r="C567" s="515">
        <v>45341</v>
      </c>
      <c r="D567" s="549">
        <f>YEAR(Tabla14[[#This Row],[Fecha]])</f>
        <v>2024</v>
      </c>
      <c r="E567" s="516">
        <f>IF(Tabla14[[#This Row],[Fecha]]&gt;0,_xlfn.ISOWEEKNUM(Tabla14[[#This Row],[Fecha]]),0)</f>
        <v>8</v>
      </c>
      <c r="F567" s="283">
        <f>55-14</f>
        <v>41</v>
      </c>
      <c r="G567" s="275" t="s">
        <v>274</v>
      </c>
      <c r="H567" s="325" t="str">
        <f>_xlfn.XLOOKUP(Tabla14[[#This Row],[Codigo Finca]],Tabla4[Codigo Finca],Tabla4[Nombre Finca],"")</f>
        <v>San Pedro</v>
      </c>
      <c r="I567" s="277">
        <f>_xlfn.XLOOKUP(Tabla14[[#This Row],[Codigo Finca]],Tabla4[Codigo Finca],Tabla4[Precio Caja],0)</f>
        <v>2000</v>
      </c>
      <c r="J567" s="277">
        <f>_xlfn.XLOOKUP(Tabla14[[#This Row],[Codigo Finca]],Tabla4[Codigo Finca],Tabla4[Precio Caja Segunda],0)</f>
        <v>0</v>
      </c>
      <c r="K567" s="277">
        <f>_xlfn.XLOOKUP(Tabla14[[#This Row],[Codigo Finca]],Tabla4[Codigo Finca],Tabla4[Precio Rechazo],0)</f>
        <v>575</v>
      </c>
      <c r="L567" s="277">
        <f t="shared" si="568"/>
        <v>0</v>
      </c>
      <c r="M567" s="278">
        <f t="shared" si="569"/>
        <v>0</v>
      </c>
      <c r="N567" s="283"/>
      <c r="O567" s="279"/>
      <c r="P567" s="280">
        <f t="shared" si="570"/>
        <v>0</v>
      </c>
      <c r="Q567" s="281">
        <f t="shared" si="571"/>
        <v>0</v>
      </c>
      <c r="R567" s="282">
        <f t="shared" si="572"/>
        <v>0</v>
      </c>
      <c r="S567" s="283"/>
      <c r="T567" s="275">
        <v>6</v>
      </c>
      <c r="U567" s="280">
        <f t="shared" si="573"/>
        <v>41</v>
      </c>
      <c r="V567" s="281">
        <f t="shared" si="574"/>
        <v>6.833333333333333</v>
      </c>
      <c r="W567" s="282">
        <f t="shared" si="575"/>
        <v>13666.666666666666</v>
      </c>
      <c r="X567" s="283"/>
      <c r="Y567" s="275"/>
      <c r="Z567" s="280">
        <f>Tabla14[[#This Row],[Cajas Segunda]]</f>
        <v>0</v>
      </c>
      <c r="AA567" s="281">
        <f t="shared" si="576"/>
        <v>0</v>
      </c>
      <c r="AB567" s="284">
        <f t="shared" si="577"/>
        <v>0</v>
      </c>
      <c r="AC567" s="285">
        <v>11</v>
      </c>
      <c r="AD567" s="286"/>
      <c r="AE567" s="286"/>
      <c r="AF567" s="286"/>
      <c r="AG567" s="286">
        <v>6</v>
      </c>
      <c r="AH567" s="280">
        <f t="shared" si="578"/>
        <v>11</v>
      </c>
      <c r="AI567" s="281">
        <f t="shared" si="579"/>
        <v>1.8333333333333333</v>
      </c>
      <c r="AJ567" s="282">
        <f t="shared" si="580"/>
        <v>1054.1666666666665</v>
      </c>
      <c r="AK567" s="287">
        <f>Tabla14[[#This Row],[Cajas por Personas]]</f>
        <v>0</v>
      </c>
      <c r="AL567" s="288">
        <f>Tabla14[[#This Row],[Valor Precorte Pesona]]</f>
        <v>0</v>
      </c>
      <c r="AM567" s="294">
        <f>Tabla14[[#This Row],[Personas Precorte]]</f>
        <v>0</v>
      </c>
      <c r="AN567" s="308">
        <f>Tabla14[[#This Row],[Valor Precorte Pesona Precorte]]*Tabla14[[#This Row],[Perzonas Precorte]]</f>
        <v>0</v>
      </c>
      <c r="AO567" s="287">
        <f>Tabla14[[#This Row],[Cajas por Personas2]]</f>
        <v>6.833333333333333</v>
      </c>
      <c r="AP567" s="288">
        <f>Tabla14[[#This Row],[Valor Embarque Pesona]]</f>
        <v>13666.666666666666</v>
      </c>
      <c r="AQ567" s="295">
        <f>Tabla14[[#This Row],[Personas Precorte2]]</f>
        <v>6</v>
      </c>
      <c r="AR567" s="296">
        <f>Tabla14[[#This Row],[Valor Embarque Pesona3]]*Tabla14[[#This Row],[Perzona Primera]]</f>
        <v>82000</v>
      </c>
      <c r="AS567" s="287">
        <f>Tabla14[[#This Row],[Columna2]]</f>
        <v>0</v>
      </c>
      <c r="AT567" s="288">
        <f>Tabla14[[#This Row],[Columna1]]</f>
        <v>0</v>
      </c>
      <c r="AU567" s="302">
        <f>Tabla14[[#This Row],[Personas Intervienen]]</f>
        <v>0</v>
      </c>
      <c r="AV567" s="297">
        <f>Tabla14[[#This Row],[Valor Embarque Pesona5]]*Tabla14[[#This Row],[Presonas Segunda]]</f>
        <v>0</v>
      </c>
      <c r="AW567" s="287">
        <f>Tabla14[[#This Row],[Bolsas Por Personas]]</f>
        <v>1.8333333333333333</v>
      </c>
      <c r="AX567" s="288">
        <f>Tabla14[[#This Row],[Valor bolsas Pesona]]</f>
        <v>1054.1666666666665</v>
      </c>
      <c r="AY567" s="309">
        <f>Tabla14[[#This Row],[Personas13]]</f>
        <v>6</v>
      </c>
      <c r="AZ567" s="310">
        <f>Tabla14[[#This Row],[Valor bolsas Pesona2]]*Tabla14[[#This Row],[Personas Rechazo]]</f>
        <v>6324.9999999999991</v>
      </c>
      <c r="BA567" s="311">
        <f>+Tabla14[[#This Row],[Total Valor Segunda]]+Tabla14[[#This Row],[Total Valor Primera]]+Tabla14[[#This Row],[Total Valor Precorte]]</f>
        <v>82000</v>
      </c>
      <c r="BB567" s="292">
        <f>Tabla14[[#This Row],[Valor bolsas Pesona2]]+Tabla14[[#This Row],[Valor Embarque Pesona3]]</f>
        <v>14720.833333333332</v>
      </c>
      <c r="BC567" s="332">
        <f>+Tabla14[[#This Row],[VALOR GANADO]]++BB568</f>
        <v>20979.166666666664</v>
      </c>
      <c r="BD567" s="292">
        <f>Tabla14[[#This Row],[VALOR GANADO]]-Tabla14[[#This Row],[REAJUSTADO]]</f>
        <v>-6258.3333333333321</v>
      </c>
      <c r="BE567" s="250">
        <f>Tabla14[[#This Row],[CUANTO SE REAJUSTA]]*Tabla14[[#This Row],[Personas Rechazo]]</f>
        <v>-37549.999999999993</v>
      </c>
      <c r="BF567" s="250">
        <f>Tabla14[[#This Row],[REAJUSTADO]]/25000</f>
        <v>0.83916666666666662</v>
      </c>
      <c r="BG567" s="302">
        <f>Tabla14[[#This Row],[REAJUSTADO]]*Tabla14[[#This Row],[Personas Rechazo]]</f>
        <v>125874.99999999999</v>
      </c>
      <c r="BH567" s="292" t="str">
        <f>Tabla14[[#This Row],[Finca]]</f>
        <v>San Pedro</v>
      </c>
      <c r="BJ567" s="332">
        <f>Tabla14[[#This Row],[Numero de Ocacionales]]*Tabla14[[#This Row],[REAJUSTADO]]</f>
        <v>0</v>
      </c>
      <c r="BK567" s="332"/>
      <c r="BL567" s="332"/>
      <c r="BM567" s="332">
        <f>+Tabla14[[#This Row],[CUANTO SE REAJUSTA]]*3</f>
        <v>-18774.999999999996</v>
      </c>
    </row>
    <row r="568" spans="3:65" x14ac:dyDescent="0.25">
      <c r="C568" s="515">
        <v>45341</v>
      </c>
      <c r="D568" s="549">
        <f>YEAR(Tabla14[[#This Row],[Fecha]])</f>
        <v>2024</v>
      </c>
      <c r="E568" s="516">
        <f>IF(Tabla14[[#This Row],[Fecha]]&gt;0,_xlfn.ISOWEEKNUM(Tabla14[[#This Row],[Fecha]]),0)</f>
        <v>8</v>
      </c>
      <c r="F568" s="283">
        <v>14</v>
      </c>
      <c r="G568" s="275" t="s">
        <v>273</v>
      </c>
      <c r="H568" s="325" t="str">
        <f>_xlfn.XLOOKUP(Tabla14[[#This Row],[Codigo Finca]],Tabla4[Codigo Finca],Tabla4[Nombre Finca],"")</f>
        <v>San Pedro</v>
      </c>
      <c r="I568" s="277">
        <f>_xlfn.XLOOKUP(Tabla14[[#This Row],[Codigo Finca]],Tabla4[Codigo Finca],Tabla4[Precio Caja],0)</f>
        <v>2200</v>
      </c>
      <c r="J568" s="277">
        <f>_xlfn.XLOOKUP(Tabla14[[#This Row],[Codigo Finca]],Tabla4[Codigo Finca],Tabla4[Precio Caja Segunda],0)</f>
        <v>0</v>
      </c>
      <c r="K568" s="277">
        <f>_xlfn.XLOOKUP(Tabla14[[#This Row],[Codigo Finca]],Tabla4[Codigo Finca],Tabla4[Precio Rechazo],0)</f>
        <v>675</v>
      </c>
      <c r="L568" s="277">
        <f t="shared" si="568"/>
        <v>138</v>
      </c>
      <c r="M568" s="278">
        <f t="shared" si="569"/>
        <v>9.8571428571428577</v>
      </c>
      <c r="N568" s="283"/>
      <c r="O568" s="279"/>
      <c r="P568" s="280">
        <f t="shared" si="570"/>
        <v>0</v>
      </c>
      <c r="Q568" s="281">
        <f t="shared" si="571"/>
        <v>0</v>
      </c>
      <c r="R568" s="282">
        <f t="shared" si="572"/>
        <v>0</v>
      </c>
      <c r="S568" s="283">
        <v>138</v>
      </c>
      <c r="T568" s="275">
        <v>6</v>
      </c>
      <c r="U568" s="280">
        <f t="shared" si="573"/>
        <v>14</v>
      </c>
      <c r="V568" s="281">
        <f t="shared" si="574"/>
        <v>2.3333333333333335</v>
      </c>
      <c r="W568" s="282">
        <f t="shared" si="575"/>
        <v>5133.333333333333</v>
      </c>
      <c r="X568" s="283"/>
      <c r="Y568" s="275"/>
      <c r="Z568" s="280">
        <f>Tabla14[[#This Row],[Cajas Segunda]]</f>
        <v>0</v>
      </c>
      <c r="AA568" s="281">
        <f t="shared" si="576"/>
        <v>0</v>
      </c>
      <c r="AB568" s="284">
        <f t="shared" si="577"/>
        <v>0</v>
      </c>
      <c r="AC568" s="285">
        <v>10</v>
      </c>
      <c r="AD568" s="286"/>
      <c r="AE568" s="286"/>
      <c r="AF568" s="286"/>
      <c r="AG568" s="286">
        <v>6</v>
      </c>
      <c r="AH568" s="280">
        <f t="shared" si="578"/>
        <v>10</v>
      </c>
      <c r="AI568" s="281">
        <f t="shared" si="579"/>
        <v>1.6666666666666667</v>
      </c>
      <c r="AJ568" s="282">
        <f t="shared" si="580"/>
        <v>1125</v>
      </c>
      <c r="AK568" s="287">
        <f>Tabla14[[#This Row],[Cajas por Personas]]</f>
        <v>0</v>
      </c>
      <c r="AL568" s="288">
        <f>Tabla14[[#This Row],[Valor Precorte Pesona]]</f>
        <v>0</v>
      </c>
      <c r="AM568" s="294">
        <f>Tabla14[[#This Row],[Personas Precorte]]</f>
        <v>0</v>
      </c>
      <c r="AN568" s="308">
        <f>Tabla14[[#This Row],[Valor Precorte Pesona Precorte]]*Tabla14[[#This Row],[Perzonas Precorte]]</f>
        <v>0</v>
      </c>
      <c r="AO568" s="287">
        <f>Tabla14[[#This Row],[Cajas por Personas2]]</f>
        <v>2.3333333333333335</v>
      </c>
      <c r="AP568" s="288">
        <f>Tabla14[[#This Row],[Valor Embarque Pesona]]</f>
        <v>5133.333333333333</v>
      </c>
      <c r="AQ568" s="295">
        <f>Tabla14[[#This Row],[Personas Precorte2]]</f>
        <v>6</v>
      </c>
      <c r="AR568" s="296">
        <f>Tabla14[[#This Row],[Valor Embarque Pesona3]]*Tabla14[[#This Row],[Perzona Primera]]</f>
        <v>30800</v>
      </c>
      <c r="AS568" s="287">
        <f>Tabla14[[#This Row],[Columna2]]</f>
        <v>0</v>
      </c>
      <c r="AT568" s="288">
        <f>Tabla14[[#This Row],[Columna1]]</f>
        <v>0</v>
      </c>
      <c r="AU568" s="302">
        <f>Tabla14[[#This Row],[Personas Intervienen]]</f>
        <v>0</v>
      </c>
      <c r="AV568" s="297">
        <f>Tabla14[[#This Row],[Valor Embarque Pesona5]]*Tabla14[[#This Row],[Presonas Segunda]]</f>
        <v>0</v>
      </c>
      <c r="AW568" s="287">
        <f>Tabla14[[#This Row],[Bolsas Por Personas]]</f>
        <v>1.6666666666666667</v>
      </c>
      <c r="AX568" s="288">
        <f>Tabla14[[#This Row],[Valor bolsas Pesona]]</f>
        <v>1125</v>
      </c>
      <c r="AY568" s="309">
        <f>Tabla14[[#This Row],[Personas13]]</f>
        <v>6</v>
      </c>
      <c r="AZ568" s="310">
        <f>Tabla14[[#This Row],[Valor bolsas Pesona2]]*Tabla14[[#This Row],[Personas Rechazo]]</f>
        <v>6750</v>
      </c>
      <c r="BA568" s="311">
        <f>+Tabla14[[#This Row],[Total Valor Segunda]]+Tabla14[[#This Row],[Total Valor Primera]]+Tabla14[[#This Row],[Total Valor Precorte]]</f>
        <v>30800</v>
      </c>
      <c r="BB568" s="292">
        <f>Tabla14[[#This Row],[Valor bolsas Pesona2]]+Tabla14[[#This Row],[Valor Embarque Pesona3]]</f>
        <v>6258.333333333333</v>
      </c>
      <c r="BC568" s="332">
        <v>45000</v>
      </c>
      <c r="BD568" s="292">
        <f>Tabla14[[#This Row],[VALOR GANADO]]-Tabla14[[#This Row],[REAJUSTADO]]</f>
        <v>-38741.666666666664</v>
      </c>
      <c r="BE568" s="250">
        <f>Tabla14[[#This Row],[CUANTO SE REAJUSTA]]*Tabla14[[#This Row],[Personas Rechazo]]</f>
        <v>-232450</v>
      </c>
      <c r="BF568" s="250">
        <f>Tabla14[[#This Row],[REAJUSTADO]]/25000</f>
        <v>1.8</v>
      </c>
      <c r="BG568" s="302">
        <f>Tabla14[[#This Row],[REAJUSTADO]]*Tabla14[[#This Row],[Personas Rechazo]]</f>
        <v>270000</v>
      </c>
      <c r="BH568" s="292" t="str">
        <f>Tabla14[[#This Row],[Finca]]</f>
        <v>San Pedro</v>
      </c>
      <c r="BJ568" s="332">
        <f>Tabla14[[#This Row],[Numero de Ocacionales]]*Tabla14[[#This Row],[REAJUSTADO]]</f>
        <v>0</v>
      </c>
      <c r="BK568" s="332"/>
      <c r="BL568" s="332"/>
      <c r="BM568" s="332">
        <f>+Tabla14[[#This Row],[CUANTO SE REAJUSTA]]*3</f>
        <v>-116225</v>
      </c>
    </row>
    <row r="569" spans="3:65" x14ac:dyDescent="0.25">
      <c r="C569" s="515">
        <v>45341</v>
      </c>
      <c r="D569" s="549">
        <f>YEAR(Tabla14[[#This Row],[Fecha]])</f>
        <v>2024</v>
      </c>
      <c r="E569" s="516">
        <f>IF(Tabla14[[#This Row],[Fecha]]&gt;0,_xlfn.ISOWEEKNUM(Tabla14[[#This Row],[Fecha]]),0)</f>
        <v>8</v>
      </c>
      <c r="F569" s="283">
        <v>88</v>
      </c>
      <c r="G569" s="275" t="s">
        <v>272</v>
      </c>
      <c r="H569" s="325" t="str">
        <f>_xlfn.XLOOKUP(Tabla14[[#This Row],[Codigo Finca]],Tabla4[Codigo Finca],Tabla4[Nombre Finca],"")</f>
        <v>Pedrito</v>
      </c>
      <c r="I569" s="277">
        <f>_xlfn.XLOOKUP(Tabla14[[#This Row],[Codigo Finca]],Tabla4[Codigo Finca],Tabla4[Precio Caja],0)</f>
        <v>2000</v>
      </c>
      <c r="J569" s="277">
        <f>_xlfn.XLOOKUP(Tabla14[[#This Row],[Codigo Finca]],Tabla4[Codigo Finca],Tabla4[Precio Caja Segunda],0)</f>
        <v>0</v>
      </c>
      <c r="K569" s="277">
        <f>_xlfn.XLOOKUP(Tabla14[[#This Row],[Codigo Finca]],Tabla4[Codigo Finca],Tabla4[Precio Rechazo],0)</f>
        <v>575</v>
      </c>
      <c r="L569" s="277">
        <f t="shared" si="568"/>
        <v>921</v>
      </c>
      <c r="M569" s="278">
        <f t="shared" si="569"/>
        <v>10.465909090909092</v>
      </c>
      <c r="N569" s="283"/>
      <c r="O569" s="279"/>
      <c r="P569" s="280">
        <f t="shared" si="570"/>
        <v>0</v>
      </c>
      <c r="Q569" s="281">
        <f t="shared" si="571"/>
        <v>0</v>
      </c>
      <c r="R569" s="282">
        <f t="shared" si="572"/>
        <v>0</v>
      </c>
      <c r="S569" s="283">
        <v>921</v>
      </c>
      <c r="T569" s="275">
        <v>14</v>
      </c>
      <c r="U569" s="280">
        <f t="shared" si="573"/>
        <v>88</v>
      </c>
      <c r="V569" s="281">
        <f t="shared" si="574"/>
        <v>6.2857142857142856</v>
      </c>
      <c r="W569" s="282">
        <f t="shared" si="575"/>
        <v>12571.428571428571</v>
      </c>
      <c r="X569" s="283"/>
      <c r="Y569" s="275"/>
      <c r="Z569" s="280">
        <f>Tabla14[[#This Row],[Cajas Segunda]]</f>
        <v>0</v>
      </c>
      <c r="AA569" s="281">
        <f t="shared" si="576"/>
        <v>0</v>
      </c>
      <c r="AB569" s="284">
        <f t="shared" si="577"/>
        <v>0</v>
      </c>
      <c r="AC569" s="285">
        <v>51</v>
      </c>
      <c r="AD569" s="286"/>
      <c r="AE569" s="286"/>
      <c r="AF569" s="286"/>
      <c r="AG569" s="286">
        <v>14</v>
      </c>
      <c r="AH569" s="280">
        <f t="shared" si="578"/>
        <v>51</v>
      </c>
      <c r="AI569" s="281">
        <f t="shared" si="579"/>
        <v>3.6428571428571428</v>
      </c>
      <c r="AJ569" s="282">
        <f t="shared" si="580"/>
        <v>2094.6428571428569</v>
      </c>
      <c r="AK569" s="287">
        <f>Tabla14[[#This Row],[Cajas por Personas]]</f>
        <v>0</v>
      </c>
      <c r="AL569" s="288">
        <f>Tabla14[[#This Row],[Valor Precorte Pesona]]</f>
        <v>0</v>
      </c>
      <c r="AM569" s="294">
        <f>Tabla14[[#This Row],[Personas Precorte]]</f>
        <v>0</v>
      </c>
      <c r="AN569" s="308">
        <f>Tabla14[[#This Row],[Valor Precorte Pesona Precorte]]*Tabla14[[#This Row],[Perzonas Precorte]]</f>
        <v>0</v>
      </c>
      <c r="AO569" s="287">
        <f>Tabla14[[#This Row],[Cajas por Personas2]]</f>
        <v>6.2857142857142856</v>
      </c>
      <c r="AP569" s="288">
        <f>Tabla14[[#This Row],[Valor Embarque Pesona]]</f>
        <v>12571.428571428571</v>
      </c>
      <c r="AQ569" s="295">
        <f>Tabla14[[#This Row],[Personas Precorte2]]</f>
        <v>14</v>
      </c>
      <c r="AR569" s="296">
        <f>Tabla14[[#This Row],[Valor Embarque Pesona3]]*Tabla14[[#This Row],[Perzona Primera]]</f>
        <v>176000</v>
      </c>
      <c r="AS569" s="287">
        <f>Tabla14[[#This Row],[Columna2]]</f>
        <v>0</v>
      </c>
      <c r="AT569" s="288">
        <f>Tabla14[[#This Row],[Columna1]]</f>
        <v>0</v>
      </c>
      <c r="AU569" s="302">
        <f>Tabla14[[#This Row],[Personas Intervienen]]</f>
        <v>0</v>
      </c>
      <c r="AV569" s="297">
        <f>Tabla14[[#This Row],[Valor Embarque Pesona5]]*Tabla14[[#This Row],[Presonas Segunda]]</f>
        <v>0</v>
      </c>
      <c r="AW569" s="287">
        <f>Tabla14[[#This Row],[Bolsas Por Personas]]</f>
        <v>3.6428571428571428</v>
      </c>
      <c r="AX569" s="288">
        <f>Tabla14[[#This Row],[Valor bolsas Pesona]]</f>
        <v>2094.6428571428569</v>
      </c>
      <c r="AY569" s="309">
        <f>Tabla14[[#This Row],[Personas13]]</f>
        <v>14</v>
      </c>
      <c r="AZ569" s="310">
        <f>Tabla14[[#This Row],[Valor bolsas Pesona2]]*Tabla14[[#This Row],[Personas Rechazo]]</f>
        <v>29324.999999999996</v>
      </c>
      <c r="BA569" s="311">
        <f>+Tabla14[[#This Row],[Total Valor Segunda]]+Tabla14[[#This Row],[Total Valor Primera]]+Tabla14[[#This Row],[Total Valor Precorte]]</f>
        <v>176000</v>
      </c>
      <c r="BB569" s="292">
        <f>Tabla14[[#This Row],[Valor bolsas Pesona2]]+Tabla14[[#This Row],[Valor Embarque Pesona3]]</f>
        <v>14666.071428571428</v>
      </c>
      <c r="BC569" s="332">
        <v>45000</v>
      </c>
      <c r="BD569" s="292">
        <f>Tabla14[[#This Row],[VALOR GANADO]]-Tabla14[[#This Row],[REAJUSTADO]]</f>
        <v>-30333.928571428572</v>
      </c>
      <c r="BE569" s="250">
        <f>Tabla14[[#This Row],[CUANTO SE REAJUSTA]]*Tabla14[[#This Row],[Personas Rechazo]]</f>
        <v>-424675</v>
      </c>
      <c r="BF569" s="250">
        <f>Tabla14[[#This Row],[REAJUSTADO]]/25000</f>
        <v>1.8</v>
      </c>
      <c r="BG569" s="302">
        <f>Tabla14[[#This Row],[REAJUSTADO]]*Tabla14[[#This Row],[Personas Rechazo]]</f>
        <v>630000</v>
      </c>
      <c r="BH569" s="292" t="str">
        <f>Tabla14[[#This Row],[Finca]]</f>
        <v>Pedrito</v>
      </c>
      <c r="BJ569" s="332">
        <f>Tabla14[[#This Row],[Numero de Ocacionales]]*Tabla14[[#This Row],[REAJUSTADO]]</f>
        <v>0</v>
      </c>
      <c r="BK569" s="332"/>
      <c r="BL569" s="332"/>
      <c r="BM569" s="332">
        <f>+Tabla14[[#This Row],[CUANTO SE REAJUSTA]]*3</f>
        <v>-91001.78571428571</v>
      </c>
    </row>
    <row r="570" spans="3:65" x14ac:dyDescent="0.25">
      <c r="C570" s="515">
        <v>45342</v>
      </c>
      <c r="D570" s="549">
        <f>YEAR(Tabla14[[#This Row],[Fecha]])</f>
        <v>2024</v>
      </c>
      <c r="E570" s="516">
        <f>IF(Tabla14[[#This Row],[Fecha]]&gt;0,_xlfn.ISOWEEKNUM(Tabla14[[#This Row],[Fecha]]),0)</f>
        <v>8</v>
      </c>
      <c r="F570" s="283">
        <f>166+30</f>
        <v>196</v>
      </c>
      <c r="G570" s="275" t="s">
        <v>279</v>
      </c>
      <c r="H570" s="325" t="str">
        <f>_xlfn.XLOOKUP(Tabla14[[#This Row],[Codigo Finca]],Tabla4[Codigo Finca],Tabla4[Nombre Finca],"")</f>
        <v>San Pedro</v>
      </c>
      <c r="I570" s="277">
        <f>_xlfn.XLOOKUP(Tabla14[[#This Row],[Codigo Finca]],Tabla4[Codigo Finca],Tabla4[Precio Caja],0)</f>
        <v>2000</v>
      </c>
      <c r="J570" s="277">
        <f>_xlfn.XLOOKUP(Tabla14[[#This Row],[Codigo Finca]],Tabla4[Codigo Finca],Tabla4[Precio Caja Segunda],0)</f>
        <v>0</v>
      </c>
      <c r="K570" s="277">
        <f>_xlfn.XLOOKUP(Tabla14[[#This Row],[Codigo Finca]],Tabla4[Codigo Finca],Tabla4[Precio Rechazo],0)</f>
        <v>575</v>
      </c>
      <c r="L570" s="277">
        <f t="shared" si="568"/>
        <v>1297</v>
      </c>
      <c r="M570" s="278">
        <f t="shared" si="569"/>
        <v>6.6173469387755102</v>
      </c>
      <c r="N570" s="283"/>
      <c r="O570" s="279"/>
      <c r="P570" s="280">
        <f t="shared" si="570"/>
        <v>0</v>
      </c>
      <c r="Q570" s="281">
        <f t="shared" si="571"/>
        <v>0</v>
      </c>
      <c r="R570" s="282">
        <f t="shared" si="572"/>
        <v>0</v>
      </c>
      <c r="S570" s="283">
        <f>1435-138</f>
        <v>1297</v>
      </c>
      <c r="T570" s="275">
        <v>16</v>
      </c>
      <c r="U570" s="280">
        <f t="shared" si="573"/>
        <v>196</v>
      </c>
      <c r="V570" s="281">
        <f t="shared" si="574"/>
        <v>12.25</v>
      </c>
      <c r="W570" s="282">
        <f t="shared" si="575"/>
        <v>24500</v>
      </c>
      <c r="X570" s="283"/>
      <c r="Y570" s="275"/>
      <c r="Z570" s="280">
        <f>Tabla14[[#This Row],[Cajas Segunda]]</f>
        <v>0</v>
      </c>
      <c r="AA570" s="281">
        <f t="shared" si="576"/>
        <v>0</v>
      </c>
      <c r="AB570" s="284">
        <f t="shared" si="577"/>
        <v>0</v>
      </c>
      <c r="AC570" s="285"/>
      <c r="AD570" s="286">
        <v>5000</v>
      </c>
      <c r="AE570" s="286"/>
      <c r="AF570" s="286"/>
      <c r="AG570" s="286">
        <v>16</v>
      </c>
      <c r="AH570" s="280">
        <f t="shared" si="578"/>
        <v>200</v>
      </c>
      <c r="AI570" s="281">
        <f t="shared" si="579"/>
        <v>12.5</v>
      </c>
      <c r="AJ570" s="282">
        <f t="shared" si="580"/>
        <v>7187.5</v>
      </c>
      <c r="AK570" s="287">
        <f>Tabla14[[#This Row],[Cajas por Personas]]</f>
        <v>0</v>
      </c>
      <c r="AL570" s="288">
        <f>Tabla14[[#This Row],[Valor Precorte Pesona]]</f>
        <v>0</v>
      </c>
      <c r="AM570" s="294">
        <f>Tabla14[[#This Row],[Personas Precorte]]</f>
        <v>0</v>
      </c>
      <c r="AN570" s="308">
        <f>Tabla14[[#This Row],[Valor Precorte Pesona Precorte]]*Tabla14[[#This Row],[Perzonas Precorte]]</f>
        <v>0</v>
      </c>
      <c r="AO570" s="287">
        <f>Tabla14[[#This Row],[Cajas por Personas2]]</f>
        <v>12.25</v>
      </c>
      <c r="AP570" s="288">
        <f>Tabla14[[#This Row],[Valor Embarque Pesona]]</f>
        <v>24500</v>
      </c>
      <c r="AQ570" s="295">
        <f>Tabla14[[#This Row],[Personas Precorte2]]</f>
        <v>16</v>
      </c>
      <c r="AR570" s="296">
        <f>Tabla14[[#This Row],[Valor Embarque Pesona3]]*Tabla14[[#This Row],[Perzona Primera]]</f>
        <v>392000</v>
      </c>
      <c r="AS570" s="287">
        <f>Tabla14[[#This Row],[Columna2]]</f>
        <v>0</v>
      </c>
      <c r="AT570" s="288">
        <f>Tabla14[[#This Row],[Columna1]]</f>
        <v>0</v>
      </c>
      <c r="AU570" s="302">
        <f>Tabla14[[#This Row],[Personas Intervienen]]</f>
        <v>0</v>
      </c>
      <c r="AV570" s="297">
        <f>Tabla14[[#This Row],[Valor Embarque Pesona5]]*Tabla14[[#This Row],[Presonas Segunda]]</f>
        <v>0</v>
      </c>
      <c r="AW570" s="287">
        <f>Tabla14[[#This Row],[Bolsas Por Personas]]</f>
        <v>12.5</v>
      </c>
      <c r="AX570" s="288">
        <f>Tabla14[[#This Row],[Valor bolsas Pesona]]</f>
        <v>7187.5</v>
      </c>
      <c r="AY570" s="309">
        <f>Tabla14[[#This Row],[Personas13]]</f>
        <v>16</v>
      </c>
      <c r="AZ570" s="310">
        <f>Tabla14[[#This Row],[Valor bolsas Pesona2]]*Tabla14[[#This Row],[Personas Rechazo]]</f>
        <v>115000</v>
      </c>
      <c r="BA570" s="311">
        <f>+Tabla14[[#This Row],[Total Valor Segunda]]+Tabla14[[#This Row],[Total Valor Primera]]+Tabla14[[#This Row],[Total Valor Precorte]]</f>
        <v>392000</v>
      </c>
      <c r="BB570" s="292">
        <f>Tabla14[[#This Row],[Valor bolsas Pesona2]]+Tabla14[[#This Row],[Valor Embarque Pesona3]]</f>
        <v>31687.5</v>
      </c>
      <c r="BC570" s="332">
        <v>45000</v>
      </c>
      <c r="BD570" s="292">
        <f>Tabla14[[#This Row],[VALOR GANADO]]-Tabla14[[#This Row],[REAJUSTADO]]</f>
        <v>-13312.5</v>
      </c>
      <c r="BE570" s="250">
        <f>Tabla14[[#This Row],[CUANTO SE REAJUSTA]]*Tabla14[[#This Row],[Personas Rechazo]]</f>
        <v>-213000</v>
      </c>
      <c r="BF570" s="250">
        <f>Tabla14[[#This Row],[REAJUSTADO]]/25000</f>
        <v>1.8</v>
      </c>
      <c r="BG570" s="302">
        <f>Tabla14[[#This Row],[REAJUSTADO]]*Tabla14[[#This Row],[Personas Rechazo]]</f>
        <v>720000</v>
      </c>
      <c r="BH570" s="292" t="str">
        <f>Tabla14[[#This Row],[Finca]]</f>
        <v>San Pedro</v>
      </c>
      <c r="BJ570" s="332">
        <f>Tabla14[[#This Row],[Numero de Ocacionales]]*Tabla14[[#This Row],[REAJUSTADO]]</f>
        <v>0</v>
      </c>
      <c r="BK570" s="332"/>
      <c r="BL570" s="332"/>
      <c r="BM570" s="332">
        <f>+Tabla14[[#This Row],[CUANTO SE REAJUSTA]]*3</f>
        <v>-39937.5</v>
      </c>
    </row>
    <row r="571" spans="3:65" x14ac:dyDescent="0.25">
      <c r="C571" s="515">
        <v>45348</v>
      </c>
      <c r="D571" s="549">
        <f>YEAR(Tabla14[[#This Row],[Fecha]])</f>
        <v>2024</v>
      </c>
      <c r="E571" s="516">
        <f>IF(Tabla14[[#This Row],[Fecha]]&gt;0,_xlfn.ISOWEEKNUM(Tabla14[[#This Row],[Fecha]]),0)</f>
        <v>9</v>
      </c>
      <c r="F571" s="283">
        <v>88</v>
      </c>
      <c r="G571" s="275" t="s">
        <v>272</v>
      </c>
      <c r="H571" s="325" t="str">
        <f>_xlfn.XLOOKUP(Tabla14[[#This Row],[Codigo Finca]],Tabla4[Codigo Finca],Tabla4[Nombre Finca],"")</f>
        <v>Pedrito</v>
      </c>
      <c r="I571" s="277">
        <f>_xlfn.XLOOKUP(Tabla14[[#This Row],[Codigo Finca]],Tabla4[Codigo Finca],Tabla4[Precio Caja],0)</f>
        <v>2000</v>
      </c>
      <c r="J571" s="277">
        <f>_xlfn.XLOOKUP(Tabla14[[#This Row],[Codigo Finca]],Tabla4[Codigo Finca],Tabla4[Precio Caja Segunda],0)</f>
        <v>0</v>
      </c>
      <c r="K571" s="277">
        <f>_xlfn.XLOOKUP(Tabla14[[#This Row],[Codigo Finca]],Tabla4[Codigo Finca],Tabla4[Precio Rechazo],0)</f>
        <v>575</v>
      </c>
      <c r="L571" s="277">
        <f t="shared" si="568"/>
        <v>1026</v>
      </c>
      <c r="M571" s="278">
        <f t="shared" si="569"/>
        <v>11.659090909090908</v>
      </c>
      <c r="N571" s="283"/>
      <c r="O571" s="279"/>
      <c r="P571" s="280">
        <f t="shared" si="570"/>
        <v>0</v>
      </c>
      <c r="Q571" s="281">
        <f t="shared" si="571"/>
        <v>0</v>
      </c>
      <c r="R571" s="282">
        <f t="shared" si="572"/>
        <v>0</v>
      </c>
      <c r="S571" s="283">
        <v>1026</v>
      </c>
      <c r="T571" s="275"/>
      <c r="U571" s="280">
        <f t="shared" si="573"/>
        <v>88</v>
      </c>
      <c r="V571" s="281">
        <f t="shared" si="574"/>
        <v>0</v>
      </c>
      <c r="W571" s="282">
        <f t="shared" si="575"/>
        <v>0</v>
      </c>
      <c r="X571" s="283"/>
      <c r="Y571" s="275"/>
      <c r="Z571" s="280">
        <f>Tabla14[[#This Row],[Cajas Segunda]]</f>
        <v>0</v>
      </c>
      <c r="AA571" s="281">
        <f t="shared" si="576"/>
        <v>0</v>
      </c>
      <c r="AB571" s="284">
        <f t="shared" si="577"/>
        <v>0</v>
      </c>
      <c r="AC571" s="285"/>
      <c r="AD571" s="286"/>
      <c r="AE571" s="286"/>
      <c r="AF571" s="286"/>
      <c r="AG571" s="286"/>
      <c r="AH571" s="280">
        <f t="shared" si="578"/>
        <v>0</v>
      </c>
      <c r="AI571" s="281">
        <f t="shared" si="579"/>
        <v>0</v>
      </c>
      <c r="AJ571" s="282">
        <f t="shared" si="580"/>
        <v>0</v>
      </c>
      <c r="AK571" s="287">
        <f>Tabla14[[#This Row],[Cajas por Personas]]</f>
        <v>0</v>
      </c>
      <c r="AL571" s="288">
        <f>Tabla14[[#This Row],[Valor Precorte Pesona]]</f>
        <v>0</v>
      </c>
      <c r="AM571" s="294">
        <f>Tabla14[[#This Row],[Personas Precorte]]</f>
        <v>0</v>
      </c>
      <c r="AN571" s="308">
        <f>Tabla14[[#This Row],[Valor Precorte Pesona Precorte]]*Tabla14[[#This Row],[Perzonas Precorte]]</f>
        <v>0</v>
      </c>
      <c r="AO571" s="287">
        <f>Tabla14[[#This Row],[Cajas por Personas2]]</f>
        <v>0</v>
      </c>
      <c r="AP571" s="288">
        <f>Tabla14[[#This Row],[Valor Embarque Pesona]]</f>
        <v>0</v>
      </c>
      <c r="AQ571" s="295">
        <f>Tabla14[[#This Row],[Personas Precorte2]]</f>
        <v>0</v>
      </c>
      <c r="AR571" s="296">
        <f>Tabla14[[#This Row],[Valor Embarque Pesona3]]*Tabla14[[#This Row],[Perzona Primera]]</f>
        <v>0</v>
      </c>
      <c r="AS571" s="287">
        <f>Tabla14[[#This Row],[Columna2]]</f>
        <v>0</v>
      </c>
      <c r="AT571" s="288">
        <f>Tabla14[[#This Row],[Columna1]]</f>
        <v>0</v>
      </c>
      <c r="AU571" s="302">
        <f>Tabla14[[#This Row],[Personas Intervienen]]</f>
        <v>0</v>
      </c>
      <c r="AV571" s="297">
        <f>Tabla14[[#This Row],[Valor Embarque Pesona5]]*Tabla14[[#This Row],[Presonas Segunda]]</f>
        <v>0</v>
      </c>
      <c r="AW571" s="287">
        <f>Tabla14[[#This Row],[Bolsas Por Personas]]</f>
        <v>0</v>
      </c>
      <c r="AX571" s="288">
        <f>Tabla14[[#This Row],[Valor bolsas Pesona]]</f>
        <v>0</v>
      </c>
      <c r="AY571" s="309">
        <f>Tabla14[[#This Row],[Personas13]]</f>
        <v>0</v>
      </c>
      <c r="AZ571" s="310">
        <f>Tabla14[[#This Row],[Valor bolsas Pesona2]]*Tabla14[[#This Row],[Personas Rechazo]]</f>
        <v>0</v>
      </c>
      <c r="BA571" s="311">
        <f>+Tabla14[[#This Row],[Total Valor Segunda]]+Tabla14[[#This Row],[Total Valor Primera]]+Tabla14[[#This Row],[Total Valor Precorte]]</f>
        <v>0</v>
      </c>
      <c r="BB571" s="292">
        <f>Tabla14[[#This Row],[Valor bolsas Pesona2]]+Tabla14[[#This Row],[Valor Embarque Pesona3]]</f>
        <v>0</v>
      </c>
      <c r="BD571" s="292">
        <f>Tabla14[[#This Row],[VALOR GANADO]]-Tabla14[[#This Row],[REAJUSTADO]]</f>
        <v>0</v>
      </c>
      <c r="BE571" s="250">
        <f>Tabla14[[#This Row],[CUANTO SE REAJUSTA]]*Tabla14[[#This Row],[Personas Rechazo]]</f>
        <v>0</v>
      </c>
      <c r="BF571" s="250">
        <f>Tabla14[[#This Row],[REAJUSTADO]]/25000</f>
        <v>0</v>
      </c>
      <c r="BG571" s="302">
        <f>Tabla14[[#This Row],[REAJUSTADO]]*Tabla14[[#This Row],[Personas Rechazo]]</f>
        <v>0</v>
      </c>
      <c r="BH571" s="292" t="str">
        <f>Tabla14[[#This Row],[Finca]]</f>
        <v>Pedrito</v>
      </c>
      <c r="BJ571" s="332">
        <f>Tabla14[[#This Row],[Numero de Ocacionales]]*Tabla14[[#This Row],[REAJUSTADO]]</f>
        <v>0</v>
      </c>
      <c r="BK571" s="332"/>
      <c r="BL571" s="332"/>
      <c r="BM571" s="332">
        <f>+Tabla14[[#This Row],[CUANTO SE REAJUSTA]]*3</f>
        <v>0</v>
      </c>
    </row>
    <row r="572" spans="3:65" x14ac:dyDescent="0.25">
      <c r="C572" s="515">
        <v>45349</v>
      </c>
      <c r="D572" s="549">
        <f>YEAR(Tabla14[[#This Row],[Fecha]])</f>
        <v>2024</v>
      </c>
      <c r="E572" s="516">
        <f>IF(Tabla14[[#This Row],[Fecha]]&gt;0,_xlfn.ISOWEEKNUM(Tabla14[[#This Row],[Fecha]]),0)</f>
        <v>9</v>
      </c>
      <c r="F572" s="283">
        <v>78</v>
      </c>
      <c r="G572" s="275" t="s">
        <v>274</v>
      </c>
      <c r="H572" s="325" t="str">
        <f>_xlfn.XLOOKUP(Tabla14[[#This Row],[Codigo Finca]],Tabla4[Codigo Finca],Tabla4[Nombre Finca],"")</f>
        <v>San Pedro</v>
      </c>
      <c r="I572" s="277">
        <f>_xlfn.XLOOKUP(Tabla14[[#This Row],[Codigo Finca]],Tabla4[Codigo Finca],Tabla4[Precio Caja],0)</f>
        <v>2000</v>
      </c>
      <c r="J572" s="277">
        <f>_xlfn.XLOOKUP(Tabla14[[#This Row],[Codigo Finca]],Tabla4[Codigo Finca],Tabla4[Precio Caja Segunda],0)</f>
        <v>0</v>
      </c>
      <c r="K572" s="277">
        <f>_xlfn.XLOOKUP(Tabla14[[#This Row],[Codigo Finca]],Tabla4[Codigo Finca],Tabla4[Precio Rechazo],0)</f>
        <v>575</v>
      </c>
      <c r="L572" s="277">
        <f t="shared" si="568"/>
        <v>606</v>
      </c>
      <c r="M572" s="278">
        <f t="shared" si="569"/>
        <v>7.7692307692307692</v>
      </c>
      <c r="N572" s="283"/>
      <c r="O572" s="279"/>
      <c r="P572" s="280">
        <f t="shared" si="570"/>
        <v>0</v>
      </c>
      <c r="Q572" s="281">
        <f t="shared" si="571"/>
        <v>0</v>
      </c>
      <c r="R572" s="282">
        <f t="shared" si="572"/>
        <v>0</v>
      </c>
      <c r="S572" s="283">
        <v>606</v>
      </c>
      <c r="T572" s="275">
        <v>15</v>
      </c>
      <c r="U572" s="280">
        <f t="shared" si="573"/>
        <v>78</v>
      </c>
      <c r="V572" s="281">
        <f t="shared" si="574"/>
        <v>5.2</v>
      </c>
      <c r="W572" s="282">
        <f t="shared" si="575"/>
        <v>10400</v>
      </c>
      <c r="X572" s="283"/>
      <c r="Y572" s="275"/>
      <c r="Z572" s="280">
        <f>Tabla14[[#This Row],[Cajas Segunda]]</f>
        <v>0</v>
      </c>
      <c r="AA572" s="281">
        <f t="shared" si="576"/>
        <v>0</v>
      </c>
      <c r="AB572" s="284">
        <f t="shared" si="577"/>
        <v>0</v>
      </c>
      <c r="AC572" s="285"/>
      <c r="AD572" s="286"/>
      <c r="AE572" s="286"/>
      <c r="AF572" s="286"/>
      <c r="AG572" s="286"/>
      <c r="AH572" s="280">
        <f t="shared" si="578"/>
        <v>0</v>
      </c>
      <c r="AI572" s="281">
        <f t="shared" si="579"/>
        <v>0</v>
      </c>
      <c r="AJ572" s="282">
        <f t="shared" si="580"/>
        <v>0</v>
      </c>
      <c r="AK572" s="287">
        <f>Tabla14[[#This Row],[Cajas por Personas]]</f>
        <v>0</v>
      </c>
      <c r="AL572" s="288">
        <f>Tabla14[[#This Row],[Valor Precorte Pesona]]</f>
        <v>0</v>
      </c>
      <c r="AM572" s="294">
        <f>Tabla14[[#This Row],[Personas Precorte]]</f>
        <v>0</v>
      </c>
      <c r="AN572" s="308">
        <f>Tabla14[[#This Row],[Valor Precorte Pesona Precorte]]*Tabla14[[#This Row],[Perzonas Precorte]]</f>
        <v>0</v>
      </c>
      <c r="AO572" s="287">
        <f>Tabla14[[#This Row],[Cajas por Personas2]]</f>
        <v>5.2</v>
      </c>
      <c r="AP572" s="288">
        <f>Tabla14[[#This Row],[Valor Embarque Pesona]]</f>
        <v>10400</v>
      </c>
      <c r="AQ572" s="295">
        <f>Tabla14[[#This Row],[Personas Precorte2]]</f>
        <v>15</v>
      </c>
      <c r="AR572" s="296">
        <f>Tabla14[[#This Row],[Valor Embarque Pesona3]]*Tabla14[[#This Row],[Perzona Primera]]</f>
        <v>156000</v>
      </c>
      <c r="AS572" s="287">
        <f>Tabla14[[#This Row],[Columna2]]</f>
        <v>0</v>
      </c>
      <c r="AT572" s="288">
        <f>Tabla14[[#This Row],[Columna1]]</f>
        <v>0</v>
      </c>
      <c r="AU572" s="302">
        <f>Tabla14[[#This Row],[Personas Intervienen]]</f>
        <v>0</v>
      </c>
      <c r="AV572" s="297">
        <f>Tabla14[[#This Row],[Valor Embarque Pesona5]]*Tabla14[[#This Row],[Presonas Segunda]]</f>
        <v>0</v>
      </c>
      <c r="AW572" s="287">
        <f>Tabla14[[#This Row],[Bolsas Por Personas]]</f>
        <v>0</v>
      </c>
      <c r="AX572" s="288">
        <f>Tabla14[[#This Row],[Valor bolsas Pesona]]</f>
        <v>0</v>
      </c>
      <c r="AY572" s="309">
        <f>Tabla14[[#This Row],[Personas13]]</f>
        <v>0</v>
      </c>
      <c r="AZ572" s="310">
        <f>Tabla14[[#This Row],[Valor bolsas Pesona2]]*Tabla14[[#This Row],[Personas Rechazo]]</f>
        <v>0</v>
      </c>
      <c r="BA572" s="311">
        <f>+Tabla14[[#This Row],[Total Valor Segunda]]+Tabla14[[#This Row],[Total Valor Primera]]+Tabla14[[#This Row],[Total Valor Precorte]]</f>
        <v>156000</v>
      </c>
      <c r="BB572" s="292">
        <f>Tabla14[[#This Row],[Valor bolsas Pesona2]]+Tabla14[[#This Row],[Valor Embarque Pesona3]]</f>
        <v>10400</v>
      </c>
      <c r="BC572" s="332">
        <f>+Tabla14[[#This Row],[VALOR GANADO]]+BB573</f>
        <v>10693.333333333334</v>
      </c>
      <c r="BD572" s="292">
        <f>Tabla14[[#This Row],[VALOR GANADO]]-Tabla14[[#This Row],[REAJUSTADO]]</f>
        <v>-293.33333333333394</v>
      </c>
      <c r="BE572" s="250">
        <f>Tabla14[[#This Row],[CUANTO SE REAJUSTA]]*Tabla14[[#This Row],[Personas Rechazo]]</f>
        <v>0</v>
      </c>
      <c r="BF572" s="250">
        <f>Tabla14[[#This Row],[REAJUSTADO]]/25000</f>
        <v>0.42773333333333335</v>
      </c>
      <c r="BG572" s="302">
        <f>Tabla14[[#This Row],[REAJUSTADO]]*Tabla14[[#This Row],[Personas Rechazo]]</f>
        <v>0</v>
      </c>
      <c r="BH572" s="292" t="str">
        <f>Tabla14[[#This Row],[Finca]]</f>
        <v>San Pedro</v>
      </c>
      <c r="BJ572" s="332">
        <f>Tabla14[[#This Row],[Numero de Ocacionales]]*Tabla14[[#This Row],[REAJUSTADO]]</f>
        <v>0</v>
      </c>
      <c r="BK572" s="332"/>
      <c r="BL572" s="332"/>
      <c r="BM572" s="332">
        <f>+Tabla14[[#This Row],[CUANTO SE REAJUSTA]]*3</f>
        <v>-880.00000000000182</v>
      </c>
    </row>
    <row r="573" spans="3:65" x14ac:dyDescent="0.25">
      <c r="C573" s="515">
        <v>45349</v>
      </c>
      <c r="D573" s="549">
        <f>YEAR(Tabla14[[#This Row],[Fecha]])</f>
        <v>2024</v>
      </c>
      <c r="E573" s="516">
        <f>IF(Tabla14[[#This Row],[Fecha]]&gt;0,_xlfn.ISOWEEKNUM(Tabla14[[#This Row],[Fecha]]),0)</f>
        <v>9</v>
      </c>
      <c r="F573" s="283">
        <v>2</v>
      </c>
      <c r="G573" s="275" t="s">
        <v>273</v>
      </c>
      <c r="H573" s="325" t="str">
        <f>_xlfn.XLOOKUP(Tabla14[[#This Row],[Codigo Finca]],Tabla4[Codigo Finca],Tabla4[Nombre Finca],"")</f>
        <v>San Pedro</v>
      </c>
      <c r="I573" s="277">
        <f>_xlfn.XLOOKUP(Tabla14[[#This Row],[Codigo Finca]],Tabla4[Codigo Finca],Tabla4[Precio Caja],0)</f>
        <v>2200</v>
      </c>
      <c r="J573" s="277">
        <f>_xlfn.XLOOKUP(Tabla14[[#This Row],[Codigo Finca]],Tabla4[Codigo Finca],Tabla4[Precio Caja Segunda],0)</f>
        <v>0</v>
      </c>
      <c r="K573" s="277">
        <f>_xlfn.XLOOKUP(Tabla14[[#This Row],[Codigo Finca]],Tabla4[Codigo Finca],Tabla4[Precio Rechazo],0)</f>
        <v>675</v>
      </c>
      <c r="L573" s="277">
        <f t="shared" si="568"/>
        <v>30</v>
      </c>
      <c r="M573" s="278">
        <f t="shared" si="569"/>
        <v>15</v>
      </c>
      <c r="N573" s="283"/>
      <c r="O573" s="279"/>
      <c r="P573" s="280">
        <f t="shared" si="570"/>
        <v>0</v>
      </c>
      <c r="Q573" s="281">
        <f t="shared" si="571"/>
        <v>0</v>
      </c>
      <c r="R573" s="282">
        <f t="shared" si="572"/>
        <v>0</v>
      </c>
      <c r="S573" s="283">
        <v>30</v>
      </c>
      <c r="T573" s="275">
        <v>15</v>
      </c>
      <c r="U573" s="280">
        <f t="shared" si="573"/>
        <v>2</v>
      </c>
      <c r="V573" s="281">
        <f t="shared" si="574"/>
        <v>0.13333333333333333</v>
      </c>
      <c r="W573" s="282">
        <f t="shared" si="575"/>
        <v>293.33333333333331</v>
      </c>
      <c r="X573" s="283"/>
      <c r="Y573" s="275"/>
      <c r="Z573" s="280">
        <f>Tabla14[[#This Row],[Cajas Segunda]]</f>
        <v>0</v>
      </c>
      <c r="AA573" s="281">
        <f t="shared" si="576"/>
        <v>0</v>
      </c>
      <c r="AB573" s="284">
        <f t="shared" si="577"/>
        <v>0</v>
      </c>
      <c r="AC573" s="285"/>
      <c r="AD573" s="286"/>
      <c r="AE573" s="286"/>
      <c r="AF573" s="286"/>
      <c r="AG573" s="286"/>
      <c r="AH573" s="280">
        <f t="shared" si="578"/>
        <v>0</v>
      </c>
      <c r="AI573" s="281">
        <f t="shared" si="579"/>
        <v>0</v>
      </c>
      <c r="AJ573" s="282">
        <f t="shared" si="580"/>
        <v>0</v>
      </c>
      <c r="AK573" s="287">
        <f>Tabla14[[#This Row],[Cajas por Personas]]</f>
        <v>0</v>
      </c>
      <c r="AL573" s="288">
        <f>Tabla14[[#This Row],[Valor Precorte Pesona]]</f>
        <v>0</v>
      </c>
      <c r="AM573" s="294">
        <f>Tabla14[[#This Row],[Personas Precorte]]</f>
        <v>0</v>
      </c>
      <c r="AN573" s="308">
        <f>Tabla14[[#This Row],[Valor Precorte Pesona Precorte]]*Tabla14[[#This Row],[Perzonas Precorte]]</f>
        <v>0</v>
      </c>
      <c r="AO573" s="287">
        <f>Tabla14[[#This Row],[Cajas por Personas2]]</f>
        <v>0.13333333333333333</v>
      </c>
      <c r="AP573" s="288">
        <f>Tabla14[[#This Row],[Valor Embarque Pesona]]</f>
        <v>293.33333333333331</v>
      </c>
      <c r="AQ573" s="295">
        <f>Tabla14[[#This Row],[Personas Precorte2]]</f>
        <v>15</v>
      </c>
      <c r="AR573" s="296">
        <f>Tabla14[[#This Row],[Valor Embarque Pesona3]]*Tabla14[[#This Row],[Perzona Primera]]</f>
        <v>4400</v>
      </c>
      <c r="AS573" s="287">
        <f>Tabla14[[#This Row],[Columna2]]</f>
        <v>0</v>
      </c>
      <c r="AT573" s="288">
        <f>Tabla14[[#This Row],[Columna1]]</f>
        <v>0</v>
      </c>
      <c r="AU573" s="302">
        <f>Tabla14[[#This Row],[Personas Intervienen]]</f>
        <v>0</v>
      </c>
      <c r="AV573" s="297">
        <f>Tabla14[[#This Row],[Valor Embarque Pesona5]]*Tabla14[[#This Row],[Presonas Segunda]]</f>
        <v>0</v>
      </c>
      <c r="AW573" s="287">
        <f>Tabla14[[#This Row],[Bolsas Por Personas]]</f>
        <v>0</v>
      </c>
      <c r="AX573" s="288">
        <f>Tabla14[[#This Row],[Valor bolsas Pesona]]</f>
        <v>0</v>
      </c>
      <c r="AY573" s="309">
        <f>Tabla14[[#This Row],[Personas13]]</f>
        <v>0</v>
      </c>
      <c r="AZ573" s="310">
        <f>Tabla14[[#This Row],[Valor bolsas Pesona2]]*Tabla14[[#This Row],[Personas Rechazo]]</f>
        <v>0</v>
      </c>
      <c r="BA573" s="311">
        <f>+Tabla14[[#This Row],[Total Valor Segunda]]+Tabla14[[#This Row],[Total Valor Primera]]+Tabla14[[#This Row],[Total Valor Precorte]]</f>
        <v>4400</v>
      </c>
      <c r="BB573" s="292">
        <f>Tabla14[[#This Row],[Valor bolsas Pesona2]]+Tabla14[[#This Row],[Valor Embarque Pesona3]]</f>
        <v>293.33333333333331</v>
      </c>
      <c r="BC573" s="332">
        <v>40000</v>
      </c>
      <c r="BD573" s="292">
        <f>Tabla14[[#This Row],[VALOR GANADO]]-Tabla14[[#This Row],[REAJUSTADO]]</f>
        <v>-39706.666666666664</v>
      </c>
      <c r="BE573" s="250">
        <f>Tabla14[[#This Row],[CUANTO SE REAJUSTA]]*Tabla14[[#This Row],[Personas Rechazo]]</f>
        <v>0</v>
      </c>
      <c r="BF573" s="250">
        <f>Tabla14[[#This Row],[REAJUSTADO]]/25000</f>
        <v>1.6</v>
      </c>
      <c r="BG573" s="302">
        <f>Tabla14[[#This Row],[REAJUSTADO]]*Tabla14[[#This Row],[Personas Rechazo]]</f>
        <v>0</v>
      </c>
      <c r="BH573" s="292" t="str">
        <f>Tabla14[[#This Row],[Finca]]</f>
        <v>San Pedro</v>
      </c>
      <c r="BJ573" s="332">
        <f>Tabla14[[#This Row],[Numero de Ocacionales]]*Tabla14[[#This Row],[REAJUSTADO]]</f>
        <v>0</v>
      </c>
      <c r="BK573" s="332"/>
      <c r="BL573" s="332"/>
      <c r="BM573" s="332">
        <f>+Tabla14[[#This Row],[CUANTO SE REAJUSTA]]*3</f>
        <v>-119120</v>
      </c>
    </row>
    <row r="574" spans="3:65" x14ac:dyDescent="0.25">
      <c r="C574" s="515">
        <v>45356</v>
      </c>
      <c r="D574" s="549">
        <f>YEAR(Tabla14[[#This Row],[Fecha]])</f>
        <v>2024</v>
      </c>
      <c r="E574" s="516">
        <f>IF(Tabla14[[#This Row],[Fecha]]&gt;0,_xlfn.ISOWEEKNUM(Tabla14[[#This Row],[Fecha]]),0)</f>
        <v>10</v>
      </c>
      <c r="F574" s="283">
        <v>80</v>
      </c>
      <c r="G574" s="275" t="s">
        <v>272</v>
      </c>
      <c r="H574" s="325" t="str">
        <f>_xlfn.XLOOKUP(Tabla14[[#This Row],[Codigo Finca]],Tabla4[Codigo Finca],Tabla4[Nombre Finca],"")</f>
        <v>Pedrito</v>
      </c>
      <c r="I574" s="277">
        <f>_xlfn.XLOOKUP(Tabla14[[#This Row],[Codigo Finca]],Tabla4[Codigo Finca],Tabla4[Precio Caja],0)</f>
        <v>2000</v>
      </c>
      <c r="J574" s="277">
        <f>_xlfn.XLOOKUP(Tabla14[[#This Row],[Codigo Finca]],Tabla4[Codigo Finca],Tabla4[Precio Caja Segunda],0)</f>
        <v>0</v>
      </c>
      <c r="K574" s="277">
        <f>_xlfn.XLOOKUP(Tabla14[[#This Row],[Codigo Finca]],Tabla4[Codigo Finca],Tabla4[Precio Rechazo],0)</f>
        <v>575</v>
      </c>
      <c r="L574" s="277">
        <f t="shared" si="568"/>
        <v>905</v>
      </c>
      <c r="M574" s="278">
        <f t="shared" si="569"/>
        <v>11.3125</v>
      </c>
      <c r="N574" s="283"/>
      <c r="O574" s="279"/>
      <c r="P574" s="280">
        <f t="shared" si="570"/>
        <v>0</v>
      </c>
      <c r="Q574" s="281">
        <f t="shared" si="571"/>
        <v>0</v>
      </c>
      <c r="R574" s="282">
        <f t="shared" si="572"/>
        <v>0</v>
      </c>
      <c r="S574" s="283">
        <v>905</v>
      </c>
      <c r="T574" s="275">
        <v>15</v>
      </c>
      <c r="U574" s="280">
        <f t="shared" si="573"/>
        <v>80</v>
      </c>
      <c r="V574" s="281">
        <f t="shared" si="574"/>
        <v>5.333333333333333</v>
      </c>
      <c r="W574" s="282">
        <f t="shared" si="575"/>
        <v>10666.666666666666</v>
      </c>
      <c r="X574" s="283"/>
      <c r="Y574" s="275"/>
      <c r="Z574" s="280">
        <f>Tabla14[[#This Row],[Cajas Segunda]]</f>
        <v>0</v>
      </c>
      <c r="AA574" s="281">
        <f t="shared" si="576"/>
        <v>0</v>
      </c>
      <c r="AB574" s="284">
        <f t="shared" si="577"/>
        <v>0</v>
      </c>
      <c r="AC574" s="285"/>
      <c r="AD574" s="286">
        <v>2290</v>
      </c>
      <c r="AE574" s="286"/>
      <c r="AF574" s="286"/>
      <c r="AG574" s="286">
        <v>15</v>
      </c>
      <c r="AH574" s="280">
        <f t="shared" si="578"/>
        <v>91.6</v>
      </c>
      <c r="AI574" s="281">
        <f t="shared" si="579"/>
        <v>6.1066666666666665</v>
      </c>
      <c r="AJ574" s="282">
        <f t="shared" si="580"/>
        <v>3511.333333333333</v>
      </c>
      <c r="AK574" s="287">
        <f>Tabla14[[#This Row],[Cajas por Personas]]</f>
        <v>0</v>
      </c>
      <c r="AL574" s="288">
        <f>Tabla14[[#This Row],[Valor Precorte Pesona]]</f>
        <v>0</v>
      </c>
      <c r="AM574" s="294">
        <f>Tabla14[[#This Row],[Personas Precorte]]</f>
        <v>0</v>
      </c>
      <c r="AN574" s="308">
        <f>Tabla14[[#This Row],[Valor Precorte Pesona Precorte]]*Tabla14[[#This Row],[Perzonas Precorte]]</f>
        <v>0</v>
      </c>
      <c r="AO574" s="287">
        <f>Tabla14[[#This Row],[Cajas por Personas2]]</f>
        <v>5.333333333333333</v>
      </c>
      <c r="AP574" s="288">
        <f>Tabla14[[#This Row],[Valor Embarque Pesona]]</f>
        <v>10666.666666666666</v>
      </c>
      <c r="AQ574" s="295">
        <f>Tabla14[[#This Row],[Personas Precorte2]]</f>
        <v>15</v>
      </c>
      <c r="AR574" s="296">
        <f>Tabla14[[#This Row],[Valor Embarque Pesona3]]*Tabla14[[#This Row],[Perzona Primera]]</f>
        <v>160000</v>
      </c>
      <c r="AS574" s="287">
        <f>Tabla14[[#This Row],[Columna2]]</f>
        <v>0</v>
      </c>
      <c r="AT574" s="288">
        <f>Tabla14[[#This Row],[Columna1]]</f>
        <v>0</v>
      </c>
      <c r="AU574" s="302">
        <f>Tabla14[[#This Row],[Personas Intervienen]]</f>
        <v>0</v>
      </c>
      <c r="AV574" s="297">
        <f>Tabla14[[#This Row],[Valor Embarque Pesona5]]*Tabla14[[#This Row],[Presonas Segunda]]</f>
        <v>0</v>
      </c>
      <c r="AW574" s="287">
        <f>Tabla14[[#This Row],[Bolsas Por Personas]]</f>
        <v>6.1066666666666665</v>
      </c>
      <c r="AX574" s="288">
        <f>Tabla14[[#This Row],[Valor bolsas Pesona]]</f>
        <v>3511.333333333333</v>
      </c>
      <c r="AY574" s="309">
        <f>Tabla14[[#This Row],[Personas13]]</f>
        <v>15</v>
      </c>
      <c r="AZ574" s="310">
        <f>Tabla14[[#This Row],[Valor bolsas Pesona2]]*Tabla14[[#This Row],[Personas Rechazo]]</f>
        <v>52669.999999999993</v>
      </c>
      <c r="BA574" s="311">
        <f>+Tabla14[[#This Row],[Total Valor Segunda]]+Tabla14[[#This Row],[Total Valor Primera]]+Tabla14[[#This Row],[Total Valor Precorte]]</f>
        <v>160000</v>
      </c>
      <c r="BB574" s="292">
        <f>Tabla14[[#This Row],[Valor bolsas Pesona2]]+Tabla14[[#This Row],[Valor Embarque Pesona3]]</f>
        <v>14178</v>
      </c>
      <c r="BC574" s="332">
        <v>40000</v>
      </c>
      <c r="BD574" s="292">
        <f>Tabla14[[#This Row],[VALOR GANADO]]-Tabla14[[#This Row],[REAJUSTADO]]</f>
        <v>-25822</v>
      </c>
      <c r="BE574" s="250">
        <f>Tabla14[[#This Row],[CUANTO SE REAJUSTA]]*Tabla14[[#This Row],[Personas Rechazo]]</f>
        <v>-387330</v>
      </c>
      <c r="BF574" s="250">
        <f>Tabla14[[#This Row],[REAJUSTADO]]/25000</f>
        <v>1.6</v>
      </c>
      <c r="BG574" s="302">
        <f>Tabla14[[#This Row],[REAJUSTADO]]*Tabla14[[#This Row],[Personas Rechazo]]</f>
        <v>600000</v>
      </c>
      <c r="BH574" s="292" t="str">
        <f>Tabla14[[#This Row],[Finca]]</f>
        <v>Pedrito</v>
      </c>
      <c r="BJ574" s="332">
        <f>Tabla14[[#This Row],[Numero de Ocacionales]]*Tabla14[[#This Row],[REAJUSTADO]]</f>
        <v>0</v>
      </c>
      <c r="BK574" s="332"/>
      <c r="BL574" s="332"/>
      <c r="BM574" s="332">
        <f>+Tabla14[[#This Row],[CUANTO SE REAJUSTA]]*3</f>
        <v>-77466</v>
      </c>
    </row>
    <row r="575" spans="3:65" x14ac:dyDescent="0.25">
      <c r="C575" s="515">
        <v>45357</v>
      </c>
      <c r="D575" s="549">
        <f>YEAR(Tabla14[[#This Row],[Fecha]])</f>
        <v>2024</v>
      </c>
      <c r="E575" s="516">
        <f>IF(Tabla14[[#This Row],[Fecha]]&gt;0,_xlfn.ISOWEEKNUM(Tabla14[[#This Row],[Fecha]]),0)</f>
        <v>10</v>
      </c>
      <c r="F575" s="283">
        <v>57</v>
      </c>
      <c r="G575" s="275" t="s">
        <v>274</v>
      </c>
      <c r="H575" s="325" t="str">
        <f>_xlfn.XLOOKUP(Tabla14[[#This Row],[Codigo Finca]],Tabla4[Codigo Finca],Tabla4[Nombre Finca],"")</f>
        <v>San Pedro</v>
      </c>
      <c r="I575" s="277">
        <f>_xlfn.XLOOKUP(Tabla14[[#This Row],[Codigo Finca]],Tabla4[Codigo Finca],Tabla4[Precio Caja],0)</f>
        <v>2000</v>
      </c>
      <c r="J575" s="277">
        <f>_xlfn.XLOOKUP(Tabla14[[#This Row],[Codigo Finca]],Tabla4[Codigo Finca],Tabla4[Precio Caja Segunda],0)</f>
        <v>0</v>
      </c>
      <c r="K575" s="277">
        <f>_xlfn.XLOOKUP(Tabla14[[#This Row],[Codigo Finca]],Tabla4[Codigo Finca],Tabla4[Precio Rechazo],0)</f>
        <v>575</v>
      </c>
      <c r="L575" s="277">
        <f t="shared" si="568"/>
        <v>448</v>
      </c>
      <c r="M575" s="278">
        <f t="shared" si="569"/>
        <v>7.8596491228070171</v>
      </c>
      <c r="N575" s="283"/>
      <c r="O575" s="279"/>
      <c r="P575" s="280">
        <f t="shared" si="570"/>
        <v>0</v>
      </c>
      <c r="Q575" s="281">
        <f t="shared" si="571"/>
        <v>0</v>
      </c>
      <c r="R575" s="282">
        <f t="shared" si="572"/>
        <v>0</v>
      </c>
      <c r="S575" s="283">
        <v>448</v>
      </c>
      <c r="T575" s="275">
        <v>15</v>
      </c>
      <c r="U575" s="280">
        <f t="shared" si="573"/>
        <v>57</v>
      </c>
      <c r="V575" s="281">
        <f t="shared" si="574"/>
        <v>3.8</v>
      </c>
      <c r="W575" s="282">
        <f t="shared" si="575"/>
        <v>7600</v>
      </c>
      <c r="X575" s="283"/>
      <c r="Y575" s="275"/>
      <c r="Z575" s="280">
        <f>Tabla14[[#This Row],[Cajas Segunda]]</f>
        <v>0</v>
      </c>
      <c r="AA575" s="281">
        <f t="shared" si="576"/>
        <v>0</v>
      </c>
      <c r="AB575" s="284">
        <f t="shared" si="577"/>
        <v>0</v>
      </c>
      <c r="AC575" s="285"/>
      <c r="AD575" s="286">
        <v>2742</v>
      </c>
      <c r="AE575" s="286"/>
      <c r="AF575" s="286"/>
      <c r="AG575" s="286">
        <v>15</v>
      </c>
      <c r="AH575" s="280">
        <f t="shared" si="578"/>
        <v>109.68</v>
      </c>
      <c r="AI575" s="281">
        <f t="shared" si="579"/>
        <v>7.3120000000000003</v>
      </c>
      <c r="AJ575" s="282">
        <f t="shared" si="580"/>
        <v>4204.4000000000005</v>
      </c>
      <c r="AK575" s="287">
        <f>Tabla14[[#This Row],[Cajas por Personas]]</f>
        <v>0</v>
      </c>
      <c r="AL575" s="288">
        <f>Tabla14[[#This Row],[Valor Precorte Pesona]]</f>
        <v>0</v>
      </c>
      <c r="AM575" s="294">
        <f>Tabla14[[#This Row],[Personas Precorte]]</f>
        <v>0</v>
      </c>
      <c r="AN575" s="308">
        <f>Tabla14[[#This Row],[Valor Precorte Pesona Precorte]]*Tabla14[[#This Row],[Perzonas Precorte]]</f>
        <v>0</v>
      </c>
      <c r="AO575" s="287">
        <f>Tabla14[[#This Row],[Cajas por Personas2]]</f>
        <v>3.8</v>
      </c>
      <c r="AP575" s="288">
        <f>Tabla14[[#This Row],[Valor Embarque Pesona]]</f>
        <v>7600</v>
      </c>
      <c r="AQ575" s="295">
        <f>Tabla14[[#This Row],[Personas Precorte2]]</f>
        <v>15</v>
      </c>
      <c r="AR575" s="296">
        <f>Tabla14[[#This Row],[Valor Embarque Pesona3]]*Tabla14[[#This Row],[Perzona Primera]]</f>
        <v>114000</v>
      </c>
      <c r="AS575" s="287">
        <f>Tabla14[[#This Row],[Columna2]]</f>
        <v>0</v>
      </c>
      <c r="AT575" s="288">
        <f>Tabla14[[#This Row],[Columna1]]</f>
        <v>0</v>
      </c>
      <c r="AU575" s="302">
        <f>Tabla14[[#This Row],[Personas Intervienen]]</f>
        <v>0</v>
      </c>
      <c r="AV575" s="297">
        <f>Tabla14[[#This Row],[Valor Embarque Pesona5]]*Tabla14[[#This Row],[Presonas Segunda]]</f>
        <v>0</v>
      </c>
      <c r="AW575" s="287">
        <f>Tabla14[[#This Row],[Bolsas Por Personas]]</f>
        <v>7.3120000000000003</v>
      </c>
      <c r="AX575" s="288">
        <f>Tabla14[[#This Row],[Valor bolsas Pesona]]</f>
        <v>4204.4000000000005</v>
      </c>
      <c r="AY575" s="309">
        <f>Tabla14[[#This Row],[Personas13]]</f>
        <v>15</v>
      </c>
      <c r="AZ575" s="310">
        <f>Tabla14[[#This Row],[Valor bolsas Pesona2]]*Tabla14[[#This Row],[Personas Rechazo]]</f>
        <v>63066.000000000007</v>
      </c>
      <c r="BA575" s="311">
        <f>+Tabla14[[#This Row],[Total Valor Segunda]]+Tabla14[[#This Row],[Total Valor Primera]]+Tabla14[[#This Row],[Total Valor Precorte]]</f>
        <v>114000</v>
      </c>
      <c r="BB575" s="292">
        <f>Tabla14[[#This Row],[Valor bolsas Pesona2]]+Tabla14[[#This Row],[Valor Embarque Pesona3]]</f>
        <v>11804.400000000001</v>
      </c>
      <c r="BC575" s="332">
        <v>40000</v>
      </c>
      <c r="BD575" s="292">
        <f>Tabla14[[#This Row],[VALOR GANADO]]-Tabla14[[#This Row],[REAJUSTADO]]</f>
        <v>-28195.599999999999</v>
      </c>
      <c r="BE575" s="250">
        <f>Tabla14[[#This Row],[CUANTO SE REAJUSTA]]*Tabla14[[#This Row],[Personas Rechazo]]</f>
        <v>-422934</v>
      </c>
      <c r="BF575" s="250">
        <f>Tabla14[[#This Row],[REAJUSTADO]]/25000</f>
        <v>1.6</v>
      </c>
      <c r="BG575" s="302">
        <f>Tabla14[[#This Row],[REAJUSTADO]]*Tabla14[[#This Row],[Personas Rechazo]]</f>
        <v>600000</v>
      </c>
      <c r="BH575" s="292" t="str">
        <f>Tabla14[[#This Row],[Finca]]</f>
        <v>San Pedro</v>
      </c>
      <c r="BJ575" s="332">
        <f>Tabla14[[#This Row],[Numero de Ocacionales]]*Tabla14[[#This Row],[REAJUSTADO]]</f>
        <v>0</v>
      </c>
      <c r="BK575" s="332"/>
      <c r="BL575" s="332"/>
      <c r="BM575" s="332">
        <f>+Tabla14[[#This Row],[CUANTO SE REAJUSTA]]*3</f>
        <v>-84586.799999999988</v>
      </c>
    </row>
    <row r="576" spans="3:65" x14ac:dyDescent="0.25">
      <c r="C576" s="515">
        <v>45362</v>
      </c>
      <c r="D576" s="549">
        <f>YEAR(Tabla14[[#This Row],[Fecha]])</f>
        <v>2024</v>
      </c>
      <c r="E576" s="516">
        <f>IF(Tabla14[[#This Row],[Fecha]]&gt;0,_xlfn.ISOWEEKNUM(Tabla14[[#This Row],[Fecha]]),0)</f>
        <v>11</v>
      </c>
      <c r="F576" s="283">
        <v>92</v>
      </c>
      <c r="G576" s="275" t="s">
        <v>280</v>
      </c>
      <c r="H576" s="325" t="str">
        <f>_xlfn.XLOOKUP(Tabla14[[#This Row],[Codigo Finca]],Tabla4[Codigo Finca],Tabla4[Nombre Finca],"")</f>
        <v>Pedrito</v>
      </c>
      <c r="I576" s="277">
        <f>_xlfn.XLOOKUP(Tabla14[[#This Row],[Codigo Finca]],Tabla4[Codigo Finca],Tabla4[Precio Caja],0)</f>
        <v>2000</v>
      </c>
      <c r="J576" s="277">
        <f>_xlfn.XLOOKUP(Tabla14[[#This Row],[Codigo Finca]],Tabla4[Codigo Finca],Tabla4[Precio Caja Segunda],0)</f>
        <v>0</v>
      </c>
      <c r="K576" s="277">
        <f>_xlfn.XLOOKUP(Tabla14[[#This Row],[Codigo Finca]],Tabla4[Codigo Finca],Tabla4[Precio Rechazo],0)</f>
        <v>575</v>
      </c>
      <c r="L576" s="277">
        <f t="shared" si="568"/>
        <v>1013</v>
      </c>
      <c r="M576" s="278">
        <f t="shared" si="569"/>
        <v>11.010869565217391</v>
      </c>
      <c r="N576" s="283"/>
      <c r="O576" s="279"/>
      <c r="P576" s="280">
        <f t="shared" si="570"/>
        <v>0</v>
      </c>
      <c r="Q576" s="281">
        <f t="shared" si="571"/>
        <v>0</v>
      </c>
      <c r="R576" s="282">
        <f t="shared" si="572"/>
        <v>0</v>
      </c>
      <c r="S576" s="283">
        <v>1013</v>
      </c>
      <c r="T576" s="275"/>
      <c r="U576" s="280">
        <f t="shared" si="573"/>
        <v>92</v>
      </c>
      <c r="V576" s="281">
        <f t="shared" si="574"/>
        <v>0</v>
      </c>
      <c r="W576" s="282">
        <f t="shared" si="575"/>
        <v>0</v>
      </c>
      <c r="X576" s="283"/>
      <c r="Y576" s="275"/>
      <c r="Z576" s="280">
        <f>Tabla14[[#This Row],[Cajas Segunda]]</f>
        <v>0</v>
      </c>
      <c r="AA576" s="281">
        <f t="shared" si="576"/>
        <v>0</v>
      </c>
      <c r="AB576" s="284">
        <f t="shared" si="577"/>
        <v>0</v>
      </c>
      <c r="AC576" s="285"/>
      <c r="AD576" s="286"/>
      <c r="AE576" s="286"/>
      <c r="AF576" s="286"/>
      <c r="AG576" s="286"/>
      <c r="AH576" s="280">
        <f t="shared" si="578"/>
        <v>0</v>
      </c>
      <c r="AI576" s="281">
        <f t="shared" si="579"/>
        <v>0</v>
      </c>
      <c r="AJ576" s="282">
        <f t="shared" si="580"/>
        <v>0</v>
      </c>
      <c r="AK576" s="287">
        <f>Tabla14[[#This Row],[Cajas por Personas]]</f>
        <v>0</v>
      </c>
      <c r="AL576" s="288">
        <f>Tabla14[[#This Row],[Valor Precorte Pesona]]</f>
        <v>0</v>
      </c>
      <c r="AM576" s="294">
        <f>Tabla14[[#This Row],[Personas Precorte]]</f>
        <v>0</v>
      </c>
      <c r="AN576" s="308">
        <f>Tabla14[[#This Row],[Valor Precorte Pesona Precorte]]*Tabla14[[#This Row],[Perzonas Precorte]]</f>
        <v>0</v>
      </c>
      <c r="AO576" s="287">
        <f>Tabla14[[#This Row],[Cajas por Personas2]]</f>
        <v>0</v>
      </c>
      <c r="AP576" s="288">
        <f>Tabla14[[#This Row],[Valor Embarque Pesona]]</f>
        <v>0</v>
      </c>
      <c r="AQ576" s="295">
        <f>Tabla14[[#This Row],[Personas Precorte2]]</f>
        <v>0</v>
      </c>
      <c r="AR576" s="296">
        <f>Tabla14[[#This Row],[Valor Embarque Pesona3]]*Tabla14[[#This Row],[Perzona Primera]]</f>
        <v>0</v>
      </c>
      <c r="AS576" s="287">
        <f>Tabla14[[#This Row],[Columna2]]</f>
        <v>0</v>
      </c>
      <c r="AT576" s="288">
        <f>Tabla14[[#This Row],[Columna1]]</f>
        <v>0</v>
      </c>
      <c r="AU576" s="302">
        <f>Tabla14[[#This Row],[Personas Intervienen]]</f>
        <v>0</v>
      </c>
      <c r="AV576" s="297">
        <f>Tabla14[[#This Row],[Valor Embarque Pesona5]]*Tabla14[[#This Row],[Presonas Segunda]]</f>
        <v>0</v>
      </c>
      <c r="AW576" s="287">
        <f>Tabla14[[#This Row],[Bolsas Por Personas]]</f>
        <v>0</v>
      </c>
      <c r="AX576" s="288">
        <f>Tabla14[[#This Row],[Valor bolsas Pesona]]</f>
        <v>0</v>
      </c>
      <c r="AY576" s="309">
        <f>Tabla14[[#This Row],[Personas13]]</f>
        <v>0</v>
      </c>
      <c r="AZ576" s="310">
        <f>Tabla14[[#This Row],[Valor bolsas Pesona2]]*Tabla14[[#This Row],[Personas Rechazo]]</f>
        <v>0</v>
      </c>
      <c r="BA576" s="311">
        <f>+Tabla14[[#This Row],[Total Valor Segunda]]+Tabla14[[#This Row],[Total Valor Primera]]+Tabla14[[#This Row],[Total Valor Precorte]]</f>
        <v>0</v>
      </c>
      <c r="BB576" s="292">
        <f>Tabla14[[#This Row],[Valor bolsas Pesona2]]+Tabla14[[#This Row],[Valor Embarque Pesona3]]</f>
        <v>0</v>
      </c>
      <c r="BC576" s="332">
        <v>40000</v>
      </c>
      <c r="BD576" s="292">
        <f>Tabla14[[#This Row],[VALOR GANADO]]-Tabla14[[#This Row],[REAJUSTADO]]</f>
        <v>-40000</v>
      </c>
      <c r="BE576" s="250">
        <f>Tabla14[[#This Row],[CUANTO SE REAJUSTA]]*Tabla14[[#This Row],[Personas Rechazo]]</f>
        <v>0</v>
      </c>
      <c r="BF576" s="250">
        <f>Tabla14[[#This Row],[REAJUSTADO]]/25000</f>
        <v>1.6</v>
      </c>
      <c r="BG576" s="302">
        <f>Tabla14[[#This Row],[REAJUSTADO]]*Tabla14[[#This Row],[Personas Rechazo]]</f>
        <v>0</v>
      </c>
      <c r="BH576" s="292" t="str">
        <f>Tabla14[[#This Row],[Finca]]</f>
        <v>Pedrito</v>
      </c>
      <c r="BJ576" s="332">
        <f>Tabla14[[#This Row],[Numero de Ocacionales]]*Tabla14[[#This Row],[REAJUSTADO]]</f>
        <v>0</v>
      </c>
      <c r="BK576" s="332"/>
      <c r="BL576" s="332"/>
      <c r="BM576" s="332">
        <f>+Tabla14[[#This Row],[CUANTO SE REAJUSTA]]*3</f>
        <v>-120000</v>
      </c>
    </row>
    <row r="577" spans="3:65" x14ac:dyDescent="0.25">
      <c r="C577" s="515">
        <v>45362</v>
      </c>
      <c r="D577" s="549">
        <f>YEAR(Tabla14[[#This Row],[Fecha]])</f>
        <v>2024</v>
      </c>
      <c r="E577" s="516">
        <f>IF(Tabla14[[#This Row],[Fecha]]&gt;0,_xlfn.ISOWEEKNUM(Tabla14[[#This Row],[Fecha]]),0)</f>
        <v>11</v>
      </c>
      <c r="F577" s="283">
        <v>11</v>
      </c>
      <c r="G577" s="275" t="s">
        <v>275</v>
      </c>
      <c r="H577" s="325" t="str">
        <f>_xlfn.XLOOKUP(Tabla14[[#This Row],[Codigo Finca]],Tabla4[Codigo Finca],Tabla4[Nombre Finca],"")</f>
        <v>Uveros</v>
      </c>
      <c r="I577" s="277">
        <f>_xlfn.XLOOKUP(Tabla14[[#This Row],[Codigo Finca]],Tabla4[Codigo Finca],Tabla4[Precio Caja],0)</f>
        <v>2000</v>
      </c>
      <c r="J577" s="277">
        <f>_xlfn.XLOOKUP(Tabla14[[#This Row],[Codigo Finca]],Tabla4[Codigo Finca],Tabla4[Precio Caja Segunda],0)</f>
        <v>0</v>
      </c>
      <c r="K577" s="277">
        <f>_xlfn.XLOOKUP(Tabla14[[#This Row],[Codigo Finca]],Tabla4[Codigo Finca],Tabla4[Precio Rechazo],0)</f>
        <v>575</v>
      </c>
      <c r="L577" s="277">
        <f t="shared" si="568"/>
        <v>0</v>
      </c>
      <c r="M577" s="278">
        <f t="shared" si="569"/>
        <v>0</v>
      </c>
      <c r="N577" s="283"/>
      <c r="O577" s="279"/>
      <c r="P577" s="280">
        <f t="shared" si="570"/>
        <v>0</v>
      </c>
      <c r="Q577" s="281">
        <f t="shared" si="571"/>
        <v>0</v>
      </c>
      <c r="R577" s="282">
        <f t="shared" si="572"/>
        <v>0</v>
      </c>
      <c r="S577" s="283"/>
      <c r="T577" s="275"/>
      <c r="U577" s="280">
        <f t="shared" si="573"/>
        <v>11</v>
      </c>
      <c r="V577" s="281">
        <f t="shared" si="574"/>
        <v>0</v>
      </c>
      <c r="W577" s="282">
        <f t="shared" si="575"/>
        <v>0</v>
      </c>
      <c r="X577" s="283"/>
      <c r="Y577" s="275"/>
      <c r="Z577" s="280">
        <f>Tabla14[[#This Row],[Cajas Segunda]]</f>
        <v>0</v>
      </c>
      <c r="AA577" s="281">
        <f t="shared" si="576"/>
        <v>0</v>
      </c>
      <c r="AB577" s="284">
        <f t="shared" si="577"/>
        <v>0</v>
      </c>
      <c r="AC577" s="285"/>
      <c r="AD577" s="286"/>
      <c r="AE577" s="286"/>
      <c r="AF577" s="286"/>
      <c r="AG577" s="286"/>
      <c r="AH577" s="280">
        <f t="shared" si="578"/>
        <v>0</v>
      </c>
      <c r="AI577" s="281">
        <f t="shared" si="579"/>
        <v>0</v>
      </c>
      <c r="AJ577" s="282">
        <f t="shared" si="580"/>
        <v>0</v>
      </c>
      <c r="AK577" s="287">
        <f>Tabla14[[#This Row],[Cajas por Personas]]</f>
        <v>0</v>
      </c>
      <c r="AL577" s="288">
        <f>Tabla14[[#This Row],[Valor Precorte Pesona]]</f>
        <v>0</v>
      </c>
      <c r="AM577" s="294">
        <f>Tabla14[[#This Row],[Personas Precorte]]</f>
        <v>0</v>
      </c>
      <c r="AN577" s="308">
        <f>Tabla14[[#This Row],[Valor Precorte Pesona Precorte]]*Tabla14[[#This Row],[Perzonas Precorte]]</f>
        <v>0</v>
      </c>
      <c r="AO577" s="287">
        <f>Tabla14[[#This Row],[Cajas por Personas2]]</f>
        <v>0</v>
      </c>
      <c r="AP577" s="288">
        <f>Tabla14[[#This Row],[Valor Embarque Pesona]]</f>
        <v>0</v>
      </c>
      <c r="AQ577" s="295">
        <f>Tabla14[[#This Row],[Personas Precorte2]]</f>
        <v>0</v>
      </c>
      <c r="AR577" s="296">
        <f>Tabla14[[#This Row],[Valor Embarque Pesona3]]*Tabla14[[#This Row],[Perzona Primera]]</f>
        <v>0</v>
      </c>
      <c r="AS577" s="287">
        <f>Tabla14[[#This Row],[Columna2]]</f>
        <v>0</v>
      </c>
      <c r="AT577" s="288">
        <f>Tabla14[[#This Row],[Columna1]]</f>
        <v>0</v>
      </c>
      <c r="AU577" s="302">
        <f>Tabla14[[#This Row],[Personas Intervienen]]</f>
        <v>0</v>
      </c>
      <c r="AV577" s="297">
        <f>Tabla14[[#This Row],[Valor Embarque Pesona5]]*Tabla14[[#This Row],[Presonas Segunda]]</f>
        <v>0</v>
      </c>
      <c r="AW577" s="287">
        <f>Tabla14[[#This Row],[Bolsas Por Personas]]</f>
        <v>0</v>
      </c>
      <c r="AX577" s="288">
        <f>Tabla14[[#This Row],[Valor bolsas Pesona]]</f>
        <v>0</v>
      </c>
      <c r="AY577" s="309">
        <f>Tabla14[[#This Row],[Personas13]]</f>
        <v>0</v>
      </c>
      <c r="AZ577" s="310">
        <f>Tabla14[[#This Row],[Valor bolsas Pesona2]]*Tabla14[[#This Row],[Personas Rechazo]]</f>
        <v>0</v>
      </c>
      <c r="BA577" s="311">
        <f>+Tabla14[[#This Row],[Total Valor Segunda]]+Tabla14[[#This Row],[Total Valor Primera]]+Tabla14[[#This Row],[Total Valor Precorte]]</f>
        <v>0</v>
      </c>
      <c r="BB577" s="292">
        <f>Tabla14[[#This Row],[Valor bolsas Pesona2]]+Tabla14[[#This Row],[Valor Embarque Pesona3]]</f>
        <v>0</v>
      </c>
      <c r="BC577" s="332">
        <v>45000</v>
      </c>
      <c r="BD577" s="292">
        <f>Tabla14[[#This Row],[VALOR GANADO]]-Tabla14[[#This Row],[REAJUSTADO]]</f>
        <v>-45000</v>
      </c>
      <c r="BE577" s="250">
        <f>Tabla14[[#This Row],[CUANTO SE REAJUSTA]]*Tabla14[[#This Row],[Personas Rechazo]]</f>
        <v>0</v>
      </c>
      <c r="BF577" s="250">
        <f>Tabla14[[#This Row],[REAJUSTADO]]/25000</f>
        <v>1.8</v>
      </c>
      <c r="BG577" s="302">
        <f>Tabla14[[#This Row],[REAJUSTADO]]*Tabla14[[#This Row],[Personas Rechazo]]</f>
        <v>0</v>
      </c>
      <c r="BH577" s="292" t="str">
        <f>Tabla14[[#This Row],[Finca]]</f>
        <v>Uveros</v>
      </c>
      <c r="BJ577" s="332">
        <f>Tabla14[[#This Row],[Numero de Ocacionales]]*Tabla14[[#This Row],[REAJUSTADO]]</f>
        <v>0</v>
      </c>
      <c r="BK577" s="332"/>
      <c r="BL577" s="332"/>
      <c r="BM577" s="332">
        <f>+Tabla14[[#This Row],[CUANTO SE REAJUSTA]]*3</f>
        <v>-135000</v>
      </c>
    </row>
    <row r="578" spans="3:65" x14ac:dyDescent="0.25">
      <c r="C578" s="515">
        <v>45363</v>
      </c>
      <c r="D578" s="549">
        <f>YEAR(Tabla14[[#This Row],[Fecha]])</f>
        <v>2024</v>
      </c>
      <c r="E578" s="516">
        <f>IF(Tabla14[[#This Row],[Fecha]]&gt;0,_xlfn.ISOWEEKNUM(Tabla14[[#This Row],[Fecha]]),0)</f>
        <v>11</v>
      </c>
      <c r="F578" s="283">
        <v>129</v>
      </c>
      <c r="G578" s="275" t="s">
        <v>274</v>
      </c>
      <c r="H578" s="325" t="str">
        <f>_xlfn.XLOOKUP(Tabla14[[#This Row],[Codigo Finca]],Tabla4[Codigo Finca],Tabla4[Nombre Finca],"")</f>
        <v>San Pedro</v>
      </c>
      <c r="I578" s="277">
        <f>_xlfn.XLOOKUP(Tabla14[[#This Row],[Codigo Finca]],Tabla4[Codigo Finca],Tabla4[Precio Caja],0)</f>
        <v>2000</v>
      </c>
      <c r="J578" s="277">
        <f>_xlfn.XLOOKUP(Tabla14[[#This Row],[Codigo Finca]],Tabla4[Codigo Finca],Tabla4[Precio Caja Segunda],0)</f>
        <v>0</v>
      </c>
      <c r="K578" s="277">
        <f>_xlfn.XLOOKUP(Tabla14[[#This Row],[Codigo Finca]],Tabla4[Codigo Finca],Tabla4[Precio Rechazo],0)</f>
        <v>575</v>
      </c>
      <c r="L578" s="277">
        <f t="shared" si="568"/>
        <v>1111</v>
      </c>
      <c r="M578" s="278">
        <f t="shared" si="569"/>
        <v>8.6124031007751931</v>
      </c>
      <c r="N578" s="283"/>
      <c r="O578" s="279"/>
      <c r="P578" s="280">
        <f t="shared" si="570"/>
        <v>0</v>
      </c>
      <c r="Q578" s="281">
        <f t="shared" si="571"/>
        <v>0</v>
      </c>
      <c r="R578" s="282">
        <f t="shared" si="572"/>
        <v>0</v>
      </c>
      <c r="S578" s="283">
        <f>1213-102</f>
        <v>1111</v>
      </c>
      <c r="T578" s="275">
        <v>15</v>
      </c>
      <c r="U578" s="280">
        <f t="shared" si="573"/>
        <v>129</v>
      </c>
      <c r="V578" s="281">
        <f t="shared" si="574"/>
        <v>8.6</v>
      </c>
      <c r="W578" s="282">
        <f t="shared" si="575"/>
        <v>17200</v>
      </c>
      <c r="X578" s="283"/>
      <c r="Y578" s="275"/>
      <c r="Z578" s="280">
        <f>Tabla14[[#This Row],[Cajas Segunda]]</f>
        <v>0</v>
      </c>
      <c r="AA578" s="281">
        <f t="shared" si="576"/>
        <v>0</v>
      </c>
      <c r="AB578" s="284">
        <f t="shared" si="577"/>
        <v>0</v>
      </c>
      <c r="AC578" s="285"/>
      <c r="AD578" s="286">
        <v>5841.74</v>
      </c>
      <c r="AE578" s="286"/>
      <c r="AF578" s="286"/>
      <c r="AG578" s="286">
        <v>15</v>
      </c>
      <c r="AH578" s="280">
        <f t="shared" si="578"/>
        <v>233.6696</v>
      </c>
      <c r="AI578" s="281">
        <f t="shared" si="579"/>
        <v>15.577973333333334</v>
      </c>
      <c r="AJ578" s="282">
        <f t="shared" si="580"/>
        <v>8957.3346666666675</v>
      </c>
      <c r="AK578" s="287">
        <f>Tabla14[[#This Row],[Cajas por Personas]]</f>
        <v>0</v>
      </c>
      <c r="AL578" s="288">
        <f>Tabla14[[#This Row],[Valor Precorte Pesona]]</f>
        <v>0</v>
      </c>
      <c r="AM578" s="294">
        <f>Tabla14[[#This Row],[Personas Precorte]]</f>
        <v>0</v>
      </c>
      <c r="AN578" s="308">
        <f>Tabla14[[#This Row],[Valor Precorte Pesona Precorte]]*Tabla14[[#This Row],[Perzonas Precorte]]</f>
        <v>0</v>
      </c>
      <c r="AO578" s="287">
        <f>Tabla14[[#This Row],[Cajas por Personas2]]</f>
        <v>8.6</v>
      </c>
      <c r="AP578" s="288">
        <f>Tabla14[[#This Row],[Valor Embarque Pesona]]</f>
        <v>17200</v>
      </c>
      <c r="AQ578" s="295">
        <f>Tabla14[[#This Row],[Personas Precorte2]]</f>
        <v>15</v>
      </c>
      <c r="AR578" s="296">
        <f>Tabla14[[#This Row],[Valor Embarque Pesona3]]*Tabla14[[#This Row],[Perzona Primera]]</f>
        <v>258000</v>
      </c>
      <c r="AS578" s="287">
        <f>Tabla14[[#This Row],[Columna2]]</f>
        <v>0</v>
      </c>
      <c r="AT578" s="288">
        <f>Tabla14[[#This Row],[Columna1]]</f>
        <v>0</v>
      </c>
      <c r="AU578" s="302">
        <f>Tabla14[[#This Row],[Personas Intervienen]]</f>
        <v>0</v>
      </c>
      <c r="AV578" s="297">
        <f>Tabla14[[#This Row],[Valor Embarque Pesona5]]*Tabla14[[#This Row],[Presonas Segunda]]</f>
        <v>0</v>
      </c>
      <c r="AW578" s="287">
        <f>Tabla14[[#This Row],[Bolsas Por Personas]]</f>
        <v>15.577973333333334</v>
      </c>
      <c r="AX578" s="288">
        <f>Tabla14[[#This Row],[Valor bolsas Pesona]]</f>
        <v>8957.3346666666675</v>
      </c>
      <c r="AY578" s="309">
        <f>Tabla14[[#This Row],[Personas13]]</f>
        <v>15</v>
      </c>
      <c r="AZ578" s="310">
        <f>Tabla14[[#This Row],[Valor bolsas Pesona2]]*Tabla14[[#This Row],[Personas Rechazo]]</f>
        <v>134360.02000000002</v>
      </c>
      <c r="BA578" s="311">
        <f>+Tabla14[[#This Row],[Total Valor Segunda]]+Tabla14[[#This Row],[Total Valor Primera]]+Tabla14[[#This Row],[Total Valor Precorte]]</f>
        <v>258000</v>
      </c>
      <c r="BB578" s="292">
        <f>Tabla14[[#This Row],[Valor bolsas Pesona2]]+Tabla14[[#This Row],[Valor Embarque Pesona3]]</f>
        <v>26157.334666666669</v>
      </c>
      <c r="BC578" s="332">
        <v>45000</v>
      </c>
      <c r="BD578" s="292">
        <f>Tabla14[[#This Row],[VALOR GANADO]]-Tabla14[[#This Row],[REAJUSTADO]]</f>
        <v>-18842.665333333331</v>
      </c>
      <c r="BE578" s="250">
        <f>Tabla14[[#This Row],[CUANTO SE REAJUSTA]]*Tabla14[[#This Row],[Personas Rechazo]]</f>
        <v>-282639.98</v>
      </c>
      <c r="BF578" s="250">
        <f>Tabla14[[#This Row],[REAJUSTADO]]/25000</f>
        <v>1.8</v>
      </c>
      <c r="BG578" s="302">
        <f>Tabla14[[#This Row],[REAJUSTADO]]*Tabla14[[#This Row],[Personas Rechazo]]</f>
        <v>675000</v>
      </c>
      <c r="BH578" s="292" t="str">
        <f>Tabla14[[#This Row],[Finca]]</f>
        <v>San Pedro</v>
      </c>
      <c r="BJ578" s="332">
        <f>Tabla14[[#This Row],[Numero de Ocacionales]]*Tabla14[[#This Row],[REAJUSTADO]]</f>
        <v>0</v>
      </c>
      <c r="BK578" s="332"/>
      <c r="BL578" s="332"/>
      <c r="BM578" s="332">
        <f>+Tabla14[[#This Row],[CUANTO SE REAJUSTA]]*3</f>
        <v>-56527.995999999992</v>
      </c>
    </row>
    <row r="579" spans="3:65" x14ac:dyDescent="0.25">
      <c r="C579" s="515">
        <v>45363</v>
      </c>
      <c r="D579" s="549">
        <f>YEAR(Tabla14[[#This Row],[Fecha]])</f>
        <v>2024</v>
      </c>
      <c r="E579" s="516">
        <f>IF(Tabla14[[#This Row],[Fecha]]&gt;0,_xlfn.ISOWEEKNUM(Tabla14[[#This Row],[Fecha]]),0)</f>
        <v>11</v>
      </c>
      <c r="F579" s="283"/>
      <c r="G579" s="275" t="s">
        <v>273</v>
      </c>
      <c r="H579" s="325" t="str">
        <f>_xlfn.XLOOKUP(Tabla14[[#This Row],[Codigo Finca]],Tabla4[Codigo Finca],Tabla4[Nombre Finca],"")</f>
        <v>San Pedro</v>
      </c>
      <c r="I579" s="277">
        <f>_xlfn.XLOOKUP(Tabla14[[#This Row],[Codigo Finca]],Tabla4[Codigo Finca],Tabla4[Precio Caja],0)</f>
        <v>2200</v>
      </c>
      <c r="J579" s="277">
        <f>_xlfn.XLOOKUP(Tabla14[[#This Row],[Codigo Finca]],Tabla4[Codigo Finca],Tabla4[Precio Caja Segunda],0)</f>
        <v>0</v>
      </c>
      <c r="K579" s="277">
        <f>_xlfn.XLOOKUP(Tabla14[[#This Row],[Codigo Finca]],Tabla4[Codigo Finca],Tabla4[Precio Rechazo],0)</f>
        <v>675</v>
      </c>
      <c r="L579" s="277">
        <f t="shared" si="568"/>
        <v>102</v>
      </c>
      <c r="M579" s="278">
        <f t="shared" si="569"/>
        <v>0</v>
      </c>
      <c r="N579" s="283"/>
      <c r="O579" s="279"/>
      <c r="P579" s="280">
        <f t="shared" si="570"/>
        <v>0</v>
      </c>
      <c r="Q579" s="281">
        <f t="shared" si="571"/>
        <v>0</v>
      </c>
      <c r="R579" s="282">
        <f t="shared" si="572"/>
        <v>0</v>
      </c>
      <c r="S579" s="283">
        <v>102</v>
      </c>
      <c r="T579" s="275">
        <v>15</v>
      </c>
      <c r="U579" s="280">
        <f t="shared" si="573"/>
        <v>0</v>
      </c>
      <c r="V579" s="281">
        <f t="shared" si="574"/>
        <v>0</v>
      </c>
      <c r="W579" s="282">
        <f t="shared" si="575"/>
        <v>0</v>
      </c>
      <c r="X579" s="283"/>
      <c r="Y579" s="275"/>
      <c r="Z579" s="280">
        <f>Tabla14[[#This Row],[Cajas Segunda]]</f>
        <v>0</v>
      </c>
      <c r="AA579" s="281">
        <f t="shared" si="576"/>
        <v>0</v>
      </c>
      <c r="AB579" s="284">
        <f t="shared" si="577"/>
        <v>0</v>
      </c>
      <c r="AC579" s="285"/>
      <c r="AD579" s="286"/>
      <c r="AE579" s="286"/>
      <c r="AF579" s="286"/>
      <c r="AG579" s="286">
        <v>15</v>
      </c>
      <c r="AH579" s="280">
        <f t="shared" si="578"/>
        <v>0</v>
      </c>
      <c r="AI579" s="281">
        <f t="shared" si="579"/>
        <v>0</v>
      </c>
      <c r="AJ579" s="282">
        <f t="shared" si="580"/>
        <v>0</v>
      </c>
      <c r="AK579" s="287">
        <f>Tabla14[[#This Row],[Cajas por Personas]]</f>
        <v>0</v>
      </c>
      <c r="AL579" s="288">
        <f>Tabla14[[#This Row],[Valor Precorte Pesona]]</f>
        <v>0</v>
      </c>
      <c r="AM579" s="294">
        <f>Tabla14[[#This Row],[Personas Precorte]]</f>
        <v>0</v>
      </c>
      <c r="AN579" s="308">
        <f>Tabla14[[#This Row],[Valor Precorte Pesona Precorte]]*Tabla14[[#This Row],[Perzonas Precorte]]</f>
        <v>0</v>
      </c>
      <c r="AO579" s="287">
        <f>Tabla14[[#This Row],[Cajas por Personas2]]</f>
        <v>0</v>
      </c>
      <c r="AP579" s="288">
        <f>Tabla14[[#This Row],[Valor Embarque Pesona]]</f>
        <v>0</v>
      </c>
      <c r="AQ579" s="295">
        <f>Tabla14[[#This Row],[Personas Precorte2]]</f>
        <v>15</v>
      </c>
      <c r="AR579" s="296">
        <f>Tabla14[[#This Row],[Valor Embarque Pesona3]]*Tabla14[[#This Row],[Perzona Primera]]</f>
        <v>0</v>
      </c>
      <c r="AS579" s="287">
        <f>Tabla14[[#This Row],[Columna2]]</f>
        <v>0</v>
      </c>
      <c r="AT579" s="288">
        <f>Tabla14[[#This Row],[Columna1]]</f>
        <v>0</v>
      </c>
      <c r="AU579" s="302">
        <f>Tabla14[[#This Row],[Personas Intervienen]]</f>
        <v>0</v>
      </c>
      <c r="AV579" s="297">
        <f>Tabla14[[#This Row],[Valor Embarque Pesona5]]*Tabla14[[#This Row],[Presonas Segunda]]</f>
        <v>0</v>
      </c>
      <c r="AW579" s="287">
        <f>Tabla14[[#This Row],[Bolsas Por Personas]]</f>
        <v>0</v>
      </c>
      <c r="AX579" s="288">
        <f>Tabla14[[#This Row],[Valor bolsas Pesona]]</f>
        <v>0</v>
      </c>
      <c r="AY579" s="309">
        <f>Tabla14[[#This Row],[Personas13]]</f>
        <v>15</v>
      </c>
      <c r="AZ579" s="310">
        <f>Tabla14[[#This Row],[Valor bolsas Pesona2]]*Tabla14[[#This Row],[Personas Rechazo]]</f>
        <v>0</v>
      </c>
      <c r="BA579" s="311">
        <f>+Tabla14[[#This Row],[Total Valor Segunda]]+Tabla14[[#This Row],[Total Valor Primera]]+Tabla14[[#This Row],[Total Valor Precorte]]</f>
        <v>0</v>
      </c>
      <c r="BB579" s="292">
        <f>Tabla14[[#This Row],[Valor bolsas Pesona2]]+Tabla14[[#This Row],[Valor Embarque Pesona3]]</f>
        <v>0</v>
      </c>
      <c r="BD579" s="292">
        <f>Tabla14[[#This Row],[VALOR GANADO]]-Tabla14[[#This Row],[REAJUSTADO]]</f>
        <v>0</v>
      </c>
      <c r="BE579" s="250">
        <f>Tabla14[[#This Row],[CUANTO SE REAJUSTA]]*Tabla14[[#This Row],[Personas Rechazo]]</f>
        <v>0</v>
      </c>
      <c r="BF579" s="250">
        <f>Tabla14[[#This Row],[REAJUSTADO]]/25000</f>
        <v>0</v>
      </c>
      <c r="BG579" s="302">
        <f>Tabla14[[#This Row],[REAJUSTADO]]*Tabla14[[#This Row],[Personas Rechazo]]</f>
        <v>0</v>
      </c>
      <c r="BH579" s="292" t="str">
        <f>Tabla14[[#This Row],[Finca]]</f>
        <v>San Pedro</v>
      </c>
      <c r="BJ579" s="332">
        <f>Tabla14[[#This Row],[Numero de Ocacionales]]*Tabla14[[#This Row],[REAJUSTADO]]</f>
        <v>0</v>
      </c>
      <c r="BK579" s="332"/>
      <c r="BL579" s="332"/>
      <c r="BM579" s="332">
        <f>+Tabla14[[#This Row],[CUANTO SE REAJUSTA]]*3</f>
        <v>0</v>
      </c>
    </row>
    <row r="580" spans="3:65" x14ac:dyDescent="0.25">
      <c r="C580" s="515">
        <v>45369</v>
      </c>
      <c r="D580" s="549">
        <f>YEAR(Tabla14[[#This Row],[Fecha]])</f>
        <v>2024</v>
      </c>
      <c r="E580" s="516">
        <f>IF(Tabla14[[#This Row],[Fecha]]&gt;0,_xlfn.ISOWEEKNUM(Tabla14[[#This Row],[Fecha]]),0)</f>
        <v>12</v>
      </c>
      <c r="F580" s="283">
        <v>148</v>
      </c>
      <c r="G580" s="275" t="s">
        <v>280</v>
      </c>
      <c r="H580" s="325" t="str">
        <f>_xlfn.XLOOKUP(Tabla14[[#This Row],[Codigo Finca]],Tabla4[Codigo Finca],Tabla4[Nombre Finca],"")</f>
        <v>Pedrito</v>
      </c>
      <c r="I580" s="277">
        <f>_xlfn.XLOOKUP(Tabla14[[#This Row],[Codigo Finca]],Tabla4[Codigo Finca],Tabla4[Precio Caja],0)</f>
        <v>2000</v>
      </c>
      <c r="J580" s="277">
        <f>_xlfn.XLOOKUP(Tabla14[[#This Row],[Codigo Finca]],Tabla4[Codigo Finca],Tabla4[Precio Caja Segunda],0)</f>
        <v>0</v>
      </c>
      <c r="K580" s="277">
        <f>_xlfn.XLOOKUP(Tabla14[[#This Row],[Codigo Finca]],Tabla4[Codigo Finca],Tabla4[Precio Rechazo],0)</f>
        <v>575</v>
      </c>
      <c r="L580" s="277">
        <f t="shared" si="568"/>
        <v>980</v>
      </c>
      <c r="M580" s="278">
        <f t="shared" si="569"/>
        <v>6.6216216216216219</v>
      </c>
      <c r="N580" s="283"/>
      <c r="O580" s="279"/>
      <c r="P580" s="280">
        <f t="shared" si="570"/>
        <v>0</v>
      </c>
      <c r="Q580" s="281">
        <f t="shared" si="571"/>
        <v>0</v>
      </c>
      <c r="R580" s="282">
        <f t="shared" si="572"/>
        <v>0</v>
      </c>
      <c r="S580" s="283">
        <v>980</v>
      </c>
      <c r="T580" s="275"/>
      <c r="U580" s="280">
        <f t="shared" si="573"/>
        <v>148</v>
      </c>
      <c r="V580" s="281">
        <f t="shared" si="574"/>
        <v>0</v>
      </c>
      <c r="W580" s="282">
        <f t="shared" si="575"/>
        <v>0</v>
      </c>
      <c r="X580" s="283"/>
      <c r="Y580" s="275"/>
      <c r="Z580" s="280">
        <f>Tabla14[[#This Row],[Cajas Segunda]]</f>
        <v>0</v>
      </c>
      <c r="AA580" s="281">
        <f t="shared" si="576"/>
        <v>0</v>
      </c>
      <c r="AB580" s="284">
        <f t="shared" si="577"/>
        <v>0</v>
      </c>
      <c r="AC580" s="285"/>
      <c r="AD580" s="286"/>
      <c r="AE580" s="286"/>
      <c r="AF580" s="286"/>
      <c r="AG580" s="286"/>
      <c r="AH580" s="280">
        <f t="shared" si="578"/>
        <v>0</v>
      </c>
      <c r="AI580" s="281">
        <f t="shared" si="579"/>
        <v>0</v>
      </c>
      <c r="AJ580" s="282">
        <f t="shared" si="580"/>
        <v>0</v>
      </c>
      <c r="AK580" s="287">
        <f>Tabla14[[#This Row],[Cajas por Personas]]</f>
        <v>0</v>
      </c>
      <c r="AL580" s="288">
        <f>Tabla14[[#This Row],[Valor Precorte Pesona]]</f>
        <v>0</v>
      </c>
      <c r="AM580" s="294">
        <f>Tabla14[[#This Row],[Personas Precorte]]</f>
        <v>0</v>
      </c>
      <c r="AN580" s="308">
        <f>Tabla14[[#This Row],[Valor Precorte Pesona Precorte]]*Tabla14[[#This Row],[Perzonas Precorte]]</f>
        <v>0</v>
      </c>
      <c r="AO580" s="287">
        <f>Tabla14[[#This Row],[Cajas por Personas2]]</f>
        <v>0</v>
      </c>
      <c r="AP580" s="288">
        <f>Tabla14[[#This Row],[Valor Embarque Pesona]]</f>
        <v>0</v>
      </c>
      <c r="AQ580" s="295">
        <f>Tabla14[[#This Row],[Personas Precorte2]]</f>
        <v>0</v>
      </c>
      <c r="AR580" s="296">
        <f>Tabla14[[#This Row],[Valor Embarque Pesona3]]*Tabla14[[#This Row],[Perzona Primera]]</f>
        <v>0</v>
      </c>
      <c r="AS580" s="287">
        <f>Tabla14[[#This Row],[Columna2]]</f>
        <v>0</v>
      </c>
      <c r="AT580" s="288">
        <f>Tabla14[[#This Row],[Columna1]]</f>
        <v>0</v>
      </c>
      <c r="AU580" s="302">
        <f>Tabla14[[#This Row],[Personas Intervienen]]</f>
        <v>0</v>
      </c>
      <c r="AV580" s="297">
        <f>Tabla14[[#This Row],[Valor Embarque Pesona5]]*Tabla14[[#This Row],[Presonas Segunda]]</f>
        <v>0</v>
      </c>
      <c r="AW580" s="287">
        <f>Tabla14[[#This Row],[Bolsas Por Personas]]</f>
        <v>0</v>
      </c>
      <c r="AX580" s="288">
        <f>Tabla14[[#This Row],[Valor bolsas Pesona]]</f>
        <v>0</v>
      </c>
      <c r="AY580" s="309">
        <f>Tabla14[[#This Row],[Personas13]]</f>
        <v>0</v>
      </c>
      <c r="AZ580" s="310">
        <f>Tabla14[[#This Row],[Valor bolsas Pesona2]]*Tabla14[[#This Row],[Personas Rechazo]]</f>
        <v>0</v>
      </c>
      <c r="BA580" s="311">
        <f>+Tabla14[[#This Row],[Total Valor Segunda]]+Tabla14[[#This Row],[Total Valor Primera]]+Tabla14[[#This Row],[Total Valor Precorte]]</f>
        <v>0</v>
      </c>
      <c r="BB580" s="292">
        <f>Tabla14[[#This Row],[Valor bolsas Pesona2]]+Tabla14[[#This Row],[Valor Embarque Pesona3]]</f>
        <v>0</v>
      </c>
      <c r="BD580" s="292">
        <f>Tabla14[[#This Row],[VALOR GANADO]]-Tabla14[[#This Row],[REAJUSTADO]]</f>
        <v>0</v>
      </c>
      <c r="BE580" s="250">
        <f>Tabla14[[#This Row],[CUANTO SE REAJUSTA]]*Tabla14[[#This Row],[Personas Rechazo]]</f>
        <v>0</v>
      </c>
      <c r="BF580" s="250">
        <f>Tabla14[[#This Row],[REAJUSTADO]]/25000</f>
        <v>0</v>
      </c>
      <c r="BG580" s="302">
        <f>Tabla14[[#This Row],[REAJUSTADO]]*Tabla14[[#This Row],[Personas Rechazo]]</f>
        <v>0</v>
      </c>
      <c r="BH580" s="292" t="str">
        <f>Tabla14[[#This Row],[Finca]]</f>
        <v>Pedrito</v>
      </c>
      <c r="BJ580" s="332">
        <f>Tabla14[[#This Row],[Numero de Ocacionales]]*Tabla14[[#This Row],[REAJUSTADO]]</f>
        <v>0</v>
      </c>
      <c r="BK580" s="332"/>
      <c r="BL580" s="332"/>
      <c r="BM580" s="332">
        <f>+Tabla14[[#This Row],[CUANTO SE REAJUSTA]]*3</f>
        <v>0</v>
      </c>
    </row>
    <row r="581" spans="3:65" x14ac:dyDescent="0.25">
      <c r="C581" s="515">
        <v>45369</v>
      </c>
      <c r="D581" s="549">
        <f>YEAR(Tabla14[[#This Row],[Fecha]])</f>
        <v>2024</v>
      </c>
      <c r="E581" s="516">
        <f>IF(Tabla14[[#This Row],[Fecha]]&gt;0,_xlfn.ISOWEEKNUM(Tabla14[[#This Row],[Fecha]]),0)</f>
        <v>12</v>
      </c>
      <c r="F581" s="283"/>
      <c r="G581" s="275" t="s">
        <v>275</v>
      </c>
      <c r="H581" s="325" t="str">
        <f>_xlfn.XLOOKUP(Tabla14[[#This Row],[Codigo Finca]],Tabla4[Codigo Finca],Tabla4[Nombre Finca],"")</f>
        <v>Uveros</v>
      </c>
      <c r="I581" s="277">
        <f>_xlfn.XLOOKUP(Tabla14[[#This Row],[Codigo Finca]],Tabla4[Codigo Finca],Tabla4[Precio Caja],0)</f>
        <v>2000</v>
      </c>
      <c r="J581" s="277">
        <f>_xlfn.XLOOKUP(Tabla14[[#This Row],[Codigo Finca]],Tabla4[Codigo Finca],Tabla4[Precio Caja Segunda],0)</f>
        <v>0</v>
      </c>
      <c r="K581" s="277">
        <f>_xlfn.XLOOKUP(Tabla14[[#This Row],[Codigo Finca]],Tabla4[Codigo Finca],Tabla4[Precio Rechazo],0)</f>
        <v>575</v>
      </c>
      <c r="L581" s="277">
        <f t="shared" si="568"/>
        <v>0</v>
      </c>
      <c r="M581" s="278">
        <f t="shared" si="569"/>
        <v>0</v>
      </c>
      <c r="N581" s="283"/>
      <c r="O581" s="279"/>
      <c r="P581" s="280">
        <f t="shared" si="570"/>
        <v>0</v>
      </c>
      <c r="Q581" s="281">
        <f t="shared" si="571"/>
        <v>0</v>
      </c>
      <c r="R581" s="282">
        <f t="shared" si="572"/>
        <v>0</v>
      </c>
      <c r="S581" s="283"/>
      <c r="T581" s="275"/>
      <c r="U581" s="280">
        <f t="shared" si="573"/>
        <v>0</v>
      </c>
      <c r="V581" s="281">
        <f t="shared" si="574"/>
        <v>0</v>
      </c>
      <c r="W581" s="282">
        <f t="shared" si="575"/>
        <v>0</v>
      </c>
      <c r="X581" s="283"/>
      <c r="Y581" s="275"/>
      <c r="Z581" s="280">
        <f>Tabla14[[#This Row],[Cajas Segunda]]</f>
        <v>0</v>
      </c>
      <c r="AA581" s="281">
        <f t="shared" si="576"/>
        <v>0</v>
      </c>
      <c r="AB581" s="284">
        <f t="shared" si="577"/>
        <v>0</v>
      </c>
      <c r="AC581" s="285"/>
      <c r="AD581" s="286"/>
      <c r="AE581" s="286"/>
      <c r="AF581" s="286"/>
      <c r="AG581" s="286"/>
      <c r="AH581" s="280">
        <f t="shared" si="578"/>
        <v>0</v>
      </c>
      <c r="AI581" s="281">
        <f t="shared" si="579"/>
        <v>0</v>
      </c>
      <c r="AJ581" s="282">
        <f t="shared" si="580"/>
        <v>0</v>
      </c>
      <c r="AK581" s="287">
        <f>Tabla14[[#This Row],[Cajas por Personas]]</f>
        <v>0</v>
      </c>
      <c r="AL581" s="288">
        <f>Tabla14[[#This Row],[Valor Precorte Pesona]]</f>
        <v>0</v>
      </c>
      <c r="AM581" s="294">
        <f>Tabla14[[#This Row],[Personas Precorte]]</f>
        <v>0</v>
      </c>
      <c r="AN581" s="308">
        <f>Tabla14[[#This Row],[Valor Precorte Pesona Precorte]]*Tabla14[[#This Row],[Perzonas Precorte]]</f>
        <v>0</v>
      </c>
      <c r="AO581" s="287">
        <f>Tabla14[[#This Row],[Cajas por Personas2]]</f>
        <v>0</v>
      </c>
      <c r="AP581" s="288">
        <f>Tabla14[[#This Row],[Valor Embarque Pesona]]</f>
        <v>0</v>
      </c>
      <c r="AQ581" s="295">
        <f>Tabla14[[#This Row],[Personas Precorte2]]</f>
        <v>0</v>
      </c>
      <c r="AR581" s="296">
        <f>Tabla14[[#This Row],[Valor Embarque Pesona3]]*Tabla14[[#This Row],[Perzona Primera]]</f>
        <v>0</v>
      </c>
      <c r="AS581" s="287">
        <f>Tabla14[[#This Row],[Columna2]]</f>
        <v>0</v>
      </c>
      <c r="AT581" s="288">
        <f>Tabla14[[#This Row],[Columna1]]</f>
        <v>0</v>
      </c>
      <c r="AU581" s="302">
        <f>Tabla14[[#This Row],[Personas Intervienen]]</f>
        <v>0</v>
      </c>
      <c r="AV581" s="297">
        <f>Tabla14[[#This Row],[Valor Embarque Pesona5]]*Tabla14[[#This Row],[Presonas Segunda]]</f>
        <v>0</v>
      </c>
      <c r="AW581" s="287">
        <f>Tabla14[[#This Row],[Bolsas Por Personas]]</f>
        <v>0</v>
      </c>
      <c r="AX581" s="288">
        <f>Tabla14[[#This Row],[Valor bolsas Pesona]]</f>
        <v>0</v>
      </c>
      <c r="AY581" s="309">
        <f>Tabla14[[#This Row],[Personas13]]</f>
        <v>0</v>
      </c>
      <c r="AZ581" s="310">
        <f>Tabla14[[#This Row],[Valor bolsas Pesona2]]*Tabla14[[#This Row],[Personas Rechazo]]</f>
        <v>0</v>
      </c>
      <c r="BA581" s="311">
        <f>+Tabla14[[#This Row],[Total Valor Segunda]]+Tabla14[[#This Row],[Total Valor Primera]]+Tabla14[[#This Row],[Total Valor Precorte]]</f>
        <v>0</v>
      </c>
      <c r="BB581" s="292">
        <f>Tabla14[[#This Row],[Valor bolsas Pesona2]]+Tabla14[[#This Row],[Valor Embarque Pesona3]]</f>
        <v>0</v>
      </c>
      <c r="BD581" s="292">
        <f>Tabla14[[#This Row],[VALOR GANADO]]-Tabla14[[#This Row],[REAJUSTADO]]</f>
        <v>0</v>
      </c>
      <c r="BE581" s="250">
        <f>Tabla14[[#This Row],[CUANTO SE REAJUSTA]]*Tabla14[[#This Row],[Personas Rechazo]]</f>
        <v>0</v>
      </c>
      <c r="BF581" s="250">
        <f>Tabla14[[#This Row],[REAJUSTADO]]/25000</f>
        <v>0</v>
      </c>
      <c r="BG581" s="302">
        <f>Tabla14[[#This Row],[REAJUSTADO]]*Tabla14[[#This Row],[Personas Rechazo]]</f>
        <v>0</v>
      </c>
      <c r="BH581" s="292" t="str">
        <f>Tabla14[[#This Row],[Finca]]</f>
        <v>Uveros</v>
      </c>
      <c r="BJ581" s="332">
        <f>Tabla14[[#This Row],[Numero de Ocacionales]]*Tabla14[[#This Row],[REAJUSTADO]]</f>
        <v>0</v>
      </c>
      <c r="BK581" s="332"/>
      <c r="BL581" s="332"/>
      <c r="BM581" s="332">
        <f>+Tabla14[[#This Row],[CUANTO SE REAJUSTA]]*3</f>
        <v>0</v>
      </c>
    </row>
    <row r="582" spans="3:65" x14ac:dyDescent="0.25">
      <c r="C582" s="515">
        <v>45370</v>
      </c>
      <c r="D582" s="549">
        <f>YEAR(Tabla14[[#This Row],[Fecha]])</f>
        <v>2024</v>
      </c>
      <c r="E582" s="516">
        <f>IF(Tabla14[[#This Row],[Fecha]]&gt;0,_xlfn.ISOWEEKNUM(Tabla14[[#This Row],[Fecha]]),0)</f>
        <v>12</v>
      </c>
      <c r="F582" s="283">
        <v>174</v>
      </c>
      <c r="G582" s="275" t="s">
        <v>274</v>
      </c>
      <c r="H582" s="325" t="str">
        <f>_xlfn.XLOOKUP(Tabla14[[#This Row],[Codigo Finca]],Tabla4[Codigo Finca],Tabla4[Nombre Finca],"")</f>
        <v>San Pedro</v>
      </c>
      <c r="I582" s="277">
        <f>_xlfn.XLOOKUP(Tabla14[[#This Row],[Codigo Finca]],Tabla4[Codigo Finca],Tabla4[Precio Caja],0)</f>
        <v>2000</v>
      </c>
      <c r="J582" s="277">
        <f>_xlfn.XLOOKUP(Tabla14[[#This Row],[Codigo Finca]],Tabla4[Codigo Finca],Tabla4[Precio Caja Segunda],0)</f>
        <v>0</v>
      </c>
      <c r="K582" s="277">
        <f>_xlfn.XLOOKUP(Tabla14[[#This Row],[Codigo Finca]],Tabla4[Codigo Finca],Tabla4[Precio Rechazo],0)</f>
        <v>575</v>
      </c>
      <c r="L582" s="277">
        <f t="shared" si="568"/>
        <v>1071</v>
      </c>
      <c r="M582" s="278">
        <f t="shared" si="569"/>
        <v>6.1551724137931032</v>
      </c>
      <c r="N582" s="283"/>
      <c r="O582" s="279"/>
      <c r="P582" s="280">
        <f t="shared" si="570"/>
        <v>0</v>
      </c>
      <c r="Q582" s="281">
        <f t="shared" si="571"/>
        <v>0</v>
      </c>
      <c r="R582" s="282">
        <f t="shared" si="572"/>
        <v>0</v>
      </c>
      <c r="S582" s="283">
        <v>1071</v>
      </c>
      <c r="T582" s="275"/>
      <c r="U582" s="280">
        <f t="shared" si="573"/>
        <v>174</v>
      </c>
      <c r="V582" s="281">
        <f t="shared" si="574"/>
        <v>0</v>
      </c>
      <c r="W582" s="282">
        <f t="shared" si="575"/>
        <v>0</v>
      </c>
      <c r="X582" s="283"/>
      <c r="Y582" s="275"/>
      <c r="Z582" s="280">
        <f>Tabla14[[#This Row],[Cajas Segunda]]</f>
        <v>0</v>
      </c>
      <c r="AA582" s="281">
        <f t="shared" si="576"/>
        <v>0</v>
      </c>
      <c r="AB582" s="284">
        <f t="shared" si="577"/>
        <v>0</v>
      </c>
      <c r="AC582" s="285"/>
      <c r="AD582" s="286"/>
      <c r="AE582" s="286"/>
      <c r="AF582" s="286"/>
      <c r="AG582" s="286"/>
      <c r="AH582" s="280">
        <f t="shared" si="578"/>
        <v>0</v>
      </c>
      <c r="AI582" s="281">
        <f t="shared" si="579"/>
        <v>0</v>
      </c>
      <c r="AJ582" s="282">
        <f t="shared" si="580"/>
        <v>0</v>
      </c>
      <c r="AK582" s="287">
        <f>Tabla14[[#This Row],[Cajas por Personas]]</f>
        <v>0</v>
      </c>
      <c r="AL582" s="288">
        <f>Tabla14[[#This Row],[Valor Precorte Pesona]]</f>
        <v>0</v>
      </c>
      <c r="AM582" s="294">
        <f>Tabla14[[#This Row],[Personas Precorte]]</f>
        <v>0</v>
      </c>
      <c r="AN582" s="308">
        <f>Tabla14[[#This Row],[Valor Precorte Pesona Precorte]]*Tabla14[[#This Row],[Perzonas Precorte]]</f>
        <v>0</v>
      </c>
      <c r="AO582" s="287">
        <f>Tabla14[[#This Row],[Cajas por Personas2]]</f>
        <v>0</v>
      </c>
      <c r="AP582" s="288">
        <f>Tabla14[[#This Row],[Valor Embarque Pesona]]</f>
        <v>0</v>
      </c>
      <c r="AQ582" s="295">
        <f>Tabla14[[#This Row],[Personas Precorte2]]</f>
        <v>0</v>
      </c>
      <c r="AR582" s="296">
        <f>Tabla14[[#This Row],[Valor Embarque Pesona3]]*Tabla14[[#This Row],[Perzona Primera]]</f>
        <v>0</v>
      </c>
      <c r="AS582" s="287">
        <f>Tabla14[[#This Row],[Columna2]]</f>
        <v>0</v>
      </c>
      <c r="AT582" s="288">
        <f>Tabla14[[#This Row],[Columna1]]</f>
        <v>0</v>
      </c>
      <c r="AU582" s="302">
        <f>Tabla14[[#This Row],[Personas Intervienen]]</f>
        <v>0</v>
      </c>
      <c r="AV582" s="297">
        <f>Tabla14[[#This Row],[Valor Embarque Pesona5]]*Tabla14[[#This Row],[Presonas Segunda]]</f>
        <v>0</v>
      </c>
      <c r="AW582" s="287">
        <f>Tabla14[[#This Row],[Bolsas Por Personas]]</f>
        <v>0</v>
      </c>
      <c r="AX582" s="288">
        <f>Tabla14[[#This Row],[Valor bolsas Pesona]]</f>
        <v>0</v>
      </c>
      <c r="AY582" s="309">
        <f>Tabla14[[#This Row],[Personas13]]</f>
        <v>0</v>
      </c>
      <c r="AZ582" s="310">
        <f>Tabla14[[#This Row],[Valor bolsas Pesona2]]*Tabla14[[#This Row],[Personas Rechazo]]</f>
        <v>0</v>
      </c>
      <c r="BA582" s="311">
        <f>+Tabla14[[#This Row],[Total Valor Segunda]]+Tabla14[[#This Row],[Total Valor Primera]]+Tabla14[[#This Row],[Total Valor Precorte]]</f>
        <v>0</v>
      </c>
      <c r="BB582" s="292">
        <f>Tabla14[[#This Row],[Valor bolsas Pesona2]]+Tabla14[[#This Row],[Valor Embarque Pesona3]]</f>
        <v>0</v>
      </c>
      <c r="BD582" s="292">
        <f>Tabla14[[#This Row],[VALOR GANADO]]-Tabla14[[#This Row],[REAJUSTADO]]</f>
        <v>0</v>
      </c>
      <c r="BE582" s="250">
        <f>Tabla14[[#This Row],[CUANTO SE REAJUSTA]]*Tabla14[[#This Row],[Personas Rechazo]]</f>
        <v>0</v>
      </c>
      <c r="BF582" s="250">
        <f>Tabla14[[#This Row],[REAJUSTADO]]/25000</f>
        <v>0</v>
      </c>
      <c r="BG582" s="302">
        <f>Tabla14[[#This Row],[REAJUSTADO]]*Tabla14[[#This Row],[Personas Rechazo]]</f>
        <v>0</v>
      </c>
      <c r="BH582" s="292" t="str">
        <f>Tabla14[[#This Row],[Finca]]</f>
        <v>San Pedro</v>
      </c>
      <c r="BJ582" s="332">
        <f>Tabla14[[#This Row],[Numero de Ocacionales]]*Tabla14[[#This Row],[REAJUSTADO]]</f>
        <v>0</v>
      </c>
      <c r="BK582" s="332"/>
      <c r="BL582" s="332"/>
      <c r="BM582" s="332">
        <f>+Tabla14[[#This Row],[CUANTO SE REAJUSTA]]*3</f>
        <v>0</v>
      </c>
    </row>
    <row r="583" spans="3:65" x14ac:dyDescent="0.25">
      <c r="C583" s="515">
        <v>45370</v>
      </c>
      <c r="D583" s="549">
        <f>YEAR(Tabla14[[#This Row],[Fecha]])</f>
        <v>2024</v>
      </c>
      <c r="E583" s="516">
        <f>IF(Tabla14[[#This Row],[Fecha]]&gt;0,_xlfn.ISOWEEKNUM(Tabla14[[#This Row],[Fecha]]),0)</f>
        <v>12</v>
      </c>
      <c r="F583" s="283"/>
      <c r="G583" s="275" t="s">
        <v>273</v>
      </c>
      <c r="H583" s="325" t="str">
        <f>_xlfn.XLOOKUP(Tabla14[[#This Row],[Codigo Finca]],Tabla4[Codigo Finca],Tabla4[Nombre Finca],"")</f>
        <v>San Pedro</v>
      </c>
      <c r="I583" s="277">
        <f>_xlfn.XLOOKUP(Tabla14[[#This Row],[Codigo Finca]],Tabla4[Codigo Finca],Tabla4[Precio Caja],0)</f>
        <v>2200</v>
      </c>
      <c r="J583" s="277">
        <f>_xlfn.XLOOKUP(Tabla14[[#This Row],[Codigo Finca]],Tabla4[Codigo Finca],Tabla4[Precio Caja Segunda],0)</f>
        <v>0</v>
      </c>
      <c r="K583" s="277">
        <f>_xlfn.XLOOKUP(Tabla14[[#This Row],[Codigo Finca]],Tabla4[Codigo Finca],Tabla4[Precio Rechazo],0)</f>
        <v>675</v>
      </c>
      <c r="L583" s="277">
        <f t="shared" si="568"/>
        <v>78</v>
      </c>
      <c r="M583" s="278">
        <f t="shared" si="569"/>
        <v>0</v>
      </c>
      <c r="N583" s="283"/>
      <c r="O583" s="279"/>
      <c r="P583" s="280">
        <f t="shared" si="570"/>
        <v>0</v>
      </c>
      <c r="Q583" s="281">
        <f t="shared" si="571"/>
        <v>0</v>
      </c>
      <c r="R583" s="282">
        <f t="shared" si="572"/>
        <v>0</v>
      </c>
      <c r="S583" s="283">
        <v>78</v>
      </c>
      <c r="T583" s="275"/>
      <c r="U583" s="280">
        <f t="shared" si="573"/>
        <v>0</v>
      </c>
      <c r="V583" s="281">
        <f t="shared" si="574"/>
        <v>0</v>
      </c>
      <c r="W583" s="282">
        <f t="shared" si="575"/>
        <v>0</v>
      </c>
      <c r="X583" s="283"/>
      <c r="Y583" s="275"/>
      <c r="Z583" s="280">
        <f>Tabla14[[#This Row],[Cajas Segunda]]</f>
        <v>0</v>
      </c>
      <c r="AA583" s="281">
        <f t="shared" si="576"/>
        <v>0</v>
      </c>
      <c r="AB583" s="284">
        <f t="shared" si="577"/>
        <v>0</v>
      </c>
      <c r="AC583" s="285"/>
      <c r="AD583" s="286"/>
      <c r="AE583" s="286"/>
      <c r="AF583" s="286"/>
      <c r="AG583" s="286"/>
      <c r="AH583" s="280">
        <f t="shared" si="578"/>
        <v>0</v>
      </c>
      <c r="AI583" s="281">
        <f t="shared" si="579"/>
        <v>0</v>
      </c>
      <c r="AJ583" s="282">
        <f t="shared" si="580"/>
        <v>0</v>
      </c>
      <c r="AK583" s="287">
        <f>Tabla14[[#This Row],[Cajas por Personas]]</f>
        <v>0</v>
      </c>
      <c r="AL583" s="288">
        <f>Tabla14[[#This Row],[Valor Precorte Pesona]]</f>
        <v>0</v>
      </c>
      <c r="AM583" s="294">
        <f>Tabla14[[#This Row],[Personas Precorte]]</f>
        <v>0</v>
      </c>
      <c r="AN583" s="308">
        <f>Tabla14[[#This Row],[Valor Precorte Pesona Precorte]]*Tabla14[[#This Row],[Perzonas Precorte]]</f>
        <v>0</v>
      </c>
      <c r="AO583" s="287">
        <f>Tabla14[[#This Row],[Cajas por Personas2]]</f>
        <v>0</v>
      </c>
      <c r="AP583" s="288">
        <f>Tabla14[[#This Row],[Valor Embarque Pesona]]</f>
        <v>0</v>
      </c>
      <c r="AQ583" s="295">
        <f>Tabla14[[#This Row],[Personas Precorte2]]</f>
        <v>0</v>
      </c>
      <c r="AR583" s="296">
        <f>Tabla14[[#This Row],[Valor Embarque Pesona3]]*Tabla14[[#This Row],[Perzona Primera]]</f>
        <v>0</v>
      </c>
      <c r="AS583" s="287">
        <f>Tabla14[[#This Row],[Columna2]]</f>
        <v>0</v>
      </c>
      <c r="AT583" s="288">
        <f>Tabla14[[#This Row],[Columna1]]</f>
        <v>0</v>
      </c>
      <c r="AU583" s="302">
        <f>Tabla14[[#This Row],[Personas Intervienen]]</f>
        <v>0</v>
      </c>
      <c r="AV583" s="297">
        <f>Tabla14[[#This Row],[Valor Embarque Pesona5]]*Tabla14[[#This Row],[Presonas Segunda]]</f>
        <v>0</v>
      </c>
      <c r="AW583" s="287">
        <f>Tabla14[[#This Row],[Bolsas Por Personas]]</f>
        <v>0</v>
      </c>
      <c r="AX583" s="288">
        <f>Tabla14[[#This Row],[Valor bolsas Pesona]]</f>
        <v>0</v>
      </c>
      <c r="AY583" s="309">
        <f>Tabla14[[#This Row],[Personas13]]</f>
        <v>0</v>
      </c>
      <c r="AZ583" s="310">
        <f>Tabla14[[#This Row],[Valor bolsas Pesona2]]*Tabla14[[#This Row],[Personas Rechazo]]</f>
        <v>0</v>
      </c>
      <c r="BA583" s="311">
        <f>+Tabla14[[#This Row],[Total Valor Segunda]]+Tabla14[[#This Row],[Total Valor Primera]]+Tabla14[[#This Row],[Total Valor Precorte]]</f>
        <v>0</v>
      </c>
      <c r="BB583" s="292">
        <f>Tabla14[[#This Row],[Valor bolsas Pesona2]]+Tabla14[[#This Row],[Valor Embarque Pesona3]]</f>
        <v>0</v>
      </c>
      <c r="BD583" s="292">
        <f>Tabla14[[#This Row],[VALOR GANADO]]-Tabla14[[#This Row],[REAJUSTADO]]</f>
        <v>0</v>
      </c>
      <c r="BE583" s="250">
        <f>Tabla14[[#This Row],[CUANTO SE REAJUSTA]]*Tabla14[[#This Row],[Personas Rechazo]]</f>
        <v>0</v>
      </c>
      <c r="BF583" s="250">
        <f>Tabla14[[#This Row],[REAJUSTADO]]/25000</f>
        <v>0</v>
      </c>
      <c r="BG583" s="302">
        <f>Tabla14[[#This Row],[REAJUSTADO]]*Tabla14[[#This Row],[Personas Rechazo]]</f>
        <v>0</v>
      </c>
      <c r="BH583" s="292" t="str">
        <f>Tabla14[[#This Row],[Finca]]</f>
        <v>San Pedro</v>
      </c>
      <c r="BJ583" s="332">
        <f>Tabla14[[#This Row],[Numero de Ocacionales]]*Tabla14[[#This Row],[REAJUSTADO]]</f>
        <v>0</v>
      </c>
      <c r="BK583" s="332"/>
      <c r="BL583" s="332"/>
      <c r="BM583" s="332">
        <f>+Tabla14[[#This Row],[CUANTO SE REAJUSTA]]*3</f>
        <v>0</v>
      </c>
    </row>
    <row r="584" spans="3:65" x14ac:dyDescent="0.25">
      <c r="C584" s="515">
        <v>45377</v>
      </c>
      <c r="D584" s="549">
        <f>YEAR(Tabla14[[#This Row],[Fecha]])</f>
        <v>2024</v>
      </c>
      <c r="E584" s="516">
        <f>IF(Tabla14[[#This Row],[Fecha]]&gt;0,_xlfn.ISOWEEKNUM(Tabla14[[#This Row],[Fecha]]),0)</f>
        <v>13</v>
      </c>
      <c r="F584" s="283">
        <v>145</v>
      </c>
      <c r="G584" s="275" t="s">
        <v>274</v>
      </c>
      <c r="H584" s="325" t="str">
        <f>_xlfn.XLOOKUP(Tabla14[[#This Row],[Codigo Finca]],Tabla4[Codigo Finca],Tabla4[Nombre Finca],"")</f>
        <v>San Pedro</v>
      </c>
      <c r="I584" s="277">
        <f>_xlfn.XLOOKUP(Tabla14[[#This Row],[Codigo Finca]],Tabla4[Codigo Finca],Tabla4[Precio Caja],0)</f>
        <v>2000</v>
      </c>
      <c r="J584" s="277">
        <f>_xlfn.XLOOKUP(Tabla14[[#This Row],[Codigo Finca]],Tabla4[Codigo Finca],Tabla4[Precio Caja Segunda],0)</f>
        <v>0</v>
      </c>
      <c r="K584" s="277">
        <f>_xlfn.XLOOKUP(Tabla14[[#This Row],[Codigo Finca]],Tabla4[Codigo Finca],Tabla4[Precio Rechazo],0)</f>
        <v>575</v>
      </c>
      <c r="L584" s="277">
        <f t="shared" si="568"/>
        <v>912</v>
      </c>
      <c r="M584" s="278">
        <f>IF(F584&gt;0,L584/F584,0)</f>
        <v>6.2896551724137932</v>
      </c>
      <c r="N584" s="283"/>
      <c r="O584" s="279"/>
      <c r="P584" s="280">
        <f t="shared" si="570"/>
        <v>0</v>
      </c>
      <c r="Q584" s="281">
        <f t="shared" si="571"/>
        <v>0</v>
      </c>
      <c r="R584" s="282">
        <f t="shared" si="572"/>
        <v>0</v>
      </c>
      <c r="S584" s="283">
        <f>982-70</f>
        <v>912</v>
      </c>
      <c r="T584" s="275">
        <v>15</v>
      </c>
      <c r="U584" s="280">
        <f t="shared" si="573"/>
        <v>145</v>
      </c>
      <c r="V584" s="281">
        <f t="shared" si="574"/>
        <v>9.6666666666666661</v>
      </c>
      <c r="W584" s="282">
        <f t="shared" si="575"/>
        <v>19333.333333333332</v>
      </c>
      <c r="X584" s="283"/>
      <c r="Y584" s="275"/>
      <c r="Z584" s="280">
        <f>Tabla14[[#This Row],[Cajas Segunda]]</f>
        <v>0</v>
      </c>
      <c r="AA584" s="281">
        <f t="shared" si="576"/>
        <v>0</v>
      </c>
      <c r="AB584" s="284">
        <f t="shared" si="577"/>
        <v>0</v>
      </c>
      <c r="AC584" s="285"/>
      <c r="AD584" s="286">
        <v>4136.1499999999996</v>
      </c>
      <c r="AE584" s="286"/>
      <c r="AF584" s="286"/>
      <c r="AG584" s="286"/>
      <c r="AH584" s="280">
        <f t="shared" si="578"/>
        <v>165.446</v>
      </c>
      <c r="AI584" s="281">
        <f t="shared" si="579"/>
        <v>0</v>
      </c>
      <c r="AJ584" s="282">
        <f t="shared" si="580"/>
        <v>0</v>
      </c>
      <c r="AK584" s="287">
        <f>Tabla14[[#This Row],[Cajas por Personas]]</f>
        <v>0</v>
      </c>
      <c r="AL584" s="288">
        <f>Tabla14[[#This Row],[Valor Precorte Pesona]]</f>
        <v>0</v>
      </c>
      <c r="AM584" s="294">
        <f>Tabla14[[#This Row],[Personas Precorte]]</f>
        <v>0</v>
      </c>
      <c r="AN584" s="308">
        <f>Tabla14[[#This Row],[Valor Precorte Pesona Precorte]]*Tabla14[[#This Row],[Perzonas Precorte]]</f>
        <v>0</v>
      </c>
      <c r="AO584" s="287">
        <f>Tabla14[[#This Row],[Cajas por Personas2]]</f>
        <v>9.6666666666666661</v>
      </c>
      <c r="AP584" s="288">
        <f>Tabla14[[#This Row],[Valor Embarque Pesona]]</f>
        <v>19333.333333333332</v>
      </c>
      <c r="AQ584" s="295">
        <f>Tabla14[[#This Row],[Personas Precorte2]]</f>
        <v>15</v>
      </c>
      <c r="AR584" s="296">
        <f>Tabla14[[#This Row],[Valor Embarque Pesona3]]*Tabla14[[#This Row],[Perzona Primera]]</f>
        <v>290000</v>
      </c>
      <c r="AS584" s="287">
        <f>Tabla14[[#This Row],[Columna2]]</f>
        <v>0</v>
      </c>
      <c r="AT584" s="288">
        <f>Tabla14[[#This Row],[Columna1]]</f>
        <v>0</v>
      </c>
      <c r="AU584" s="302">
        <f>Tabla14[[#This Row],[Personas Intervienen]]</f>
        <v>0</v>
      </c>
      <c r="AV584" s="297">
        <f>Tabla14[[#This Row],[Valor Embarque Pesona5]]*Tabla14[[#This Row],[Presonas Segunda]]</f>
        <v>0</v>
      </c>
      <c r="AW584" s="287">
        <f>Tabla14[[#This Row],[Bolsas Por Personas]]</f>
        <v>0</v>
      </c>
      <c r="AX584" s="288">
        <f>Tabla14[[#This Row],[Valor bolsas Pesona]]</f>
        <v>0</v>
      </c>
      <c r="AY584" s="309">
        <f>Tabla14[[#This Row],[Personas13]]</f>
        <v>0</v>
      </c>
      <c r="AZ584" s="310">
        <f>Tabla14[[#This Row],[Valor bolsas Pesona2]]*Tabla14[[#This Row],[Personas Rechazo]]</f>
        <v>0</v>
      </c>
      <c r="BA584" s="311">
        <f>+Tabla14[[#This Row],[Total Valor Segunda]]+Tabla14[[#This Row],[Total Valor Primera]]+Tabla14[[#This Row],[Total Valor Precorte]]</f>
        <v>290000</v>
      </c>
      <c r="BB584" s="292">
        <f>Tabla14[[#This Row],[Valor bolsas Pesona2]]+Tabla14[[#This Row],[Valor Embarque Pesona3]]</f>
        <v>19333.333333333332</v>
      </c>
      <c r="BC584" s="332">
        <f>+Tabla14[[#This Row],[VALOR GANADO]]+BB585</f>
        <v>20800</v>
      </c>
      <c r="BD584" s="292">
        <f>Tabla14[[#This Row],[VALOR GANADO]]-Tabla14[[#This Row],[REAJUSTADO]]</f>
        <v>-1466.6666666666679</v>
      </c>
      <c r="BE584" s="250">
        <f>Tabla14[[#This Row],[CUANTO SE REAJUSTA]]*Tabla14[[#This Row],[Personas Rechazo]]</f>
        <v>0</v>
      </c>
      <c r="BF584" s="250">
        <f>Tabla14[[#This Row],[REAJUSTADO]]/25000</f>
        <v>0.83199999999999996</v>
      </c>
      <c r="BG584" s="302">
        <f>Tabla14[[#This Row],[REAJUSTADO]]*Tabla14[[#This Row],[Personas Rechazo]]</f>
        <v>0</v>
      </c>
      <c r="BH584" s="292" t="str">
        <f>Tabla14[[#This Row],[Finca]]</f>
        <v>San Pedro</v>
      </c>
      <c r="BJ584" s="332">
        <f>Tabla14[[#This Row],[Numero de Ocacionales]]*Tabla14[[#This Row],[REAJUSTADO]]</f>
        <v>0</v>
      </c>
      <c r="BK584" s="332"/>
      <c r="BL584" s="332"/>
      <c r="BM584" s="332">
        <f>+Tabla14[[#This Row],[CUANTO SE REAJUSTA]]*3</f>
        <v>-4400.0000000000036</v>
      </c>
    </row>
    <row r="585" spans="3:65" x14ac:dyDescent="0.25">
      <c r="C585" s="515">
        <v>45377</v>
      </c>
      <c r="D585" s="549">
        <f>YEAR(Tabla14[[#This Row],[Fecha]])</f>
        <v>2024</v>
      </c>
      <c r="E585" s="516">
        <f>IF(Tabla14[[#This Row],[Fecha]]&gt;0,_xlfn.ISOWEEKNUM(Tabla14[[#This Row],[Fecha]]),0)</f>
        <v>13</v>
      </c>
      <c r="F585" s="283">
        <v>10</v>
      </c>
      <c r="G585" s="275" t="s">
        <v>273</v>
      </c>
      <c r="H585" s="325" t="str">
        <f>_xlfn.XLOOKUP(Tabla14[[#This Row],[Codigo Finca]],Tabla4[Codigo Finca],Tabla4[Nombre Finca],"")</f>
        <v>San Pedro</v>
      </c>
      <c r="I585" s="277">
        <f>_xlfn.XLOOKUP(Tabla14[[#This Row],[Codigo Finca]],Tabla4[Codigo Finca],Tabla4[Precio Caja],0)</f>
        <v>2200</v>
      </c>
      <c r="J585" s="277">
        <f>_xlfn.XLOOKUP(Tabla14[[#This Row],[Codigo Finca]],Tabla4[Codigo Finca],Tabla4[Precio Caja Segunda],0)</f>
        <v>0</v>
      </c>
      <c r="K585" s="277">
        <f>_xlfn.XLOOKUP(Tabla14[[#This Row],[Codigo Finca]],Tabla4[Codigo Finca],Tabla4[Precio Rechazo],0)</f>
        <v>675</v>
      </c>
      <c r="L585" s="277">
        <f t="shared" si="568"/>
        <v>70</v>
      </c>
      <c r="M585" s="278">
        <f t="shared" si="569"/>
        <v>7</v>
      </c>
      <c r="N585" s="283"/>
      <c r="O585" s="279"/>
      <c r="P585" s="280">
        <f t="shared" si="570"/>
        <v>0</v>
      </c>
      <c r="Q585" s="281">
        <f t="shared" si="571"/>
        <v>0</v>
      </c>
      <c r="R585" s="282">
        <f t="shared" si="572"/>
        <v>0</v>
      </c>
      <c r="S585" s="283">
        <v>70</v>
      </c>
      <c r="T585" s="275">
        <v>15</v>
      </c>
      <c r="U585" s="280">
        <f t="shared" si="573"/>
        <v>10</v>
      </c>
      <c r="V585" s="281">
        <f t="shared" si="574"/>
        <v>0.66666666666666663</v>
      </c>
      <c r="W585" s="282">
        <f t="shared" si="575"/>
        <v>1466.6666666666667</v>
      </c>
      <c r="X585" s="283"/>
      <c r="Y585" s="275"/>
      <c r="Z585" s="280">
        <f>Tabla14[[#This Row],[Cajas Segunda]]</f>
        <v>0</v>
      </c>
      <c r="AA585" s="281">
        <f t="shared" si="576"/>
        <v>0</v>
      </c>
      <c r="AB585" s="284">
        <f t="shared" si="577"/>
        <v>0</v>
      </c>
      <c r="AC585" s="285"/>
      <c r="AD585" s="286">
        <v>160</v>
      </c>
      <c r="AE585" s="286"/>
      <c r="AF585" s="286"/>
      <c r="AG585" s="286"/>
      <c r="AH585" s="280">
        <f t="shared" si="578"/>
        <v>6.4</v>
      </c>
      <c r="AI585" s="281">
        <f t="shared" si="579"/>
        <v>0</v>
      </c>
      <c r="AJ585" s="282">
        <f t="shared" si="580"/>
        <v>0</v>
      </c>
      <c r="AK585" s="287">
        <f>Tabla14[[#This Row],[Cajas por Personas]]</f>
        <v>0</v>
      </c>
      <c r="AL585" s="288">
        <f>Tabla14[[#This Row],[Valor Precorte Pesona]]</f>
        <v>0</v>
      </c>
      <c r="AM585" s="294">
        <f>Tabla14[[#This Row],[Personas Precorte]]</f>
        <v>0</v>
      </c>
      <c r="AN585" s="308">
        <f>Tabla14[[#This Row],[Valor Precorte Pesona Precorte]]*Tabla14[[#This Row],[Perzonas Precorte]]</f>
        <v>0</v>
      </c>
      <c r="AO585" s="287">
        <f>Tabla14[[#This Row],[Cajas por Personas2]]</f>
        <v>0.66666666666666663</v>
      </c>
      <c r="AP585" s="288">
        <f>Tabla14[[#This Row],[Valor Embarque Pesona]]</f>
        <v>1466.6666666666667</v>
      </c>
      <c r="AQ585" s="295">
        <f>Tabla14[[#This Row],[Personas Precorte2]]</f>
        <v>15</v>
      </c>
      <c r="AR585" s="296">
        <f>Tabla14[[#This Row],[Valor Embarque Pesona3]]*Tabla14[[#This Row],[Perzona Primera]]</f>
        <v>22000</v>
      </c>
      <c r="AS585" s="287">
        <f>Tabla14[[#This Row],[Columna2]]</f>
        <v>0</v>
      </c>
      <c r="AT585" s="288">
        <f>Tabla14[[#This Row],[Columna1]]</f>
        <v>0</v>
      </c>
      <c r="AU585" s="302">
        <f>Tabla14[[#This Row],[Personas Intervienen]]</f>
        <v>0</v>
      </c>
      <c r="AV585" s="297">
        <f>Tabla14[[#This Row],[Valor Embarque Pesona5]]*Tabla14[[#This Row],[Presonas Segunda]]</f>
        <v>0</v>
      </c>
      <c r="AW585" s="287">
        <f>Tabla14[[#This Row],[Bolsas Por Personas]]</f>
        <v>0</v>
      </c>
      <c r="AX585" s="288">
        <f>Tabla14[[#This Row],[Valor bolsas Pesona]]</f>
        <v>0</v>
      </c>
      <c r="AY585" s="309">
        <f>Tabla14[[#This Row],[Personas13]]</f>
        <v>0</v>
      </c>
      <c r="AZ585" s="310">
        <f>Tabla14[[#This Row],[Valor bolsas Pesona2]]*Tabla14[[#This Row],[Personas Rechazo]]</f>
        <v>0</v>
      </c>
      <c r="BA585" s="311">
        <f>+Tabla14[[#This Row],[Total Valor Segunda]]+Tabla14[[#This Row],[Total Valor Primera]]+Tabla14[[#This Row],[Total Valor Precorte]]</f>
        <v>22000</v>
      </c>
      <c r="BB585" s="292">
        <f>Tabla14[[#This Row],[Valor bolsas Pesona2]]+Tabla14[[#This Row],[Valor Embarque Pesona3]]</f>
        <v>1466.6666666666667</v>
      </c>
      <c r="BC585" s="332">
        <v>45000</v>
      </c>
      <c r="BD585" s="292">
        <f>Tabla14[[#This Row],[VALOR GANADO]]-Tabla14[[#This Row],[REAJUSTADO]]</f>
        <v>-43533.333333333336</v>
      </c>
      <c r="BE585" s="250">
        <f>Tabla14[[#This Row],[CUANTO SE REAJUSTA]]*Tabla14[[#This Row],[Personas Rechazo]]</f>
        <v>0</v>
      </c>
      <c r="BF585" s="250">
        <f>Tabla14[[#This Row],[REAJUSTADO]]/25000</f>
        <v>1.8</v>
      </c>
      <c r="BG585" s="302">
        <f>Tabla14[[#This Row],[REAJUSTADO]]*Tabla14[[#This Row],[Personas Rechazo]]</f>
        <v>0</v>
      </c>
      <c r="BH585" s="292" t="str">
        <f>Tabla14[[#This Row],[Finca]]</f>
        <v>San Pedro</v>
      </c>
      <c r="BJ585" s="332">
        <f>Tabla14[[#This Row],[Numero de Ocacionales]]*Tabla14[[#This Row],[REAJUSTADO]]</f>
        <v>0</v>
      </c>
      <c r="BK585" s="332"/>
      <c r="BL585" s="332"/>
      <c r="BM585" s="332">
        <f>+Tabla14[[#This Row],[CUANTO SE REAJUSTA]]*3</f>
        <v>-130600</v>
      </c>
    </row>
    <row r="586" spans="3:65" x14ac:dyDescent="0.25">
      <c r="C586" s="515">
        <v>45378</v>
      </c>
      <c r="D586" s="549">
        <f>YEAR(Tabla14[[#This Row],[Fecha]])</f>
        <v>2024</v>
      </c>
      <c r="E586" s="516">
        <f>IF(Tabla14[[#This Row],[Fecha]]&gt;0,_xlfn.ISOWEEKNUM(Tabla14[[#This Row],[Fecha]]),0)</f>
        <v>13</v>
      </c>
      <c r="F586" s="283">
        <v>119</v>
      </c>
      <c r="G586" s="275" t="s">
        <v>280</v>
      </c>
      <c r="H586" s="325" t="str">
        <f>_xlfn.XLOOKUP(Tabla14[[#This Row],[Codigo Finca]],Tabla4[Codigo Finca],Tabla4[Nombre Finca],"")</f>
        <v>Pedrito</v>
      </c>
      <c r="I586" s="277">
        <f>_xlfn.XLOOKUP(Tabla14[[#This Row],[Codigo Finca]],Tabla4[Codigo Finca],Tabla4[Precio Caja],0)</f>
        <v>2000</v>
      </c>
      <c r="J586" s="277">
        <f>_xlfn.XLOOKUP(Tabla14[[#This Row],[Codigo Finca]],Tabla4[Codigo Finca],Tabla4[Precio Caja Segunda],0)</f>
        <v>0</v>
      </c>
      <c r="K586" s="277">
        <f>_xlfn.XLOOKUP(Tabla14[[#This Row],[Codigo Finca]],Tabla4[Codigo Finca],Tabla4[Precio Rechazo],0)</f>
        <v>575</v>
      </c>
      <c r="L586" s="277">
        <f t="shared" si="568"/>
        <v>947</v>
      </c>
      <c r="M586" s="278">
        <f t="shared" si="569"/>
        <v>7.9579831932773111</v>
      </c>
      <c r="N586" s="283"/>
      <c r="O586" s="279"/>
      <c r="P586" s="280">
        <f t="shared" si="570"/>
        <v>0</v>
      </c>
      <c r="Q586" s="281">
        <f t="shared" si="571"/>
        <v>0</v>
      </c>
      <c r="R586" s="282">
        <f t="shared" si="572"/>
        <v>0</v>
      </c>
      <c r="S586" s="283">
        <v>947</v>
      </c>
      <c r="T586" s="275"/>
      <c r="U586" s="280">
        <f t="shared" si="573"/>
        <v>119</v>
      </c>
      <c r="V586" s="281">
        <f t="shared" si="574"/>
        <v>0</v>
      </c>
      <c r="W586" s="282">
        <f t="shared" si="575"/>
        <v>0</v>
      </c>
      <c r="X586" s="283"/>
      <c r="Y586" s="275"/>
      <c r="Z586" s="280">
        <f>Tabla14[[#This Row],[Cajas Segunda]]</f>
        <v>0</v>
      </c>
      <c r="AA586" s="281">
        <f t="shared" si="576"/>
        <v>0</v>
      </c>
      <c r="AB586" s="284">
        <f t="shared" si="577"/>
        <v>0</v>
      </c>
      <c r="AC586" s="285"/>
      <c r="AD586" s="286"/>
      <c r="AE586" s="286"/>
      <c r="AF586" s="286"/>
      <c r="AG586" s="286"/>
      <c r="AH586" s="280">
        <f t="shared" si="578"/>
        <v>0</v>
      </c>
      <c r="AI586" s="281">
        <f t="shared" si="579"/>
        <v>0</v>
      </c>
      <c r="AJ586" s="282">
        <f t="shared" si="580"/>
        <v>0</v>
      </c>
      <c r="AK586" s="287">
        <f>Tabla14[[#This Row],[Cajas por Personas]]</f>
        <v>0</v>
      </c>
      <c r="AL586" s="288">
        <f>Tabla14[[#This Row],[Valor Precorte Pesona]]</f>
        <v>0</v>
      </c>
      <c r="AM586" s="294">
        <f>Tabla14[[#This Row],[Personas Precorte]]</f>
        <v>0</v>
      </c>
      <c r="AN586" s="308">
        <f>Tabla14[[#This Row],[Valor Precorte Pesona Precorte]]*Tabla14[[#This Row],[Perzonas Precorte]]</f>
        <v>0</v>
      </c>
      <c r="AO586" s="287">
        <f>Tabla14[[#This Row],[Cajas por Personas2]]</f>
        <v>0</v>
      </c>
      <c r="AP586" s="288">
        <f>Tabla14[[#This Row],[Valor Embarque Pesona]]</f>
        <v>0</v>
      </c>
      <c r="AQ586" s="295">
        <f>Tabla14[[#This Row],[Personas Precorte2]]</f>
        <v>0</v>
      </c>
      <c r="AR586" s="296">
        <f>Tabla14[[#This Row],[Valor Embarque Pesona3]]*Tabla14[[#This Row],[Perzona Primera]]</f>
        <v>0</v>
      </c>
      <c r="AS586" s="287">
        <f>Tabla14[[#This Row],[Columna2]]</f>
        <v>0</v>
      </c>
      <c r="AT586" s="288">
        <f>Tabla14[[#This Row],[Columna1]]</f>
        <v>0</v>
      </c>
      <c r="AU586" s="302">
        <f>Tabla14[[#This Row],[Personas Intervienen]]</f>
        <v>0</v>
      </c>
      <c r="AV586" s="297">
        <f>Tabla14[[#This Row],[Valor Embarque Pesona5]]*Tabla14[[#This Row],[Presonas Segunda]]</f>
        <v>0</v>
      </c>
      <c r="AW586" s="287">
        <f>Tabla14[[#This Row],[Bolsas Por Personas]]</f>
        <v>0</v>
      </c>
      <c r="AX586" s="288">
        <f>Tabla14[[#This Row],[Valor bolsas Pesona]]</f>
        <v>0</v>
      </c>
      <c r="AY586" s="309">
        <f>Tabla14[[#This Row],[Personas13]]</f>
        <v>0</v>
      </c>
      <c r="AZ586" s="310">
        <f>Tabla14[[#This Row],[Valor bolsas Pesona2]]*Tabla14[[#This Row],[Personas Rechazo]]</f>
        <v>0</v>
      </c>
      <c r="BA586" s="311">
        <f>+Tabla14[[#This Row],[Total Valor Segunda]]+Tabla14[[#This Row],[Total Valor Primera]]+Tabla14[[#This Row],[Total Valor Precorte]]</f>
        <v>0</v>
      </c>
      <c r="BB586" s="292">
        <f>Tabla14[[#This Row],[Valor bolsas Pesona2]]+Tabla14[[#This Row],[Valor Embarque Pesona3]]</f>
        <v>0</v>
      </c>
      <c r="BC586" s="332">
        <v>40000</v>
      </c>
      <c r="BD586" s="292">
        <f>Tabla14[[#This Row],[VALOR GANADO]]-Tabla14[[#This Row],[REAJUSTADO]]</f>
        <v>-40000</v>
      </c>
      <c r="BE586" s="250">
        <f>Tabla14[[#This Row],[CUANTO SE REAJUSTA]]*Tabla14[[#This Row],[Personas Rechazo]]</f>
        <v>0</v>
      </c>
      <c r="BF586" s="250">
        <f>Tabla14[[#This Row],[REAJUSTADO]]/25000</f>
        <v>1.6</v>
      </c>
      <c r="BG586" s="302">
        <f>Tabla14[[#This Row],[REAJUSTADO]]*Tabla14[[#This Row],[Personas Rechazo]]</f>
        <v>0</v>
      </c>
      <c r="BH586" s="292" t="str">
        <f>Tabla14[[#This Row],[Finca]]</f>
        <v>Pedrito</v>
      </c>
      <c r="BJ586" s="332">
        <f>Tabla14[[#This Row],[Numero de Ocacionales]]*Tabla14[[#This Row],[REAJUSTADO]]</f>
        <v>0</v>
      </c>
      <c r="BK586" s="332"/>
      <c r="BL586" s="332"/>
      <c r="BM586" s="332">
        <f>+Tabla14[[#This Row],[CUANTO SE REAJUSTA]]*3</f>
        <v>-120000</v>
      </c>
    </row>
    <row r="587" spans="3:65" x14ac:dyDescent="0.25">
      <c r="C587" s="515">
        <v>45378</v>
      </c>
      <c r="D587" s="549">
        <f>YEAR(Tabla14[[#This Row],[Fecha]])</f>
        <v>2024</v>
      </c>
      <c r="E587" s="516">
        <f>IF(Tabla14[[#This Row],[Fecha]]&gt;0,_xlfn.ISOWEEKNUM(Tabla14[[#This Row],[Fecha]]),0)</f>
        <v>13</v>
      </c>
      <c r="F587" s="283">
        <v>17</v>
      </c>
      <c r="G587" s="275" t="s">
        <v>275</v>
      </c>
      <c r="H587" s="325" t="str">
        <f>_xlfn.XLOOKUP(Tabla14[[#This Row],[Codigo Finca]],Tabla4[Codigo Finca],Tabla4[Nombre Finca],"")</f>
        <v>Uveros</v>
      </c>
      <c r="I587" s="277">
        <f>_xlfn.XLOOKUP(Tabla14[[#This Row],[Codigo Finca]],Tabla4[Codigo Finca],Tabla4[Precio Caja],0)</f>
        <v>2000</v>
      </c>
      <c r="J587" s="277">
        <f>_xlfn.XLOOKUP(Tabla14[[#This Row],[Codigo Finca]],Tabla4[Codigo Finca],Tabla4[Precio Caja Segunda],0)</f>
        <v>0</v>
      </c>
      <c r="K587" s="277">
        <f>_xlfn.XLOOKUP(Tabla14[[#This Row],[Codigo Finca]],Tabla4[Codigo Finca],Tabla4[Precio Rechazo],0)</f>
        <v>575</v>
      </c>
      <c r="L587" s="277">
        <f t="shared" si="568"/>
        <v>0</v>
      </c>
      <c r="M587" s="278">
        <f t="shared" si="569"/>
        <v>0</v>
      </c>
      <c r="N587" s="283"/>
      <c r="O587" s="279"/>
      <c r="P587" s="280">
        <f t="shared" si="570"/>
        <v>0</v>
      </c>
      <c r="Q587" s="281">
        <f t="shared" si="571"/>
        <v>0</v>
      </c>
      <c r="R587" s="282">
        <f t="shared" si="572"/>
        <v>0</v>
      </c>
      <c r="S587" s="283"/>
      <c r="T587" s="275"/>
      <c r="U587" s="280">
        <f t="shared" si="573"/>
        <v>17</v>
      </c>
      <c r="V587" s="281">
        <f t="shared" si="574"/>
        <v>0</v>
      </c>
      <c r="W587" s="282">
        <f t="shared" si="575"/>
        <v>0</v>
      </c>
      <c r="X587" s="283"/>
      <c r="Y587" s="275"/>
      <c r="Z587" s="280">
        <f>Tabla14[[#This Row],[Cajas Segunda]]</f>
        <v>0</v>
      </c>
      <c r="AA587" s="281">
        <f t="shared" si="576"/>
        <v>0</v>
      </c>
      <c r="AB587" s="284">
        <f t="shared" si="577"/>
        <v>0</v>
      </c>
      <c r="AC587" s="285"/>
      <c r="AD587" s="286"/>
      <c r="AE587" s="286"/>
      <c r="AF587" s="286"/>
      <c r="AG587" s="286"/>
      <c r="AH587" s="280">
        <f t="shared" si="578"/>
        <v>0</v>
      </c>
      <c r="AI587" s="281">
        <f t="shared" si="579"/>
        <v>0</v>
      </c>
      <c r="AJ587" s="282">
        <f t="shared" si="580"/>
        <v>0</v>
      </c>
      <c r="AK587" s="287">
        <f>Tabla14[[#This Row],[Cajas por Personas]]</f>
        <v>0</v>
      </c>
      <c r="AL587" s="288">
        <f>Tabla14[[#This Row],[Valor Precorte Pesona]]</f>
        <v>0</v>
      </c>
      <c r="AM587" s="294">
        <f>Tabla14[[#This Row],[Personas Precorte]]</f>
        <v>0</v>
      </c>
      <c r="AN587" s="308">
        <f>Tabla14[[#This Row],[Valor Precorte Pesona Precorte]]*Tabla14[[#This Row],[Perzonas Precorte]]</f>
        <v>0</v>
      </c>
      <c r="AO587" s="287">
        <f>Tabla14[[#This Row],[Cajas por Personas2]]</f>
        <v>0</v>
      </c>
      <c r="AP587" s="288">
        <f>Tabla14[[#This Row],[Valor Embarque Pesona]]</f>
        <v>0</v>
      </c>
      <c r="AQ587" s="295">
        <f>Tabla14[[#This Row],[Personas Precorte2]]</f>
        <v>0</v>
      </c>
      <c r="AR587" s="296">
        <f>Tabla14[[#This Row],[Valor Embarque Pesona3]]*Tabla14[[#This Row],[Perzona Primera]]</f>
        <v>0</v>
      </c>
      <c r="AS587" s="287">
        <f>Tabla14[[#This Row],[Columna2]]</f>
        <v>0</v>
      </c>
      <c r="AT587" s="288">
        <f>Tabla14[[#This Row],[Columna1]]</f>
        <v>0</v>
      </c>
      <c r="AU587" s="302">
        <f>Tabla14[[#This Row],[Personas Intervienen]]</f>
        <v>0</v>
      </c>
      <c r="AV587" s="297">
        <f>Tabla14[[#This Row],[Valor Embarque Pesona5]]*Tabla14[[#This Row],[Presonas Segunda]]</f>
        <v>0</v>
      </c>
      <c r="AW587" s="287">
        <f>Tabla14[[#This Row],[Bolsas Por Personas]]</f>
        <v>0</v>
      </c>
      <c r="AX587" s="288">
        <f>Tabla14[[#This Row],[Valor bolsas Pesona]]</f>
        <v>0</v>
      </c>
      <c r="AY587" s="309">
        <f>Tabla14[[#This Row],[Personas13]]</f>
        <v>0</v>
      </c>
      <c r="AZ587" s="310">
        <f>Tabla14[[#This Row],[Valor bolsas Pesona2]]*Tabla14[[#This Row],[Personas Rechazo]]</f>
        <v>0</v>
      </c>
      <c r="BA587" s="311">
        <f>+Tabla14[[#This Row],[Total Valor Segunda]]+Tabla14[[#This Row],[Total Valor Primera]]+Tabla14[[#This Row],[Total Valor Precorte]]</f>
        <v>0</v>
      </c>
      <c r="BB587" s="292">
        <f>Tabla14[[#This Row],[Valor bolsas Pesona2]]+Tabla14[[#This Row],[Valor Embarque Pesona3]]</f>
        <v>0</v>
      </c>
      <c r="BC587" s="332">
        <v>40000</v>
      </c>
      <c r="BD587" s="292">
        <f>Tabla14[[#This Row],[VALOR GANADO]]-Tabla14[[#This Row],[REAJUSTADO]]</f>
        <v>-40000</v>
      </c>
      <c r="BE587" s="250">
        <f>Tabla14[[#This Row],[CUANTO SE REAJUSTA]]*Tabla14[[#This Row],[Personas Rechazo]]</f>
        <v>0</v>
      </c>
      <c r="BF587" s="250">
        <f>Tabla14[[#This Row],[REAJUSTADO]]/25000</f>
        <v>1.6</v>
      </c>
      <c r="BG587" s="302">
        <f>Tabla14[[#This Row],[REAJUSTADO]]*Tabla14[[#This Row],[Personas Rechazo]]</f>
        <v>0</v>
      </c>
      <c r="BH587" s="292" t="str">
        <f>Tabla14[[#This Row],[Finca]]</f>
        <v>Uveros</v>
      </c>
      <c r="BJ587" s="332">
        <f>Tabla14[[#This Row],[Numero de Ocacionales]]*Tabla14[[#This Row],[REAJUSTADO]]</f>
        <v>0</v>
      </c>
      <c r="BK587" s="332"/>
      <c r="BL587" s="332"/>
      <c r="BM587" s="332">
        <f>+Tabla14[[#This Row],[CUANTO SE REAJUSTA]]*3</f>
        <v>-120000</v>
      </c>
    </row>
    <row r="588" spans="3:65" x14ac:dyDescent="0.25">
      <c r="C588" s="515">
        <v>45383</v>
      </c>
      <c r="D588" s="549">
        <f>YEAR(Tabla14[[#This Row],[Fecha]])</f>
        <v>2024</v>
      </c>
      <c r="E588" s="516">
        <f>IF(Tabla14[[#This Row],[Fecha]]&gt;0,_xlfn.ISOWEEKNUM(Tabla14[[#This Row],[Fecha]]),0)</f>
        <v>14</v>
      </c>
      <c r="F588" s="283">
        <v>10</v>
      </c>
      <c r="G588" s="275" t="s">
        <v>281</v>
      </c>
      <c r="H588" s="325" t="str">
        <f>_xlfn.XLOOKUP(Tabla14[[#This Row],[Codigo Finca]],Tabla4[Codigo Finca],Tabla4[Nombre Finca],"")</f>
        <v>Uveros</v>
      </c>
      <c r="I588" s="277">
        <f>_xlfn.XLOOKUP(Tabla14[[#This Row],[Codigo Finca]],Tabla4[Codigo Finca],Tabla4[Precio Caja],0)</f>
        <v>2000</v>
      </c>
      <c r="J588" s="277">
        <f>_xlfn.XLOOKUP(Tabla14[[#This Row],[Codigo Finca]],Tabla4[Codigo Finca],Tabla4[Precio Caja Segunda],0)</f>
        <v>0</v>
      </c>
      <c r="K588" s="277">
        <f>_xlfn.XLOOKUP(Tabla14[[#This Row],[Codigo Finca]],Tabla4[Codigo Finca],Tabla4[Precio Rechazo],0)</f>
        <v>575</v>
      </c>
      <c r="L588" s="277">
        <f t="shared" si="568"/>
        <v>111</v>
      </c>
      <c r="M588" s="278">
        <f t="shared" si="569"/>
        <v>11.1</v>
      </c>
      <c r="N588" s="283"/>
      <c r="O588" s="279"/>
      <c r="P588" s="280">
        <f t="shared" si="570"/>
        <v>0</v>
      </c>
      <c r="Q588" s="281">
        <f t="shared" si="571"/>
        <v>0</v>
      </c>
      <c r="R588" s="282">
        <f t="shared" si="572"/>
        <v>0</v>
      </c>
      <c r="S588" s="283">
        <v>111</v>
      </c>
      <c r="T588" s="275"/>
      <c r="U588" s="280">
        <f t="shared" si="573"/>
        <v>10</v>
      </c>
      <c r="V588" s="281">
        <f t="shared" si="574"/>
        <v>0</v>
      </c>
      <c r="W588" s="282">
        <f t="shared" si="575"/>
        <v>0</v>
      </c>
      <c r="X588" s="283"/>
      <c r="Y588" s="275"/>
      <c r="Z588" s="280">
        <f>Tabla14[[#This Row],[Cajas Segunda]]</f>
        <v>0</v>
      </c>
      <c r="AA588" s="281">
        <f t="shared" si="576"/>
        <v>0</v>
      </c>
      <c r="AB588" s="284">
        <f t="shared" si="577"/>
        <v>0</v>
      </c>
      <c r="AC588" s="285"/>
      <c r="AD588" s="286"/>
      <c r="AE588" s="286"/>
      <c r="AF588" s="286"/>
      <c r="AG588" s="286"/>
      <c r="AH588" s="280">
        <f t="shared" si="578"/>
        <v>0</v>
      </c>
      <c r="AI588" s="281">
        <f t="shared" si="579"/>
        <v>0</v>
      </c>
      <c r="AJ588" s="282">
        <f t="shared" si="580"/>
        <v>0</v>
      </c>
      <c r="AK588" s="287">
        <f>Tabla14[[#This Row],[Cajas por Personas]]</f>
        <v>0</v>
      </c>
      <c r="AL588" s="288">
        <f>Tabla14[[#This Row],[Valor Precorte Pesona]]</f>
        <v>0</v>
      </c>
      <c r="AM588" s="294">
        <f>Tabla14[[#This Row],[Personas Precorte]]</f>
        <v>0</v>
      </c>
      <c r="AN588" s="308">
        <f>Tabla14[[#This Row],[Valor Precorte Pesona Precorte]]*Tabla14[[#This Row],[Perzonas Precorte]]</f>
        <v>0</v>
      </c>
      <c r="AO588" s="287">
        <f>Tabla14[[#This Row],[Cajas por Personas2]]</f>
        <v>0</v>
      </c>
      <c r="AP588" s="288">
        <f>Tabla14[[#This Row],[Valor Embarque Pesona]]</f>
        <v>0</v>
      </c>
      <c r="AQ588" s="295">
        <f>Tabla14[[#This Row],[Personas Precorte2]]</f>
        <v>0</v>
      </c>
      <c r="AR588" s="296">
        <f>Tabla14[[#This Row],[Valor Embarque Pesona3]]*Tabla14[[#This Row],[Perzona Primera]]</f>
        <v>0</v>
      </c>
      <c r="AS588" s="287">
        <f>Tabla14[[#This Row],[Columna2]]</f>
        <v>0</v>
      </c>
      <c r="AT588" s="288">
        <f>Tabla14[[#This Row],[Columna1]]</f>
        <v>0</v>
      </c>
      <c r="AU588" s="302">
        <f>Tabla14[[#This Row],[Personas Intervienen]]</f>
        <v>0</v>
      </c>
      <c r="AV588" s="297">
        <f>Tabla14[[#This Row],[Valor Embarque Pesona5]]*Tabla14[[#This Row],[Presonas Segunda]]</f>
        <v>0</v>
      </c>
      <c r="AW588" s="287">
        <f>Tabla14[[#This Row],[Bolsas Por Personas]]</f>
        <v>0</v>
      </c>
      <c r="AX588" s="288">
        <f>Tabla14[[#This Row],[Valor bolsas Pesona]]</f>
        <v>0</v>
      </c>
      <c r="AY588" s="309">
        <f>Tabla14[[#This Row],[Personas13]]</f>
        <v>0</v>
      </c>
      <c r="AZ588" s="310">
        <f>Tabla14[[#This Row],[Valor bolsas Pesona2]]*Tabla14[[#This Row],[Personas Rechazo]]</f>
        <v>0</v>
      </c>
      <c r="BA588" s="311">
        <f>+Tabla14[[#This Row],[Total Valor Segunda]]+Tabla14[[#This Row],[Total Valor Primera]]+Tabla14[[#This Row],[Total Valor Precorte]]</f>
        <v>0</v>
      </c>
      <c r="BB588" s="292">
        <f>Tabla14[[#This Row],[Valor bolsas Pesona2]]+Tabla14[[#This Row],[Valor Embarque Pesona3]]</f>
        <v>0</v>
      </c>
      <c r="BC588" s="332">
        <f>+Tabla14[[#This Row],[VALOR GANADO]]+BB589</f>
        <v>0</v>
      </c>
      <c r="BD588" s="292">
        <f>Tabla14[[#This Row],[VALOR GANADO]]-Tabla14[[#This Row],[REAJUSTADO]]</f>
        <v>0</v>
      </c>
      <c r="BE588" s="250">
        <f>Tabla14[[#This Row],[CUANTO SE REAJUSTA]]*Tabla14[[#This Row],[Personas Rechazo]]</f>
        <v>0</v>
      </c>
      <c r="BF588" s="250">
        <f>Tabla14[[#This Row],[REAJUSTADO]]/25000</f>
        <v>0</v>
      </c>
      <c r="BG588" s="302">
        <f>Tabla14[[#This Row],[REAJUSTADO]]*Tabla14[[#This Row],[Personas Rechazo]]</f>
        <v>0</v>
      </c>
      <c r="BH588" s="292" t="str">
        <f>Tabla14[[#This Row],[Finca]]</f>
        <v>Uveros</v>
      </c>
      <c r="BJ588" s="332">
        <f>Tabla14[[#This Row],[Numero de Ocacionales]]*Tabla14[[#This Row],[REAJUSTADO]]</f>
        <v>0</v>
      </c>
      <c r="BK588" s="332"/>
      <c r="BL588" s="332"/>
      <c r="BM588" s="332">
        <f>+Tabla14[[#This Row],[CUANTO SE REAJUSTA]]*3</f>
        <v>0</v>
      </c>
    </row>
    <row r="589" spans="3:65" x14ac:dyDescent="0.25">
      <c r="C589" s="515">
        <v>45383</v>
      </c>
      <c r="D589" s="549">
        <f>YEAR(Tabla14[[#This Row],[Fecha]])</f>
        <v>2024</v>
      </c>
      <c r="E589" s="516">
        <f>IF(Tabla14[[#This Row],[Fecha]]&gt;0,_xlfn.ISOWEEKNUM(Tabla14[[#This Row],[Fecha]]),0)</f>
        <v>14</v>
      </c>
      <c r="F589" s="283">
        <v>3</v>
      </c>
      <c r="G589" s="275" t="s">
        <v>282</v>
      </c>
      <c r="H589" s="325" t="str">
        <f>_xlfn.XLOOKUP(Tabla14[[#This Row],[Codigo Finca]],Tabla4[Codigo Finca],Tabla4[Nombre Finca],"")</f>
        <v>Damaquiel</v>
      </c>
      <c r="I589" s="277">
        <f>_xlfn.XLOOKUP(Tabla14[[#This Row],[Codigo Finca]],Tabla4[Codigo Finca],Tabla4[Precio Caja],0)</f>
        <v>2000</v>
      </c>
      <c r="J589" s="277">
        <f>_xlfn.XLOOKUP(Tabla14[[#This Row],[Codigo Finca]],Tabla4[Codigo Finca],Tabla4[Precio Caja Segunda],0)</f>
        <v>0</v>
      </c>
      <c r="K589" s="277">
        <f>_xlfn.XLOOKUP(Tabla14[[#This Row],[Codigo Finca]],Tabla4[Codigo Finca],Tabla4[Precio Rechazo],0)</f>
        <v>575</v>
      </c>
      <c r="L589" s="277">
        <f t="shared" si="568"/>
        <v>28</v>
      </c>
      <c r="M589" s="278">
        <f t="shared" si="569"/>
        <v>9.3333333333333339</v>
      </c>
      <c r="N589" s="283"/>
      <c r="O589" s="279"/>
      <c r="P589" s="280">
        <f t="shared" si="570"/>
        <v>0</v>
      </c>
      <c r="Q589" s="281">
        <f t="shared" si="571"/>
        <v>0</v>
      </c>
      <c r="R589" s="282">
        <f t="shared" si="572"/>
        <v>0</v>
      </c>
      <c r="S589" s="283">
        <v>28</v>
      </c>
      <c r="T589" s="275"/>
      <c r="U589" s="280">
        <f t="shared" si="573"/>
        <v>3</v>
      </c>
      <c r="V589" s="281">
        <f t="shared" si="574"/>
        <v>0</v>
      </c>
      <c r="W589" s="282">
        <f t="shared" si="575"/>
        <v>0</v>
      </c>
      <c r="X589" s="283"/>
      <c r="Y589" s="275"/>
      <c r="Z589" s="280">
        <f>Tabla14[[#This Row],[Cajas Segunda]]</f>
        <v>0</v>
      </c>
      <c r="AA589" s="281">
        <f t="shared" si="576"/>
        <v>0</v>
      </c>
      <c r="AB589" s="284">
        <f t="shared" si="577"/>
        <v>0</v>
      </c>
      <c r="AC589" s="285"/>
      <c r="AD589" s="286"/>
      <c r="AE589" s="286"/>
      <c r="AF589" s="286"/>
      <c r="AG589" s="286"/>
      <c r="AH589" s="280">
        <f t="shared" si="578"/>
        <v>0</v>
      </c>
      <c r="AI589" s="281">
        <f t="shared" si="579"/>
        <v>0</v>
      </c>
      <c r="AJ589" s="282">
        <f t="shared" si="580"/>
        <v>0</v>
      </c>
      <c r="AK589" s="287">
        <f>Tabla14[[#This Row],[Cajas por Personas]]</f>
        <v>0</v>
      </c>
      <c r="AL589" s="288">
        <f>Tabla14[[#This Row],[Valor Precorte Pesona]]</f>
        <v>0</v>
      </c>
      <c r="AM589" s="294">
        <f>Tabla14[[#This Row],[Personas Precorte]]</f>
        <v>0</v>
      </c>
      <c r="AN589" s="308">
        <f>Tabla14[[#This Row],[Valor Precorte Pesona Precorte]]*Tabla14[[#This Row],[Perzonas Precorte]]</f>
        <v>0</v>
      </c>
      <c r="AO589" s="287">
        <f>Tabla14[[#This Row],[Cajas por Personas2]]</f>
        <v>0</v>
      </c>
      <c r="AP589" s="288">
        <f>Tabla14[[#This Row],[Valor Embarque Pesona]]</f>
        <v>0</v>
      </c>
      <c r="AQ589" s="295">
        <f>Tabla14[[#This Row],[Personas Precorte2]]</f>
        <v>0</v>
      </c>
      <c r="AR589" s="296">
        <f>Tabla14[[#This Row],[Valor Embarque Pesona3]]*Tabla14[[#This Row],[Perzona Primera]]</f>
        <v>0</v>
      </c>
      <c r="AS589" s="287">
        <f>Tabla14[[#This Row],[Columna2]]</f>
        <v>0</v>
      </c>
      <c r="AT589" s="288">
        <f>Tabla14[[#This Row],[Columna1]]</f>
        <v>0</v>
      </c>
      <c r="AU589" s="302">
        <f>Tabla14[[#This Row],[Personas Intervienen]]</f>
        <v>0</v>
      </c>
      <c r="AV589" s="297">
        <f>Tabla14[[#This Row],[Valor Embarque Pesona5]]*Tabla14[[#This Row],[Presonas Segunda]]</f>
        <v>0</v>
      </c>
      <c r="AW589" s="287">
        <f>Tabla14[[#This Row],[Bolsas Por Personas]]</f>
        <v>0</v>
      </c>
      <c r="AX589" s="288">
        <f>Tabla14[[#This Row],[Valor bolsas Pesona]]</f>
        <v>0</v>
      </c>
      <c r="AY589" s="309">
        <f>Tabla14[[#This Row],[Personas13]]</f>
        <v>0</v>
      </c>
      <c r="AZ589" s="310">
        <f>Tabla14[[#This Row],[Valor bolsas Pesona2]]*Tabla14[[#This Row],[Personas Rechazo]]</f>
        <v>0</v>
      </c>
      <c r="BA589" s="311">
        <f>+Tabla14[[#This Row],[Total Valor Segunda]]+Tabla14[[#This Row],[Total Valor Primera]]+Tabla14[[#This Row],[Total Valor Precorte]]</f>
        <v>0</v>
      </c>
      <c r="BB589" s="292">
        <f>Tabla14[[#This Row],[Valor bolsas Pesona2]]+Tabla14[[#This Row],[Valor Embarque Pesona3]]</f>
        <v>0</v>
      </c>
      <c r="BC589" s="332">
        <v>45000</v>
      </c>
      <c r="BD589" s="292">
        <f>Tabla14[[#This Row],[VALOR GANADO]]-Tabla14[[#This Row],[REAJUSTADO]]</f>
        <v>-45000</v>
      </c>
      <c r="BE589" s="250">
        <f>Tabla14[[#This Row],[CUANTO SE REAJUSTA]]*Tabla14[[#This Row],[Personas Rechazo]]</f>
        <v>0</v>
      </c>
      <c r="BF589" s="250">
        <f>Tabla14[[#This Row],[REAJUSTADO]]/25000</f>
        <v>1.8</v>
      </c>
      <c r="BG589" s="302">
        <f>Tabla14[[#This Row],[REAJUSTADO]]*Tabla14[[#This Row],[Personas Rechazo]]</f>
        <v>0</v>
      </c>
      <c r="BH589" s="292" t="str">
        <f>Tabla14[[#This Row],[Finca]]</f>
        <v>Damaquiel</v>
      </c>
      <c r="BJ589" s="332">
        <f>Tabla14[[#This Row],[Numero de Ocacionales]]*Tabla14[[#This Row],[REAJUSTADO]]</f>
        <v>0</v>
      </c>
      <c r="BK589" s="332"/>
      <c r="BL589" s="332"/>
      <c r="BM589" s="332">
        <f>+Tabla14[[#This Row],[CUANTO SE REAJUSTA]]*3</f>
        <v>-135000</v>
      </c>
    </row>
    <row r="590" spans="3:65" x14ac:dyDescent="0.25">
      <c r="C590" s="515">
        <v>45383</v>
      </c>
      <c r="D590" s="549">
        <f>YEAR(Tabla14[[#This Row],[Fecha]])</f>
        <v>2024</v>
      </c>
      <c r="E590" s="516">
        <f>IF(Tabla14[[#This Row],[Fecha]]&gt;0,_xlfn.ISOWEEKNUM(Tabla14[[#This Row],[Fecha]]),0)</f>
        <v>14</v>
      </c>
      <c r="F590" s="283">
        <v>83</v>
      </c>
      <c r="G590" s="275" t="s">
        <v>280</v>
      </c>
      <c r="H590" s="325" t="str">
        <f>_xlfn.XLOOKUP(Tabla14[[#This Row],[Codigo Finca]],Tabla4[Codigo Finca],Tabla4[Nombre Finca],"")</f>
        <v>Pedrito</v>
      </c>
      <c r="I590" s="277">
        <f>_xlfn.XLOOKUP(Tabla14[[#This Row],[Codigo Finca]],Tabla4[Codigo Finca],Tabla4[Precio Caja],0)</f>
        <v>2000</v>
      </c>
      <c r="J590" s="277">
        <f>_xlfn.XLOOKUP(Tabla14[[#This Row],[Codigo Finca]],Tabla4[Codigo Finca],Tabla4[Precio Caja Segunda],0)</f>
        <v>0</v>
      </c>
      <c r="K590" s="277">
        <f>_xlfn.XLOOKUP(Tabla14[[#This Row],[Codigo Finca]],Tabla4[Codigo Finca],Tabla4[Precio Rechazo],0)</f>
        <v>575</v>
      </c>
      <c r="L590" s="277">
        <f t="shared" si="568"/>
        <v>814</v>
      </c>
      <c r="M590" s="278">
        <f t="shared" si="569"/>
        <v>9.80722891566265</v>
      </c>
      <c r="N590" s="283"/>
      <c r="O590" s="279"/>
      <c r="P590" s="280">
        <f t="shared" si="570"/>
        <v>0</v>
      </c>
      <c r="Q590" s="281">
        <f t="shared" si="571"/>
        <v>0</v>
      </c>
      <c r="R590" s="282">
        <f t="shared" si="572"/>
        <v>0</v>
      </c>
      <c r="S590" s="283">
        <v>814</v>
      </c>
      <c r="T590" s="275"/>
      <c r="U590" s="280">
        <f t="shared" si="573"/>
        <v>83</v>
      </c>
      <c r="V590" s="281">
        <f t="shared" si="574"/>
        <v>0</v>
      </c>
      <c r="W590" s="282">
        <f t="shared" si="575"/>
        <v>0</v>
      </c>
      <c r="X590" s="283"/>
      <c r="Y590" s="275"/>
      <c r="Z590" s="280">
        <f>Tabla14[[#This Row],[Cajas Segunda]]</f>
        <v>0</v>
      </c>
      <c r="AA590" s="281">
        <f t="shared" si="576"/>
        <v>0</v>
      </c>
      <c r="AB590" s="284">
        <f t="shared" si="577"/>
        <v>0</v>
      </c>
      <c r="AC590" s="285"/>
      <c r="AD590" s="286"/>
      <c r="AE590" s="286"/>
      <c r="AF590" s="286"/>
      <c r="AG590" s="286"/>
      <c r="AH590" s="280">
        <f t="shared" si="578"/>
        <v>0</v>
      </c>
      <c r="AI590" s="281">
        <f t="shared" si="579"/>
        <v>0</v>
      </c>
      <c r="AJ590" s="282">
        <f t="shared" si="580"/>
        <v>0</v>
      </c>
      <c r="AK590" s="287">
        <f>Tabla14[[#This Row],[Cajas por Personas]]</f>
        <v>0</v>
      </c>
      <c r="AL590" s="288">
        <f>Tabla14[[#This Row],[Valor Precorte Pesona]]</f>
        <v>0</v>
      </c>
      <c r="AM590" s="294">
        <f>Tabla14[[#This Row],[Personas Precorte]]</f>
        <v>0</v>
      </c>
      <c r="AN590" s="308">
        <f>Tabla14[[#This Row],[Valor Precorte Pesona Precorte]]*Tabla14[[#This Row],[Perzonas Precorte]]</f>
        <v>0</v>
      </c>
      <c r="AO590" s="287">
        <f>Tabla14[[#This Row],[Cajas por Personas2]]</f>
        <v>0</v>
      </c>
      <c r="AP590" s="288">
        <f>Tabla14[[#This Row],[Valor Embarque Pesona]]</f>
        <v>0</v>
      </c>
      <c r="AQ590" s="295">
        <f>Tabla14[[#This Row],[Personas Precorte2]]</f>
        <v>0</v>
      </c>
      <c r="AR590" s="296">
        <f>Tabla14[[#This Row],[Valor Embarque Pesona3]]*Tabla14[[#This Row],[Perzona Primera]]</f>
        <v>0</v>
      </c>
      <c r="AS590" s="287">
        <f>Tabla14[[#This Row],[Columna2]]</f>
        <v>0</v>
      </c>
      <c r="AT590" s="288">
        <f>Tabla14[[#This Row],[Columna1]]</f>
        <v>0</v>
      </c>
      <c r="AU590" s="302">
        <f>Tabla14[[#This Row],[Personas Intervienen]]</f>
        <v>0</v>
      </c>
      <c r="AV590" s="297">
        <f>Tabla14[[#This Row],[Valor Embarque Pesona5]]*Tabla14[[#This Row],[Presonas Segunda]]</f>
        <v>0</v>
      </c>
      <c r="AW590" s="287">
        <f>Tabla14[[#This Row],[Bolsas Por Personas]]</f>
        <v>0</v>
      </c>
      <c r="AX590" s="288">
        <f>Tabla14[[#This Row],[Valor bolsas Pesona]]</f>
        <v>0</v>
      </c>
      <c r="AY590" s="309">
        <f>Tabla14[[#This Row],[Personas13]]</f>
        <v>0</v>
      </c>
      <c r="AZ590" s="310">
        <f>Tabla14[[#This Row],[Valor bolsas Pesona2]]*Tabla14[[#This Row],[Personas Rechazo]]</f>
        <v>0</v>
      </c>
      <c r="BA590" s="311">
        <f>+Tabla14[[#This Row],[Total Valor Segunda]]+Tabla14[[#This Row],[Total Valor Primera]]+Tabla14[[#This Row],[Total Valor Precorte]]</f>
        <v>0</v>
      </c>
      <c r="BB590" s="292">
        <f>Tabla14[[#This Row],[Valor bolsas Pesona2]]+Tabla14[[#This Row],[Valor Embarque Pesona3]]</f>
        <v>0</v>
      </c>
      <c r="BD590" s="292">
        <f>Tabla14[[#This Row],[VALOR GANADO]]-Tabla14[[#This Row],[REAJUSTADO]]</f>
        <v>0</v>
      </c>
      <c r="BE590" s="250">
        <f>Tabla14[[#This Row],[CUANTO SE REAJUSTA]]*Tabla14[[#This Row],[Personas Rechazo]]</f>
        <v>0</v>
      </c>
      <c r="BF590" s="250">
        <f>Tabla14[[#This Row],[REAJUSTADO]]/25000</f>
        <v>0</v>
      </c>
      <c r="BG590" s="302">
        <f>Tabla14[[#This Row],[REAJUSTADO]]*Tabla14[[#This Row],[Personas Rechazo]]</f>
        <v>0</v>
      </c>
      <c r="BH590" s="292" t="str">
        <f>Tabla14[[#This Row],[Finca]]</f>
        <v>Pedrito</v>
      </c>
      <c r="BJ590" s="332">
        <f>Tabla14[[#This Row],[Numero de Ocacionales]]*Tabla14[[#This Row],[REAJUSTADO]]</f>
        <v>0</v>
      </c>
      <c r="BK590" s="332"/>
      <c r="BL590" s="332"/>
      <c r="BM590" s="332">
        <f>+Tabla14[[#This Row],[CUANTO SE REAJUSTA]]*3</f>
        <v>0</v>
      </c>
    </row>
    <row r="591" spans="3:65" x14ac:dyDescent="0.25">
      <c r="C591" s="515">
        <v>45385</v>
      </c>
      <c r="D591" s="549">
        <f>YEAR(Tabla14[[#This Row],[Fecha]])</f>
        <v>2024</v>
      </c>
      <c r="E591" s="516">
        <f>IF(Tabla14[[#This Row],[Fecha]]&gt;0,_xlfn.ISOWEEKNUM(Tabla14[[#This Row],[Fecha]]),0)</f>
        <v>14</v>
      </c>
      <c r="F591" s="283">
        <v>167</v>
      </c>
      <c r="G591" s="275" t="s">
        <v>274</v>
      </c>
      <c r="H591" s="325" t="str">
        <f>_xlfn.XLOOKUP(Tabla14[[#This Row],[Codigo Finca]],Tabla4[Codigo Finca],Tabla4[Nombre Finca],"")</f>
        <v>San Pedro</v>
      </c>
      <c r="I591" s="277">
        <f>_xlfn.XLOOKUP(Tabla14[[#This Row],[Codigo Finca]],Tabla4[Codigo Finca],Tabla4[Precio Caja],0)</f>
        <v>2000</v>
      </c>
      <c r="J591" s="277">
        <f>_xlfn.XLOOKUP(Tabla14[[#This Row],[Codigo Finca]],Tabla4[Codigo Finca],Tabla4[Precio Caja Segunda],0)</f>
        <v>0</v>
      </c>
      <c r="K591" s="277">
        <f>_xlfn.XLOOKUP(Tabla14[[#This Row],[Codigo Finca]],Tabla4[Codigo Finca],Tabla4[Precio Rechazo],0)</f>
        <v>575</v>
      </c>
      <c r="L591" s="277">
        <f t="shared" si="568"/>
        <v>864</v>
      </c>
      <c r="M591" s="278">
        <f t="shared" si="569"/>
        <v>5.1736526946107784</v>
      </c>
      <c r="N591" s="283"/>
      <c r="O591" s="279"/>
      <c r="P591" s="280">
        <f t="shared" si="570"/>
        <v>0</v>
      </c>
      <c r="Q591" s="281">
        <f t="shared" si="571"/>
        <v>0</v>
      </c>
      <c r="R591" s="282">
        <f t="shared" si="572"/>
        <v>0</v>
      </c>
      <c r="S591" s="283">
        <f>939-75</f>
        <v>864</v>
      </c>
      <c r="T591" s="275"/>
      <c r="U591" s="280">
        <f t="shared" si="573"/>
        <v>167</v>
      </c>
      <c r="V591" s="281">
        <f t="shared" si="574"/>
        <v>0</v>
      </c>
      <c r="W591" s="282">
        <f t="shared" si="575"/>
        <v>0</v>
      </c>
      <c r="X591" s="283"/>
      <c r="Y591" s="275"/>
      <c r="Z591" s="280">
        <f>Tabla14[[#This Row],[Cajas Segunda]]</f>
        <v>0</v>
      </c>
      <c r="AA591" s="281">
        <f t="shared" si="576"/>
        <v>0</v>
      </c>
      <c r="AB591" s="284">
        <f t="shared" si="577"/>
        <v>0</v>
      </c>
      <c r="AC591" s="285"/>
      <c r="AD591" s="286"/>
      <c r="AE591" s="286"/>
      <c r="AF591" s="286"/>
      <c r="AG591" s="286"/>
      <c r="AH591" s="280">
        <f t="shared" si="578"/>
        <v>0</v>
      </c>
      <c r="AI591" s="281">
        <f t="shared" si="579"/>
        <v>0</v>
      </c>
      <c r="AJ591" s="282">
        <f t="shared" si="580"/>
        <v>0</v>
      </c>
      <c r="AK591" s="287">
        <f>Tabla14[[#This Row],[Cajas por Personas]]</f>
        <v>0</v>
      </c>
      <c r="AL591" s="288">
        <f>Tabla14[[#This Row],[Valor Precorte Pesona]]</f>
        <v>0</v>
      </c>
      <c r="AM591" s="294">
        <f>Tabla14[[#This Row],[Personas Precorte]]</f>
        <v>0</v>
      </c>
      <c r="AN591" s="308">
        <f>Tabla14[[#This Row],[Valor Precorte Pesona Precorte]]*Tabla14[[#This Row],[Perzonas Precorte]]</f>
        <v>0</v>
      </c>
      <c r="AO591" s="287">
        <f>Tabla14[[#This Row],[Cajas por Personas2]]</f>
        <v>0</v>
      </c>
      <c r="AP591" s="288">
        <f>Tabla14[[#This Row],[Valor Embarque Pesona]]</f>
        <v>0</v>
      </c>
      <c r="AQ591" s="295">
        <f>Tabla14[[#This Row],[Personas Precorte2]]</f>
        <v>0</v>
      </c>
      <c r="AR591" s="296">
        <f>Tabla14[[#This Row],[Valor Embarque Pesona3]]*Tabla14[[#This Row],[Perzona Primera]]</f>
        <v>0</v>
      </c>
      <c r="AS591" s="287">
        <f>Tabla14[[#This Row],[Columna2]]</f>
        <v>0</v>
      </c>
      <c r="AT591" s="288">
        <f>Tabla14[[#This Row],[Columna1]]</f>
        <v>0</v>
      </c>
      <c r="AU591" s="302">
        <f>Tabla14[[#This Row],[Personas Intervienen]]</f>
        <v>0</v>
      </c>
      <c r="AV591" s="297">
        <f>Tabla14[[#This Row],[Valor Embarque Pesona5]]*Tabla14[[#This Row],[Presonas Segunda]]</f>
        <v>0</v>
      </c>
      <c r="AW591" s="287">
        <f>Tabla14[[#This Row],[Bolsas Por Personas]]</f>
        <v>0</v>
      </c>
      <c r="AX591" s="288">
        <f>Tabla14[[#This Row],[Valor bolsas Pesona]]</f>
        <v>0</v>
      </c>
      <c r="AY591" s="309">
        <f>Tabla14[[#This Row],[Personas13]]</f>
        <v>0</v>
      </c>
      <c r="AZ591" s="310">
        <f>Tabla14[[#This Row],[Valor bolsas Pesona2]]*Tabla14[[#This Row],[Personas Rechazo]]</f>
        <v>0</v>
      </c>
      <c r="BA591" s="311">
        <f>+Tabla14[[#This Row],[Total Valor Segunda]]+Tabla14[[#This Row],[Total Valor Primera]]+Tabla14[[#This Row],[Total Valor Precorte]]</f>
        <v>0</v>
      </c>
      <c r="BB591" s="292">
        <f>Tabla14[[#This Row],[Valor bolsas Pesona2]]+Tabla14[[#This Row],[Valor Embarque Pesona3]]</f>
        <v>0</v>
      </c>
      <c r="BD591" s="292">
        <f>Tabla14[[#This Row],[VALOR GANADO]]-Tabla14[[#This Row],[REAJUSTADO]]</f>
        <v>0</v>
      </c>
      <c r="BE591" s="250">
        <f>Tabla14[[#This Row],[CUANTO SE REAJUSTA]]*Tabla14[[#This Row],[Personas Rechazo]]</f>
        <v>0</v>
      </c>
      <c r="BF591" s="250">
        <f>Tabla14[[#This Row],[REAJUSTADO]]/25000</f>
        <v>0</v>
      </c>
      <c r="BG591" s="302">
        <f>Tabla14[[#This Row],[REAJUSTADO]]*Tabla14[[#This Row],[Personas Rechazo]]</f>
        <v>0</v>
      </c>
      <c r="BH591" s="292" t="str">
        <f>Tabla14[[#This Row],[Finca]]</f>
        <v>San Pedro</v>
      </c>
      <c r="BJ591" s="332">
        <f>Tabla14[[#This Row],[Numero de Ocacionales]]*Tabla14[[#This Row],[REAJUSTADO]]</f>
        <v>0</v>
      </c>
      <c r="BK591" s="332"/>
      <c r="BL591" s="332"/>
      <c r="BM591" s="332">
        <f>+Tabla14[[#This Row],[CUANTO SE REAJUSTA]]*3</f>
        <v>0</v>
      </c>
    </row>
    <row r="592" spans="3:65" x14ac:dyDescent="0.25">
      <c r="C592" s="515">
        <v>45385</v>
      </c>
      <c r="D592" s="549">
        <f>YEAR(Tabla14[[#This Row],[Fecha]])</f>
        <v>2024</v>
      </c>
      <c r="E592" s="516">
        <f>IF(Tabla14[[#This Row],[Fecha]]&gt;0,_xlfn.ISOWEEKNUM(Tabla14[[#This Row],[Fecha]]),0)</f>
        <v>14</v>
      </c>
      <c r="F592" s="283">
        <v>13</v>
      </c>
      <c r="G592" s="275" t="s">
        <v>273</v>
      </c>
      <c r="H592" s="325" t="str">
        <f>_xlfn.XLOOKUP(Tabla14[[#This Row],[Codigo Finca]],Tabla4[Codigo Finca],Tabla4[Nombre Finca],"")</f>
        <v>San Pedro</v>
      </c>
      <c r="I592" s="277">
        <f>_xlfn.XLOOKUP(Tabla14[[#This Row],[Codigo Finca]],Tabla4[Codigo Finca],Tabla4[Precio Caja],0)</f>
        <v>2200</v>
      </c>
      <c r="J592" s="277">
        <f>_xlfn.XLOOKUP(Tabla14[[#This Row],[Codigo Finca]],Tabla4[Codigo Finca],Tabla4[Precio Caja Segunda],0)</f>
        <v>0</v>
      </c>
      <c r="K592" s="277">
        <f>_xlfn.XLOOKUP(Tabla14[[#This Row],[Codigo Finca]],Tabla4[Codigo Finca],Tabla4[Precio Rechazo],0)</f>
        <v>675</v>
      </c>
      <c r="L592" s="277">
        <f t="shared" si="568"/>
        <v>75</v>
      </c>
      <c r="M592" s="278">
        <f t="shared" si="569"/>
        <v>5.7692307692307692</v>
      </c>
      <c r="N592" s="283"/>
      <c r="O592" s="279"/>
      <c r="P592" s="280">
        <f t="shared" si="570"/>
        <v>0</v>
      </c>
      <c r="Q592" s="281">
        <f t="shared" si="571"/>
        <v>0</v>
      </c>
      <c r="R592" s="282">
        <f t="shared" si="572"/>
        <v>0</v>
      </c>
      <c r="S592" s="283">
        <v>75</v>
      </c>
      <c r="T592" s="275"/>
      <c r="U592" s="280">
        <f t="shared" si="573"/>
        <v>13</v>
      </c>
      <c r="V592" s="281">
        <f t="shared" si="574"/>
        <v>0</v>
      </c>
      <c r="W592" s="282">
        <f t="shared" si="575"/>
        <v>0</v>
      </c>
      <c r="X592" s="283"/>
      <c r="Y592" s="275"/>
      <c r="Z592" s="280">
        <f>Tabla14[[#This Row],[Cajas Segunda]]</f>
        <v>0</v>
      </c>
      <c r="AA592" s="281">
        <f t="shared" si="576"/>
        <v>0</v>
      </c>
      <c r="AB592" s="284">
        <f t="shared" si="577"/>
        <v>0</v>
      </c>
      <c r="AC592" s="285"/>
      <c r="AD592" s="286"/>
      <c r="AE592" s="286"/>
      <c r="AF592" s="286"/>
      <c r="AG592" s="286"/>
      <c r="AH592" s="280">
        <f t="shared" si="578"/>
        <v>0</v>
      </c>
      <c r="AI592" s="281">
        <f t="shared" si="579"/>
        <v>0</v>
      </c>
      <c r="AJ592" s="282">
        <f t="shared" si="580"/>
        <v>0</v>
      </c>
      <c r="AK592" s="287">
        <f>Tabla14[[#This Row],[Cajas por Personas]]</f>
        <v>0</v>
      </c>
      <c r="AL592" s="288">
        <f>Tabla14[[#This Row],[Valor Precorte Pesona]]</f>
        <v>0</v>
      </c>
      <c r="AM592" s="294">
        <f>Tabla14[[#This Row],[Personas Precorte]]</f>
        <v>0</v>
      </c>
      <c r="AN592" s="308">
        <f>Tabla14[[#This Row],[Valor Precorte Pesona Precorte]]*Tabla14[[#This Row],[Perzonas Precorte]]</f>
        <v>0</v>
      </c>
      <c r="AO592" s="287">
        <f>Tabla14[[#This Row],[Cajas por Personas2]]</f>
        <v>0</v>
      </c>
      <c r="AP592" s="288">
        <f>Tabla14[[#This Row],[Valor Embarque Pesona]]</f>
        <v>0</v>
      </c>
      <c r="AQ592" s="295">
        <f>Tabla14[[#This Row],[Personas Precorte2]]</f>
        <v>0</v>
      </c>
      <c r="AR592" s="296">
        <f>Tabla14[[#This Row],[Valor Embarque Pesona3]]*Tabla14[[#This Row],[Perzona Primera]]</f>
        <v>0</v>
      </c>
      <c r="AS592" s="287">
        <f>Tabla14[[#This Row],[Columna2]]</f>
        <v>0</v>
      </c>
      <c r="AT592" s="288">
        <f>Tabla14[[#This Row],[Columna1]]</f>
        <v>0</v>
      </c>
      <c r="AU592" s="302">
        <f>Tabla14[[#This Row],[Personas Intervienen]]</f>
        <v>0</v>
      </c>
      <c r="AV592" s="297">
        <f>Tabla14[[#This Row],[Valor Embarque Pesona5]]*Tabla14[[#This Row],[Presonas Segunda]]</f>
        <v>0</v>
      </c>
      <c r="AW592" s="287">
        <f>Tabla14[[#This Row],[Bolsas Por Personas]]</f>
        <v>0</v>
      </c>
      <c r="AX592" s="288">
        <f>Tabla14[[#This Row],[Valor bolsas Pesona]]</f>
        <v>0</v>
      </c>
      <c r="AY592" s="309">
        <f>Tabla14[[#This Row],[Personas13]]</f>
        <v>0</v>
      </c>
      <c r="AZ592" s="310">
        <f>Tabla14[[#This Row],[Valor bolsas Pesona2]]*Tabla14[[#This Row],[Personas Rechazo]]</f>
        <v>0</v>
      </c>
      <c r="BA592" s="311">
        <f>+Tabla14[[#This Row],[Total Valor Segunda]]+Tabla14[[#This Row],[Total Valor Primera]]+Tabla14[[#This Row],[Total Valor Precorte]]</f>
        <v>0</v>
      </c>
      <c r="BB592" s="292">
        <f>Tabla14[[#This Row],[Valor bolsas Pesona2]]+Tabla14[[#This Row],[Valor Embarque Pesona3]]</f>
        <v>0</v>
      </c>
      <c r="BC592" s="332">
        <v>40000</v>
      </c>
      <c r="BD592" s="292">
        <f>Tabla14[[#This Row],[VALOR GANADO]]-Tabla14[[#This Row],[REAJUSTADO]]</f>
        <v>-40000</v>
      </c>
      <c r="BE592" s="250">
        <f>Tabla14[[#This Row],[CUANTO SE REAJUSTA]]*Tabla14[[#This Row],[Personas Rechazo]]</f>
        <v>0</v>
      </c>
      <c r="BF592" s="250">
        <f>Tabla14[[#This Row],[REAJUSTADO]]/25000</f>
        <v>1.6</v>
      </c>
      <c r="BG592" s="302">
        <f>Tabla14[[#This Row],[REAJUSTADO]]*Tabla14[[#This Row],[Personas Rechazo]]</f>
        <v>0</v>
      </c>
      <c r="BH592" s="292" t="str">
        <f>Tabla14[[#This Row],[Finca]]</f>
        <v>San Pedro</v>
      </c>
      <c r="BJ592" s="332">
        <f>Tabla14[[#This Row],[Numero de Ocacionales]]*Tabla14[[#This Row],[REAJUSTADO]]</f>
        <v>0</v>
      </c>
      <c r="BK592" s="332"/>
      <c r="BL592" s="332"/>
      <c r="BM592" s="332">
        <f>+Tabla14[[#This Row],[CUANTO SE REAJUSTA]]*3</f>
        <v>-120000</v>
      </c>
    </row>
    <row r="593" spans="3:65" x14ac:dyDescent="0.25">
      <c r="C593" s="515">
        <v>45390</v>
      </c>
      <c r="D593" s="549">
        <f>YEAR(Tabla14[[#This Row],[Fecha]])</f>
        <v>2024</v>
      </c>
      <c r="E593" s="516">
        <f>IF(Tabla14[[#This Row],[Fecha]]&gt;0,_xlfn.ISOWEEKNUM(Tabla14[[#This Row],[Fecha]]),0)</f>
        <v>15</v>
      </c>
      <c r="F593" s="283">
        <v>88</v>
      </c>
      <c r="G593" s="275" t="s">
        <v>272</v>
      </c>
      <c r="H593" s="325" t="str">
        <f>_xlfn.XLOOKUP(Tabla14[[#This Row],[Codigo Finca]],Tabla4[Codigo Finca],Tabla4[Nombre Finca],"")</f>
        <v>Pedrito</v>
      </c>
      <c r="I593" s="277">
        <f>_xlfn.XLOOKUP(Tabla14[[#This Row],[Codigo Finca]],Tabla4[Codigo Finca],Tabla4[Precio Caja],0)</f>
        <v>2000</v>
      </c>
      <c r="J593" s="277">
        <f>_xlfn.XLOOKUP(Tabla14[[#This Row],[Codigo Finca]],Tabla4[Codigo Finca],Tabla4[Precio Caja Segunda],0)</f>
        <v>0</v>
      </c>
      <c r="K593" s="277">
        <f>_xlfn.XLOOKUP(Tabla14[[#This Row],[Codigo Finca]],Tabla4[Codigo Finca],Tabla4[Precio Rechazo],0)</f>
        <v>575</v>
      </c>
      <c r="L593" s="277">
        <f t="shared" ref="L593:L601" si="581">S593+N593</f>
        <v>691</v>
      </c>
      <c r="M593" s="278">
        <f t="shared" ref="M593:M601" si="582">IF(F593&gt;0,L593/F593,0)</f>
        <v>7.8522727272727275</v>
      </c>
      <c r="N593" s="283"/>
      <c r="O593" s="279"/>
      <c r="P593" s="280">
        <f t="shared" ref="P593:P601" si="583">IF(N593&gt;0,(N593/M593)/2,0)</f>
        <v>0</v>
      </c>
      <c r="Q593" s="281">
        <f t="shared" ref="Q593:Q601" si="584">IF(O593&gt;0,P593/O593,0)</f>
        <v>0</v>
      </c>
      <c r="R593" s="282">
        <f t="shared" ref="R593:R601" si="585">IF(I593&gt;0,Q593*I593,)</f>
        <v>0</v>
      </c>
      <c r="S593" s="283">
        <v>691</v>
      </c>
      <c r="T593" s="275"/>
      <c r="U593" s="280">
        <f t="shared" ref="U593:U601" si="586">F593-P593</f>
        <v>88</v>
      </c>
      <c r="V593" s="281">
        <f t="shared" ref="V593:V601" si="587">IF(T593&gt;0,U593/T593,0)</f>
        <v>0</v>
      </c>
      <c r="W593" s="282">
        <f t="shared" ref="W593:W601" si="588">IF(T593&gt;0,(U593*I593)/T593,0)</f>
        <v>0</v>
      </c>
      <c r="X593" s="283"/>
      <c r="Y593" s="275"/>
      <c r="Z593" s="280">
        <f>Tabla14[[#This Row],[Cajas Segunda]]</f>
        <v>0</v>
      </c>
      <c r="AA593" s="281">
        <f t="shared" ref="AA593:AA601" si="589">IF(Y593&gt;0,Z593/Y593,0)</f>
        <v>0</v>
      </c>
      <c r="AB593" s="284">
        <f t="shared" ref="AB593:AB601" si="590">IF(Y593&gt;0,(Z593*J593)/Y593,0)</f>
        <v>0</v>
      </c>
      <c r="AC593" s="285"/>
      <c r="AD593" s="286"/>
      <c r="AE593" s="286"/>
      <c r="AF593" s="286"/>
      <c r="AG593" s="286"/>
      <c r="AH593" s="280">
        <f t="shared" ref="AH593:AH601" si="591">IF(AND(AC593&gt;0,AE593=0,AF593=0,AD593=0),AC593,IF(AND(AC593=0,AE593&gt;0,AF593&gt;0,AD593=0),AE593*AF593/25,IF(AND(AC593=0,AE593=0,AF593=0,AD593&gt;0),AD593/25,0)))</f>
        <v>0</v>
      </c>
      <c r="AI593" s="281">
        <f t="shared" ref="AI593:AI601" si="592">IF(AG593&gt;0,AH593/AG593,0)</f>
        <v>0</v>
      </c>
      <c r="AJ593" s="282">
        <f t="shared" ref="AJ593:AJ601" si="593">AI593*K593</f>
        <v>0</v>
      </c>
      <c r="AK593" s="287">
        <f>Tabla14[[#This Row],[Cajas por Personas]]</f>
        <v>0</v>
      </c>
      <c r="AL593" s="288">
        <f>Tabla14[[#This Row],[Valor Precorte Pesona]]</f>
        <v>0</v>
      </c>
      <c r="AM593" s="294">
        <f>Tabla14[[#This Row],[Personas Precorte]]</f>
        <v>0</v>
      </c>
      <c r="AN593" s="308">
        <f>Tabla14[[#This Row],[Valor Precorte Pesona Precorte]]*Tabla14[[#This Row],[Perzonas Precorte]]</f>
        <v>0</v>
      </c>
      <c r="AO593" s="287">
        <f>Tabla14[[#This Row],[Cajas por Personas2]]</f>
        <v>0</v>
      </c>
      <c r="AP593" s="288">
        <f>Tabla14[[#This Row],[Valor Embarque Pesona]]</f>
        <v>0</v>
      </c>
      <c r="AQ593" s="295">
        <f>Tabla14[[#This Row],[Personas Precorte2]]</f>
        <v>0</v>
      </c>
      <c r="AR593" s="296">
        <f>Tabla14[[#This Row],[Valor Embarque Pesona3]]*Tabla14[[#This Row],[Perzona Primera]]</f>
        <v>0</v>
      </c>
      <c r="AS593" s="287">
        <f>Tabla14[[#This Row],[Columna2]]</f>
        <v>0</v>
      </c>
      <c r="AT593" s="288">
        <f>Tabla14[[#This Row],[Columna1]]</f>
        <v>0</v>
      </c>
      <c r="AU593" s="302">
        <f>Tabla14[[#This Row],[Personas Intervienen]]</f>
        <v>0</v>
      </c>
      <c r="AV593" s="297">
        <f>Tabla14[[#This Row],[Valor Embarque Pesona5]]*Tabla14[[#This Row],[Presonas Segunda]]</f>
        <v>0</v>
      </c>
      <c r="AW593" s="287">
        <f>Tabla14[[#This Row],[Bolsas Por Personas]]</f>
        <v>0</v>
      </c>
      <c r="AX593" s="288">
        <f>Tabla14[[#This Row],[Valor bolsas Pesona]]</f>
        <v>0</v>
      </c>
      <c r="AY593" s="309">
        <f>Tabla14[[#This Row],[Personas13]]</f>
        <v>0</v>
      </c>
      <c r="AZ593" s="310">
        <f>Tabla14[[#This Row],[Valor bolsas Pesona2]]*Tabla14[[#This Row],[Personas Rechazo]]</f>
        <v>0</v>
      </c>
      <c r="BA593" s="311">
        <f>+Tabla14[[#This Row],[Total Valor Segunda]]+Tabla14[[#This Row],[Total Valor Primera]]+Tabla14[[#This Row],[Total Valor Precorte]]</f>
        <v>0</v>
      </c>
      <c r="BB593" s="292">
        <f>Tabla14[[#This Row],[Valor bolsas Pesona2]]+Tabla14[[#This Row],[Valor Embarque Pesona3]]</f>
        <v>0</v>
      </c>
      <c r="BD593" s="292">
        <f>Tabla14[[#This Row],[VALOR GANADO]]-Tabla14[[#This Row],[REAJUSTADO]]</f>
        <v>0</v>
      </c>
      <c r="BE593" s="250">
        <f>Tabla14[[#This Row],[CUANTO SE REAJUSTA]]*Tabla14[[#This Row],[Personas Rechazo]]</f>
        <v>0</v>
      </c>
      <c r="BF593" s="250">
        <f>Tabla14[[#This Row],[REAJUSTADO]]/25000</f>
        <v>0</v>
      </c>
      <c r="BG593" s="302">
        <f>Tabla14[[#This Row],[REAJUSTADO]]*Tabla14[[#This Row],[Personas Rechazo]]</f>
        <v>0</v>
      </c>
      <c r="BH593" s="292" t="str">
        <f>Tabla14[[#This Row],[Finca]]</f>
        <v>Pedrito</v>
      </c>
      <c r="BJ593" s="332">
        <f>Tabla14[[#This Row],[Numero de Ocacionales]]*Tabla14[[#This Row],[REAJUSTADO]]</f>
        <v>0</v>
      </c>
      <c r="BK593" s="332"/>
      <c r="BL593" s="332"/>
      <c r="BM593" s="332">
        <f>+Tabla14[[#This Row],[CUANTO SE REAJUSTA]]*3</f>
        <v>0</v>
      </c>
    </row>
    <row r="594" spans="3:65" x14ac:dyDescent="0.25">
      <c r="C594" s="515">
        <v>45391</v>
      </c>
      <c r="D594" s="549">
        <f>YEAR(Tabla14[[#This Row],[Fecha]])</f>
        <v>2024</v>
      </c>
      <c r="E594" s="516">
        <f>IF(Tabla14[[#This Row],[Fecha]]&gt;0,_xlfn.ISOWEEKNUM(Tabla14[[#This Row],[Fecha]]),0)</f>
        <v>15</v>
      </c>
      <c r="F594" s="283">
        <v>91</v>
      </c>
      <c r="G594" s="275" t="s">
        <v>274</v>
      </c>
      <c r="H594" s="325" t="str">
        <f>_xlfn.XLOOKUP(Tabla14[[#This Row],[Codigo Finca]],Tabla4[Codigo Finca],Tabla4[Nombre Finca],"")</f>
        <v>San Pedro</v>
      </c>
      <c r="I594" s="277">
        <f>_xlfn.XLOOKUP(Tabla14[[#This Row],[Codigo Finca]],Tabla4[Codigo Finca],Tabla4[Precio Caja],0)</f>
        <v>2000</v>
      </c>
      <c r="J594" s="277">
        <f>_xlfn.XLOOKUP(Tabla14[[#This Row],[Codigo Finca]],Tabla4[Codigo Finca],Tabla4[Precio Caja Segunda],0)</f>
        <v>0</v>
      </c>
      <c r="K594" s="277">
        <f>_xlfn.XLOOKUP(Tabla14[[#This Row],[Codigo Finca]],Tabla4[Codigo Finca],Tabla4[Precio Rechazo],0)</f>
        <v>575</v>
      </c>
      <c r="L594" s="277">
        <f t="shared" si="581"/>
        <v>614</v>
      </c>
      <c r="M594" s="278">
        <f t="shared" si="582"/>
        <v>6.7472527472527473</v>
      </c>
      <c r="N594" s="283"/>
      <c r="O594" s="279"/>
      <c r="P594" s="280">
        <f t="shared" si="583"/>
        <v>0</v>
      </c>
      <c r="Q594" s="281">
        <f t="shared" si="584"/>
        <v>0</v>
      </c>
      <c r="R594" s="282">
        <f t="shared" si="585"/>
        <v>0</v>
      </c>
      <c r="S594" s="283">
        <f>710-96</f>
        <v>614</v>
      </c>
      <c r="T594" s="275"/>
      <c r="U594" s="280">
        <f t="shared" si="586"/>
        <v>91</v>
      </c>
      <c r="V594" s="281">
        <f t="shared" si="587"/>
        <v>0</v>
      </c>
      <c r="W594" s="282">
        <f t="shared" si="588"/>
        <v>0</v>
      </c>
      <c r="X594" s="283"/>
      <c r="Y594" s="275"/>
      <c r="Z594" s="280">
        <f>Tabla14[[#This Row],[Cajas Segunda]]</f>
        <v>0</v>
      </c>
      <c r="AA594" s="281">
        <f t="shared" si="589"/>
        <v>0</v>
      </c>
      <c r="AB594" s="284">
        <f t="shared" si="590"/>
        <v>0</v>
      </c>
      <c r="AC594" s="285"/>
      <c r="AD594" s="286"/>
      <c r="AE594" s="286"/>
      <c r="AF594" s="286"/>
      <c r="AG594" s="286"/>
      <c r="AH594" s="280">
        <f t="shared" si="591"/>
        <v>0</v>
      </c>
      <c r="AI594" s="281">
        <f t="shared" si="592"/>
        <v>0</v>
      </c>
      <c r="AJ594" s="282">
        <f t="shared" si="593"/>
        <v>0</v>
      </c>
      <c r="AK594" s="287">
        <f>Tabla14[[#This Row],[Cajas por Personas]]</f>
        <v>0</v>
      </c>
      <c r="AL594" s="288">
        <f>Tabla14[[#This Row],[Valor Precorte Pesona]]</f>
        <v>0</v>
      </c>
      <c r="AM594" s="294">
        <f>Tabla14[[#This Row],[Personas Precorte]]</f>
        <v>0</v>
      </c>
      <c r="AN594" s="308">
        <f>Tabla14[[#This Row],[Valor Precorte Pesona Precorte]]*Tabla14[[#This Row],[Perzonas Precorte]]</f>
        <v>0</v>
      </c>
      <c r="AO594" s="287">
        <f>Tabla14[[#This Row],[Cajas por Personas2]]</f>
        <v>0</v>
      </c>
      <c r="AP594" s="288">
        <f>Tabla14[[#This Row],[Valor Embarque Pesona]]</f>
        <v>0</v>
      </c>
      <c r="AQ594" s="295">
        <f>Tabla14[[#This Row],[Personas Precorte2]]</f>
        <v>0</v>
      </c>
      <c r="AR594" s="296">
        <f>Tabla14[[#This Row],[Valor Embarque Pesona3]]*Tabla14[[#This Row],[Perzona Primera]]</f>
        <v>0</v>
      </c>
      <c r="AS594" s="287">
        <f>Tabla14[[#This Row],[Columna2]]</f>
        <v>0</v>
      </c>
      <c r="AT594" s="288">
        <f>Tabla14[[#This Row],[Columna1]]</f>
        <v>0</v>
      </c>
      <c r="AU594" s="302">
        <f>Tabla14[[#This Row],[Personas Intervienen]]</f>
        <v>0</v>
      </c>
      <c r="AV594" s="297">
        <f>Tabla14[[#This Row],[Valor Embarque Pesona5]]*Tabla14[[#This Row],[Presonas Segunda]]</f>
        <v>0</v>
      </c>
      <c r="AW594" s="287">
        <f>Tabla14[[#This Row],[Bolsas Por Personas]]</f>
        <v>0</v>
      </c>
      <c r="AX594" s="288">
        <f>Tabla14[[#This Row],[Valor bolsas Pesona]]</f>
        <v>0</v>
      </c>
      <c r="AY594" s="309">
        <f>Tabla14[[#This Row],[Personas13]]</f>
        <v>0</v>
      </c>
      <c r="AZ594" s="310">
        <f>Tabla14[[#This Row],[Valor bolsas Pesona2]]*Tabla14[[#This Row],[Personas Rechazo]]</f>
        <v>0</v>
      </c>
      <c r="BA594" s="311">
        <f>+Tabla14[[#This Row],[Total Valor Segunda]]+Tabla14[[#This Row],[Total Valor Primera]]+Tabla14[[#This Row],[Total Valor Precorte]]</f>
        <v>0</v>
      </c>
      <c r="BB594" s="292">
        <f>Tabla14[[#This Row],[Valor bolsas Pesona2]]+Tabla14[[#This Row],[Valor Embarque Pesona3]]</f>
        <v>0</v>
      </c>
      <c r="BD594" s="292">
        <f>Tabla14[[#This Row],[VALOR GANADO]]-Tabla14[[#This Row],[REAJUSTADO]]</f>
        <v>0</v>
      </c>
      <c r="BE594" s="250">
        <f>Tabla14[[#This Row],[CUANTO SE REAJUSTA]]*Tabla14[[#This Row],[Personas Rechazo]]</f>
        <v>0</v>
      </c>
      <c r="BF594" s="250">
        <f>Tabla14[[#This Row],[REAJUSTADO]]/25000</f>
        <v>0</v>
      </c>
      <c r="BG594" s="302">
        <f>Tabla14[[#This Row],[REAJUSTADO]]*Tabla14[[#This Row],[Personas Rechazo]]</f>
        <v>0</v>
      </c>
      <c r="BH594" s="292" t="str">
        <f>Tabla14[[#This Row],[Finca]]</f>
        <v>San Pedro</v>
      </c>
      <c r="BJ594" s="332">
        <f>Tabla14[[#This Row],[Numero de Ocacionales]]*Tabla14[[#This Row],[REAJUSTADO]]</f>
        <v>0</v>
      </c>
      <c r="BK594" s="332"/>
      <c r="BL594" s="332"/>
      <c r="BM594" s="332">
        <f>+Tabla14[[#This Row],[CUANTO SE REAJUSTA]]*3</f>
        <v>0</v>
      </c>
    </row>
    <row r="595" spans="3:65" x14ac:dyDescent="0.25">
      <c r="C595" s="515">
        <v>45391</v>
      </c>
      <c r="D595" s="549">
        <f>YEAR(Tabla14[[#This Row],[Fecha]])</f>
        <v>2024</v>
      </c>
      <c r="E595" s="516">
        <f>IF(Tabla14[[#This Row],[Fecha]]&gt;0,_xlfn.ISOWEEKNUM(Tabla14[[#This Row],[Fecha]]),0)</f>
        <v>15</v>
      </c>
      <c r="F595" s="283">
        <v>10</v>
      </c>
      <c r="G595" s="275" t="s">
        <v>273</v>
      </c>
      <c r="H595" s="325" t="str">
        <f>_xlfn.XLOOKUP(Tabla14[[#This Row],[Codigo Finca]],Tabla4[Codigo Finca],Tabla4[Nombre Finca],"")</f>
        <v>San Pedro</v>
      </c>
      <c r="I595" s="277">
        <f>_xlfn.XLOOKUP(Tabla14[[#This Row],[Codigo Finca]],Tabla4[Codigo Finca],Tabla4[Precio Caja],0)</f>
        <v>2200</v>
      </c>
      <c r="J595" s="277">
        <f>_xlfn.XLOOKUP(Tabla14[[#This Row],[Codigo Finca]],Tabla4[Codigo Finca],Tabla4[Precio Caja Segunda],0)</f>
        <v>0</v>
      </c>
      <c r="K595" s="277">
        <f>_xlfn.XLOOKUP(Tabla14[[#This Row],[Codigo Finca]],Tabla4[Codigo Finca],Tabla4[Precio Rechazo],0)</f>
        <v>675</v>
      </c>
      <c r="L595" s="277">
        <f t="shared" si="581"/>
        <v>96</v>
      </c>
      <c r="M595" s="278">
        <f t="shared" si="582"/>
        <v>9.6</v>
      </c>
      <c r="N595" s="283"/>
      <c r="O595" s="279"/>
      <c r="P595" s="280">
        <f t="shared" si="583"/>
        <v>0</v>
      </c>
      <c r="Q595" s="281">
        <f t="shared" si="584"/>
        <v>0</v>
      </c>
      <c r="R595" s="282">
        <f t="shared" si="585"/>
        <v>0</v>
      </c>
      <c r="S595" s="283">
        <v>96</v>
      </c>
      <c r="T595" s="275"/>
      <c r="U595" s="280">
        <f t="shared" si="586"/>
        <v>10</v>
      </c>
      <c r="V595" s="281">
        <f t="shared" si="587"/>
        <v>0</v>
      </c>
      <c r="W595" s="282">
        <f t="shared" si="588"/>
        <v>0</v>
      </c>
      <c r="X595" s="283"/>
      <c r="Y595" s="275"/>
      <c r="Z595" s="280">
        <f>Tabla14[[#This Row],[Cajas Segunda]]</f>
        <v>0</v>
      </c>
      <c r="AA595" s="281">
        <f t="shared" si="589"/>
        <v>0</v>
      </c>
      <c r="AB595" s="284">
        <f t="shared" si="590"/>
        <v>0</v>
      </c>
      <c r="AC595" s="285"/>
      <c r="AD595" s="286"/>
      <c r="AE595" s="286"/>
      <c r="AF595" s="286"/>
      <c r="AG595" s="286"/>
      <c r="AH595" s="280">
        <f t="shared" si="591"/>
        <v>0</v>
      </c>
      <c r="AI595" s="281">
        <f t="shared" si="592"/>
        <v>0</v>
      </c>
      <c r="AJ595" s="282">
        <f t="shared" si="593"/>
        <v>0</v>
      </c>
      <c r="AK595" s="287">
        <f>Tabla14[[#This Row],[Cajas por Personas]]</f>
        <v>0</v>
      </c>
      <c r="AL595" s="288">
        <f>Tabla14[[#This Row],[Valor Precorte Pesona]]</f>
        <v>0</v>
      </c>
      <c r="AM595" s="294">
        <f>Tabla14[[#This Row],[Personas Precorte]]</f>
        <v>0</v>
      </c>
      <c r="AN595" s="308">
        <f>Tabla14[[#This Row],[Valor Precorte Pesona Precorte]]*Tabla14[[#This Row],[Perzonas Precorte]]</f>
        <v>0</v>
      </c>
      <c r="AO595" s="287">
        <f>Tabla14[[#This Row],[Cajas por Personas2]]</f>
        <v>0</v>
      </c>
      <c r="AP595" s="288">
        <f>Tabla14[[#This Row],[Valor Embarque Pesona]]</f>
        <v>0</v>
      </c>
      <c r="AQ595" s="295">
        <f>Tabla14[[#This Row],[Personas Precorte2]]</f>
        <v>0</v>
      </c>
      <c r="AR595" s="296">
        <f>Tabla14[[#This Row],[Valor Embarque Pesona3]]*Tabla14[[#This Row],[Perzona Primera]]</f>
        <v>0</v>
      </c>
      <c r="AS595" s="287">
        <f>Tabla14[[#This Row],[Columna2]]</f>
        <v>0</v>
      </c>
      <c r="AT595" s="288">
        <f>Tabla14[[#This Row],[Columna1]]</f>
        <v>0</v>
      </c>
      <c r="AU595" s="302">
        <f>Tabla14[[#This Row],[Personas Intervienen]]</f>
        <v>0</v>
      </c>
      <c r="AV595" s="297">
        <f>Tabla14[[#This Row],[Valor Embarque Pesona5]]*Tabla14[[#This Row],[Presonas Segunda]]</f>
        <v>0</v>
      </c>
      <c r="AW595" s="287">
        <f>Tabla14[[#This Row],[Bolsas Por Personas]]</f>
        <v>0</v>
      </c>
      <c r="AX595" s="288">
        <f>Tabla14[[#This Row],[Valor bolsas Pesona]]</f>
        <v>0</v>
      </c>
      <c r="AY595" s="309">
        <f>Tabla14[[#This Row],[Personas13]]</f>
        <v>0</v>
      </c>
      <c r="AZ595" s="310">
        <f>Tabla14[[#This Row],[Valor bolsas Pesona2]]*Tabla14[[#This Row],[Personas Rechazo]]</f>
        <v>0</v>
      </c>
      <c r="BA595" s="311">
        <f>+Tabla14[[#This Row],[Total Valor Segunda]]+Tabla14[[#This Row],[Total Valor Primera]]+Tabla14[[#This Row],[Total Valor Precorte]]</f>
        <v>0</v>
      </c>
      <c r="BB595" s="292">
        <f>Tabla14[[#This Row],[Valor bolsas Pesona2]]+Tabla14[[#This Row],[Valor Embarque Pesona3]]</f>
        <v>0</v>
      </c>
      <c r="BD595" s="292">
        <f>Tabla14[[#This Row],[VALOR GANADO]]-Tabla14[[#This Row],[REAJUSTADO]]</f>
        <v>0</v>
      </c>
      <c r="BE595" s="250">
        <f>Tabla14[[#This Row],[CUANTO SE REAJUSTA]]*Tabla14[[#This Row],[Personas Rechazo]]</f>
        <v>0</v>
      </c>
      <c r="BF595" s="250">
        <f>Tabla14[[#This Row],[REAJUSTADO]]/25000</f>
        <v>0</v>
      </c>
      <c r="BG595" s="302">
        <f>Tabla14[[#This Row],[REAJUSTADO]]*Tabla14[[#This Row],[Personas Rechazo]]</f>
        <v>0</v>
      </c>
      <c r="BH595" s="292" t="str">
        <f>Tabla14[[#This Row],[Finca]]</f>
        <v>San Pedro</v>
      </c>
      <c r="BJ595" s="332">
        <f>Tabla14[[#This Row],[Numero de Ocacionales]]*Tabla14[[#This Row],[REAJUSTADO]]</f>
        <v>0</v>
      </c>
      <c r="BK595" s="332"/>
      <c r="BL595" s="332"/>
      <c r="BM595" s="332">
        <f>+Tabla14[[#This Row],[CUANTO SE REAJUSTA]]*3</f>
        <v>0</v>
      </c>
    </row>
    <row r="596" spans="3:65" x14ac:dyDescent="0.25">
      <c r="C596" s="515">
        <v>45397</v>
      </c>
      <c r="D596" s="549">
        <f>YEAR(Tabla14[[#This Row],[Fecha]])</f>
        <v>2024</v>
      </c>
      <c r="E596" s="516">
        <f>IF(Tabla14[[#This Row],[Fecha]]&gt;0,_xlfn.ISOWEEKNUM(Tabla14[[#This Row],[Fecha]]),0)</f>
        <v>16</v>
      </c>
      <c r="F596" s="283">
        <v>188</v>
      </c>
      <c r="G596" s="275" t="s">
        <v>274</v>
      </c>
      <c r="H596" s="325" t="str">
        <f>_xlfn.XLOOKUP(Tabla14[[#This Row],[Codigo Finca]],Tabla4[Codigo Finca],Tabla4[Nombre Finca],"")</f>
        <v>San Pedro</v>
      </c>
      <c r="I596" s="277">
        <f>_xlfn.XLOOKUP(Tabla14[[#This Row],[Codigo Finca]],Tabla4[Codigo Finca],Tabla4[Precio Caja],0)</f>
        <v>2000</v>
      </c>
      <c r="J596" s="277">
        <f>_xlfn.XLOOKUP(Tabla14[[#This Row],[Codigo Finca]],Tabla4[Codigo Finca],Tabla4[Precio Caja Segunda],0)</f>
        <v>0</v>
      </c>
      <c r="K596" s="277">
        <f>_xlfn.XLOOKUP(Tabla14[[#This Row],[Codigo Finca]],Tabla4[Codigo Finca],Tabla4[Precio Rechazo],0)</f>
        <v>575</v>
      </c>
      <c r="L596" s="277">
        <f t="shared" si="581"/>
        <v>1038</v>
      </c>
      <c r="M596" s="278">
        <f t="shared" si="582"/>
        <v>5.5212765957446805</v>
      </c>
      <c r="N596" s="283"/>
      <c r="O596" s="279"/>
      <c r="P596" s="280">
        <f t="shared" si="583"/>
        <v>0</v>
      </c>
      <c r="Q596" s="281">
        <f t="shared" si="584"/>
        <v>0</v>
      </c>
      <c r="R596" s="282">
        <f t="shared" si="585"/>
        <v>0</v>
      </c>
      <c r="S596" s="283">
        <v>1038</v>
      </c>
      <c r="T596" s="275">
        <v>16</v>
      </c>
      <c r="U596" s="280">
        <f t="shared" si="586"/>
        <v>188</v>
      </c>
      <c r="V596" s="281">
        <f t="shared" si="587"/>
        <v>11.75</v>
      </c>
      <c r="W596" s="282">
        <f t="shared" si="588"/>
        <v>23500</v>
      </c>
      <c r="X596" s="283"/>
      <c r="Y596" s="275"/>
      <c r="Z596" s="280">
        <f>Tabla14[[#This Row],[Cajas Segunda]]</f>
        <v>0</v>
      </c>
      <c r="AA596" s="281">
        <f t="shared" si="589"/>
        <v>0</v>
      </c>
      <c r="AB596" s="284">
        <f t="shared" si="590"/>
        <v>0</v>
      </c>
      <c r="AC596" s="285"/>
      <c r="AD596" s="286"/>
      <c r="AE596" s="286"/>
      <c r="AF596" s="286"/>
      <c r="AG596" s="286"/>
      <c r="AH596" s="280">
        <f t="shared" si="591"/>
        <v>0</v>
      </c>
      <c r="AI596" s="281">
        <f t="shared" si="592"/>
        <v>0</v>
      </c>
      <c r="AJ596" s="282">
        <f t="shared" si="593"/>
        <v>0</v>
      </c>
      <c r="AK596" s="287">
        <f>Tabla14[[#This Row],[Cajas por Personas]]</f>
        <v>0</v>
      </c>
      <c r="AL596" s="288">
        <f>Tabla14[[#This Row],[Valor Precorte Pesona]]</f>
        <v>0</v>
      </c>
      <c r="AM596" s="294">
        <f>Tabla14[[#This Row],[Personas Precorte]]</f>
        <v>0</v>
      </c>
      <c r="AN596" s="308">
        <f>Tabla14[[#This Row],[Valor Precorte Pesona Precorte]]*Tabla14[[#This Row],[Perzonas Precorte]]</f>
        <v>0</v>
      </c>
      <c r="AO596" s="287">
        <f>Tabla14[[#This Row],[Cajas por Personas2]]</f>
        <v>11.75</v>
      </c>
      <c r="AP596" s="288">
        <f>Tabla14[[#This Row],[Valor Embarque Pesona]]</f>
        <v>23500</v>
      </c>
      <c r="AQ596" s="295">
        <f>Tabla14[[#This Row],[Personas Precorte2]]</f>
        <v>16</v>
      </c>
      <c r="AR596" s="296">
        <f>Tabla14[[#This Row],[Valor Embarque Pesona3]]*Tabla14[[#This Row],[Perzona Primera]]</f>
        <v>376000</v>
      </c>
      <c r="AS596" s="287">
        <f>Tabla14[[#This Row],[Columna2]]</f>
        <v>0</v>
      </c>
      <c r="AT596" s="288">
        <f>Tabla14[[#This Row],[Columna1]]</f>
        <v>0</v>
      </c>
      <c r="AU596" s="302">
        <f>Tabla14[[#This Row],[Personas Intervienen]]</f>
        <v>0</v>
      </c>
      <c r="AV596" s="297">
        <f>Tabla14[[#This Row],[Valor Embarque Pesona5]]*Tabla14[[#This Row],[Presonas Segunda]]</f>
        <v>0</v>
      </c>
      <c r="AW596" s="287">
        <f>Tabla14[[#This Row],[Bolsas Por Personas]]</f>
        <v>0</v>
      </c>
      <c r="AX596" s="288">
        <f>Tabla14[[#This Row],[Valor bolsas Pesona]]</f>
        <v>0</v>
      </c>
      <c r="AY596" s="309">
        <f>Tabla14[[#This Row],[Personas13]]</f>
        <v>0</v>
      </c>
      <c r="AZ596" s="310">
        <f>Tabla14[[#This Row],[Valor bolsas Pesona2]]*Tabla14[[#This Row],[Personas Rechazo]]</f>
        <v>0</v>
      </c>
      <c r="BA596" s="311">
        <f>+Tabla14[[#This Row],[Total Valor Segunda]]+Tabla14[[#This Row],[Total Valor Primera]]+Tabla14[[#This Row],[Total Valor Precorte]]</f>
        <v>376000</v>
      </c>
      <c r="BB596" s="292">
        <f>Tabla14[[#This Row],[Valor bolsas Pesona2]]+Tabla14[[#This Row],[Valor Embarque Pesona3]]</f>
        <v>23500</v>
      </c>
      <c r="BD596" s="292">
        <f>Tabla14[[#This Row],[VALOR GANADO]]-Tabla14[[#This Row],[REAJUSTADO]]</f>
        <v>23500</v>
      </c>
      <c r="BE596" s="250">
        <f>Tabla14[[#This Row],[CUANTO SE REAJUSTA]]*Tabla14[[#This Row],[Personas Rechazo]]</f>
        <v>0</v>
      </c>
      <c r="BF596" s="250">
        <f>Tabla14[[#This Row],[REAJUSTADO]]/25000</f>
        <v>0</v>
      </c>
      <c r="BG596" s="302">
        <f>Tabla14[[#This Row],[REAJUSTADO]]*Tabla14[[#This Row],[Personas Rechazo]]</f>
        <v>0</v>
      </c>
      <c r="BH596" s="292" t="str">
        <f>Tabla14[[#This Row],[Finca]]</f>
        <v>San Pedro</v>
      </c>
      <c r="BJ596" s="332">
        <f>Tabla14[[#This Row],[Numero de Ocacionales]]*Tabla14[[#This Row],[REAJUSTADO]]</f>
        <v>0</v>
      </c>
      <c r="BK596" s="332"/>
      <c r="BL596" s="332"/>
      <c r="BM596" s="332">
        <f>+Tabla14[[#This Row],[CUANTO SE REAJUSTA]]*3</f>
        <v>70500</v>
      </c>
    </row>
    <row r="597" spans="3:65" x14ac:dyDescent="0.25">
      <c r="C597" s="515">
        <v>45398</v>
      </c>
      <c r="D597" s="549">
        <f>YEAR(Tabla14[[#This Row],[Fecha]])</f>
        <v>2024</v>
      </c>
      <c r="E597" s="516">
        <f>IF(Tabla14[[#This Row],[Fecha]]&gt;0,_xlfn.ISOWEEKNUM(Tabla14[[#This Row],[Fecha]]),0)</f>
        <v>16</v>
      </c>
      <c r="F597" s="283">
        <v>5</v>
      </c>
      <c r="G597" s="275" t="s">
        <v>273</v>
      </c>
      <c r="H597" s="325" t="str">
        <f>_xlfn.XLOOKUP(Tabla14[[#This Row],[Codigo Finca]],Tabla4[Codigo Finca],Tabla4[Nombre Finca],"")</f>
        <v>San Pedro</v>
      </c>
      <c r="I597" s="277">
        <f>_xlfn.XLOOKUP(Tabla14[[#This Row],[Codigo Finca]],Tabla4[Codigo Finca],Tabla4[Precio Caja],0)</f>
        <v>2200</v>
      </c>
      <c r="J597" s="277">
        <f>_xlfn.XLOOKUP(Tabla14[[#This Row],[Codigo Finca]],Tabla4[Codigo Finca],Tabla4[Precio Caja Segunda],0)</f>
        <v>0</v>
      </c>
      <c r="K597" s="277">
        <f>_xlfn.XLOOKUP(Tabla14[[#This Row],[Codigo Finca]],Tabla4[Codigo Finca],Tabla4[Precio Rechazo],0)</f>
        <v>675</v>
      </c>
      <c r="L597" s="277">
        <f t="shared" si="581"/>
        <v>0</v>
      </c>
      <c r="M597" s="278">
        <f t="shared" si="582"/>
        <v>0</v>
      </c>
      <c r="N597" s="283"/>
      <c r="O597" s="279"/>
      <c r="P597" s="280">
        <f t="shared" si="583"/>
        <v>0</v>
      </c>
      <c r="Q597" s="281">
        <f t="shared" si="584"/>
        <v>0</v>
      </c>
      <c r="R597" s="282">
        <f t="shared" si="585"/>
        <v>0</v>
      </c>
      <c r="S597" s="283"/>
      <c r="T597" s="275">
        <v>2</v>
      </c>
      <c r="U597" s="280">
        <f t="shared" si="586"/>
        <v>5</v>
      </c>
      <c r="V597" s="281">
        <f t="shared" si="587"/>
        <v>2.5</v>
      </c>
      <c r="W597" s="282">
        <f t="shared" si="588"/>
        <v>5500</v>
      </c>
      <c r="X597" s="283"/>
      <c r="Y597" s="275"/>
      <c r="Z597" s="280">
        <f>Tabla14[[#This Row],[Cajas Segunda]]</f>
        <v>0</v>
      </c>
      <c r="AA597" s="281">
        <f t="shared" si="589"/>
        <v>0</v>
      </c>
      <c r="AB597" s="284">
        <f t="shared" si="590"/>
        <v>0</v>
      </c>
      <c r="AC597" s="285"/>
      <c r="AD597" s="286"/>
      <c r="AE597" s="286"/>
      <c r="AF597" s="286"/>
      <c r="AG597" s="286"/>
      <c r="AH597" s="280">
        <f t="shared" si="591"/>
        <v>0</v>
      </c>
      <c r="AI597" s="281">
        <f t="shared" si="592"/>
        <v>0</v>
      </c>
      <c r="AJ597" s="282">
        <f t="shared" si="593"/>
        <v>0</v>
      </c>
      <c r="AK597" s="287">
        <f>Tabla14[[#This Row],[Cajas por Personas]]</f>
        <v>0</v>
      </c>
      <c r="AL597" s="288">
        <f>Tabla14[[#This Row],[Valor Precorte Pesona]]</f>
        <v>0</v>
      </c>
      <c r="AM597" s="294">
        <f>Tabla14[[#This Row],[Personas Precorte]]</f>
        <v>0</v>
      </c>
      <c r="AN597" s="308">
        <f>Tabla14[[#This Row],[Valor Precorte Pesona Precorte]]*Tabla14[[#This Row],[Perzonas Precorte]]</f>
        <v>0</v>
      </c>
      <c r="AO597" s="287">
        <f>Tabla14[[#This Row],[Cajas por Personas2]]</f>
        <v>2.5</v>
      </c>
      <c r="AP597" s="288">
        <f>Tabla14[[#This Row],[Valor Embarque Pesona]]</f>
        <v>5500</v>
      </c>
      <c r="AQ597" s="295">
        <f>Tabla14[[#This Row],[Personas Precorte2]]</f>
        <v>2</v>
      </c>
      <c r="AR597" s="296">
        <f>Tabla14[[#This Row],[Valor Embarque Pesona3]]*Tabla14[[#This Row],[Perzona Primera]]</f>
        <v>11000</v>
      </c>
      <c r="AS597" s="287">
        <f>Tabla14[[#This Row],[Columna2]]</f>
        <v>0</v>
      </c>
      <c r="AT597" s="288">
        <f>Tabla14[[#This Row],[Columna1]]</f>
        <v>0</v>
      </c>
      <c r="AU597" s="302">
        <f>Tabla14[[#This Row],[Personas Intervienen]]</f>
        <v>0</v>
      </c>
      <c r="AV597" s="297">
        <f>Tabla14[[#This Row],[Valor Embarque Pesona5]]*Tabla14[[#This Row],[Presonas Segunda]]</f>
        <v>0</v>
      </c>
      <c r="AW597" s="287">
        <f>Tabla14[[#This Row],[Bolsas Por Personas]]</f>
        <v>0</v>
      </c>
      <c r="AX597" s="288">
        <f>Tabla14[[#This Row],[Valor bolsas Pesona]]</f>
        <v>0</v>
      </c>
      <c r="AY597" s="309">
        <f>Tabla14[[#This Row],[Personas13]]</f>
        <v>0</v>
      </c>
      <c r="AZ597" s="310">
        <f>Tabla14[[#This Row],[Valor bolsas Pesona2]]*Tabla14[[#This Row],[Personas Rechazo]]</f>
        <v>0</v>
      </c>
      <c r="BA597" s="311">
        <f>+Tabla14[[#This Row],[Total Valor Segunda]]+Tabla14[[#This Row],[Total Valor Primera]]+Tabla14[[#This Row],[Total Valor Precorte]]</f>
        <v>11000</v>
      </c>
      <c r="BB597" s="292">
        <f>Tabla14[[#This Row],[Valor bolsas Pesona2]]+Tabla14[[#This Row],[Valor Embarque Pesona3]]</f>
        <v>5500</v>
      </c>
      <c r="BD597" s="292">
        <f>Tabla14[[#This Row],[VALOR GANADO]]-Tabla14[[#This Row],[REAJUSTADO]]</f>
        <v>5500</v>
      </c>
      <c r="BE597" s="250">
        <f>Tabla14[[#This Row],[CUANTO SE REAJUSTA]]*Tabla14[[#This Row],[Personas Rechazo]]</f>
        <v>0</v>
      </c>
      <c r="BF597" s="250">
        <f>Tabla14[[#This Row],[REAJUSTADO]]/25000</f>
        <v>0</v>
      </c>
      <c r="BG597" s="302">
        <f>Tabla14[[#This Row],[REAJUSTADO]]*Tabla14[[#This Row],[Personas Rechazo]]</f>
        <v>0</v>
      </c>
      <c r="BH597" s="292" t="str">
        <f>Tabla14[[#This Row],[Finca]]</f>
        <v>San Pedro</v>
      </c>
      <c r="BJ597" s="332">
        <f>Tabla14[[#This Row],[Numero de Ocacionales]]*Tabla14[[#This Row],[REAJUSTADO]]</f>
        <v>0</v>
      </c>
      <c r="BK597" s="332"/>
      <c r="BL597" s="332"/>
      <c r="BM597" s="332">
        <f>+Tabla14[[#This Row],[CUANTO SE REAJUSTA]]*3</f>
        <v>16500</v>
      </c>
    </row>
    <row r="598" spans="3:65" x14ac:dyDescent="0.25">
      <c r="C598" s="515">
        <v>45398</v>
      </c>
      <c r="D598" s="549">
        <f>YEAR(Tabla14[[#This Row],[Fecha]])</f>
        <v>2024</v>
      </c>
      <c r="E598" s="516">
        <f>IF(Tabla14[[#This Row],[Fecha]]&gt;0,_xlfn.ISOWEEKNUM(Tabla14[[#This Row],[Fecha]]),0)</f>
        <v>16</v>
      </c>
      <c r="F598" s="283">
        <v>7</v>
      </c>
      <c r="G598" s="275" t="s">
        <v>274</v>
      </c>
      <c r="H598" s="325" t="str">
        <f>_xlfn.XLOOKUP(Tabla14[[#This Row],[Codigo Finca]],Tabla4[Codigo Finca],Tabla4[Nombre Finca],"")</f>
        <v>San Pedro</v>
      </c>
      <c r="I598" s="277">
        <f>_xlfn.XLOOKUP(Tabla14[[#This Row],[Codigo Finca]],Tabla4[Codigo Finca],Tabla4[Precio Caja],0)</f>
        <v>2000</v>
      </c>
      <c r="J598" s="277">
        <f>_xlfn.XLOOKUP(Tabla14[[#This Row],[Codigo Finca]],Tabla4[Codigo Finca],Tabla4[Precio Caja Segunda],0)</f>
        <v>0</v>
      </c>
      <c r="K598" s="277">
        <f>_xlfn.XLOOKUP(Tabla14[[#This Row],[Codigo Finca]],Tabla4[Codigo Finca],Tabla4[Precio Rechazo],0)</f>
        <v>575</v>
      </c>
      <c r="L598" s="277">
        <f t="shared" si="581"/>
        <v>0</v>
      </c>
      <c r="M598" s="278">
        <f t="shared" si="582"/>
        <v>0</v>
      </c>
      <c r="N598" s="283"/>
      <c r="O598" s="279"/>
      <c r="P598" s="280">
        <f t="shared" si="583"/>
        <v>0</v>
      </c>
      <c r="Q598" s="281">
        <f t="shared" si="584"/>
        <v>0</v>
      </c>
      <c r="R598" s="282">
        <f t="shared" si="585"/>
        <v>0</v>
      </c>
      <c r="S598" s="283"/>
      <c r="T598" s="275"/>
      <c r="U598" s="280">
        <f t="shared" si="586"/>
        <v>7</v>
      </c>
      <c r="V598" s="281">
        <f t="shared" si="587"/>
        <v>0</v>
      </c>
      <c r="W598" s="282">
        <f t="shared" si="588"/>
        <v>0</v>
      </c>
      <c r="X598" s="283"/>
      <c r="Y598" s="275"/>
      <c r="Z598" s="280">
        <f>Tabla14[[#This Row],[Cajas Segunda]]</f>
        <v>0</v>
      </c>
      <c r="AA598" s="281">
        <f t="shared" si="589"/>
        <v>0</v>
      </c>
      <c r="AB598" s="284">
        <f t="shared" si="590"/>
        <v>0</v>
      </c>
      <c r="AC598" s="285"/>
      <c r="AD598" s="286"/>
      <c r="AE598" s="286"/>
      <c r="AF598" s="286"/>
      <c r="AG598" s="286"/>
      <c r="AH598" s="280">
        <f t="shared" si="591"/>
        <v>0</v>
      </c>
      <c r="AI598" s="281">
        <f t="shared" si="592"/>
        <v>0</v>
      </c>
      <c r="AJ598" s="282">
        <f t="shared" si="593"/>
        <v>0</v>
      </c>
      <c r="AK598" s="287">
        <f>Tabla14[[#This Row],[Cajas por Personas]]</f>
        <v>0</v>
      </c>
      <c r="AL598" s="288">
        <f>Tabla14[[#This Row],[Valor Precorte Pesona]]</f>
        <v>0</v>
      </c>
      <c r="AM598" s="294">
        <f>Tabla14[[#This Row],[Personas Precorte]]</f>
        <v>0</v>
      </c>
      <c r="AN598" s="308">
        <f>Tabla14[[#This Row],[Valor Precorte Pesona Precorte]]*Tabla14[[#This Row],[Perzonas Precorte]]</f>
        <v>0</v>
      </c>
      <c r="AO598" s="287">
        <f>Tabla14[[#This Row],[Cajas por Personas2]]</f>
        <v>0</v>
      </c>
      <c r="AP598" s="288">
        <f>Tabla14[[#This Row],[Valor Embarque Pesona]]</f>
        <v>0</v>
      </c>
      <c r="AQ598" s="295">
        <f>Tabla14[[#This Row],[Personas Precorte2]]</f>
        <v>0</v>
      </c>
      <c r="AR598" s="296">
        <f>Tabla14[[#This Row],[Valor Embarque Pesona3]]*Tabla14[[#This Row],[Perzona Primera]]</f>
        <v>0</v>
      </c>
      <c r="AS598" s="287">
        <f>Tabla14[[#This Row],[Columna2]]</f>
        <v>0</v>
      </c>
      <c r="AT598" s="288">
        <f>Tabla14[[#This Row],[Columna1]]</f>
        <v>0</v>
      </c>
      <c r="AU598" s="302">
        <f>Tabla14[[#This Row],[Personas Intervienen]]</f>
        <v>0</v>
      </c>
      <c r="AV598" s="297">
        <f>Tabla14[[#This Row],[Valor Embarque Pesona5]]*Tabla14[[#This Row],[Presonas Segunda]]</f>
        <v>0</v>
      </c>
      <c r="AW598" s="287">
        <f>Tabla14[[#This Row],[Bolsas Por Personas]]</f>
        <v>0</v>
      </c>
      <c r="AX598" s="288">
        <f>Tabla14[[#This Row],[Valor bolsas Pesona]]</f>
        <v>0</v>
      </c>
      <c r="AY598" s="309">
        <f>Tabla14[[#This Row],[Personas13]]</f>
        <v>0</v>
      </c>
      <c r="AZ598" s="310">
        <f>Tabla14[[#This Row],[Valor bolsas Pesona2]]*Tabla14[[#This Row],[Personas Rechazo]]</f>
        <v>0</v>
      </c>
      <c r="BA598" s="311">
        <f>+Tabla14[[#This Row],[Total Valor Segunda]]+Tabla14[[#This Row],[Total Valor Primera]]+Tabla14[[#This Row],[Total Valor Precorte]]</f>
        <v>0</v>
      </c>
      <c r="BB598" s="292">
        <f>Tabla14[[#This Row],[Valor bolsas Pesona2]]+Tabla14[[#This Row],[Valor Embarque Pesona3]]</f>
        <v>0</v>
      </c>
      <c r="BD598" s="292">
        <f>Tabla14[[#This Row],[VALOR GANADO]]-Tabla14[[#This Row],[REAJUSTADO]]</f>
        <v>0</v>
      </c>
      <c r="BE598" s="250">
        <f>Tabla14[[#This Row],[CUANTO SE REAJUSTA]]*Tabla14[[#This Row],[Personas Rechazo]]</f>
        <v>0</v>
      </c>
      <c r="BF598" s="250">
        <f>Tabla14[[#This Row],[REAJUSTADO]]/25000</f>
        <v>0</v>
      </c>
      <c r="BG598" s="302">
        <f>Tabla14[[#This Row],[REAJUSTADO]]*Tabla14[[#This Row],[Personas Rechazo]]</f>
        <v>0</v>
      </c>
      <c r="BH598" s="292" t="str">
        <f>Tabla14[[#This Row],[Finca]]</f>
        <v>San Pedro</v>
      </c>
      <c r="BJ598" s="332">
        <f>Tabla14[[#This Row],[Numero de Ocacionales]]*Tabla14[[#This Row],[REAJUSTADO]]</f>
        <v>0</v>
      </c>
      <c r="BK598" s="332"/>
      <c r="BL598" s="332"/>
      <c r="BM598" s="332">
        <f>+Tabla14[[#This Row],[CUANTO SE REAJUSTA]]*3</f>
        <v>0</v>
      </c>
    </row>
    <row r="599" spans="3:65" x14ac:dyDescent="0.25">
      <c r="C599" s="515">
        <v>45398</v>
      </c>
      <c r="D599" s="549">
        <f>YEAR(Tabla14[[#This Row],[Fecha]])</f>
        <v>2024</v>
      </c>
      <c r="E599" s="516">
        <f>IF(Tabla14[[#This Row],[Fecha]]&gt;0,_xlfn.ISOWEEKNUM(Tabla14[[#This Row],[Fecha]]),0)</f>
        <v>16</v>
      </c>
      <c r="F599" s="283">
        <v>113</v>
      </c>
      <c r="G599" s="275" t="s">
        <v>272</v>
      </c>
      <c r="H599" s="325" t="str">
        <f>_xlfn.XLOOKUP(Tabla14[[#This Row],[Codigo Finca]],Tabla4[Codigo Finca],Tabla4[Nombre Finca],"")</f>
        <v>Pedrito</v>
      </c>
      <c r="I599" s="277">
        <f>_xlfn.XLOOKUP(Tabla14[[#This Row],[Codigo Finca]],Tabla4[Codigo Finca],Tabla4[Precio Caja],0)</f>
        <v>2000</v>
      </c>
      <c r="J599" s="277">
        <f>_xlfn.XLOOKUP(Tabla14[[#This Row],[Codigo Finca]],Tabla4[Codigo Finca],Tabla4[Precio Caja Segunda],0)</f>
        <v>0</v>
      </c>
      <c r="K599" s="277">
        <f>_xlfn.XLOOKUP(Tabla14[[#This Row],[Codigo Finca]],Tabla4[Codigo Finca],Tabla4[Precio Rechazo],0)</f>
        <v>575</v>
      </c>
      <c r="L599" s="277">
        <f t="shared" si="581"/>
        <v>902</v>
      </c>
      <c r="M599" s="278">
        <f t="shared" si="582"/>
        <v>7.9823008849557526</v>
      </c>
      <c r="N599" s="283"/>
      <c r="O599" s="279"/>
      <c r="P599" s="280">
        <f t="shared" si="583"/>
        <v>0</v>
      </c>
      <c r="Q599" s="281">
        <f t="shared" si="584"/>
        <v>0</v>
      </c>
      <c r="R599" s="282">
        <f t="shared" si="585"/>
        <v>0</v>
      </c>
      <c r="S599" s="283">
        <v>902</v>
      </c>
      <c r="T599" s="275">
        <v>19</v>
      </c>
      <c r="U599" s="280">
        <f t="shared" si="586"/>
        <v>113</v>
      </c>
      <c r="V599" s="281">
        <f t="shared" si="587"/>
        <v>5.9473684210526319</v>
      </c>
      <c r="W599" s="282">
        <f t="shared" si="588"/>
        <v>11894.736842105263</v>
      </c>
      <c r="X599" s="283"/>
      <c r="Y599" s="275"/>
      <c r="Z599" s="280">
        <f>Tabla14[[#This Row],[Cajas Segunda]]</f>
        <v>0</v>
      </c>
      <c r="AA599" s="281">
        <f t="shared" si="589"/>
        <v>0</v>
      </c>
      <c r="AB599" s="284">
        <f t="shared" si="590"/>
        <v>0</v>
      </c>
      <c r="AC599" s="285"/>
      <c r="AD599" s="286"/>
      <c r="AE599" s="286"/>
      <c r="AF599" s="286"/>
      <c r="AG599" s="286"/>
      <c r="AH599" s="280">
        <f t="shared" si="591"/>
        <v>0</v>
      </c>
      <c r="AI599" s="281">
        <f t="shared" si="592"/>
        <v>0</v>
      </c>
      <c r="AJ599" s="282">
        <f t="shared" si="593"/>
        <v>0</v>
      </c>
      <c r="AK599" s="287">
        <f>Tabla14[[#This Row],[Cajas por Personas]]</f>
        <v>0</v>
      </c>
      <c r="AL599" s="288">
        <f>Tabla14[[#This Row],[Valor Precorte Pesona]]</f>
        <v>0</v>
      </c>
      <c r="AM599" s="294">
        <f>Tabla14[[#This Row],[Personas Precorte]]</f>
        <v>0</v>
      </c>
      <c r="AN599" s="308">
        <f>Tabla14[[#This Row],[Valor Precorte Pesona Precorte]]*Tabla14[[#This Row],[Perzonas Precorte]]</f>
        <v>0</v>
      </c>
      <c r="AO599" s="287">
        <f>Tabla14[[#This Row],[Cajas por Personas2]]</f>
        <v>5.9473684210526319</v>
      </c>
      <c r="AP599" s="288">
        <f>Tabla14[[#This Row],[Valor Embarque Pesona]]</f>
        <v>11894.736842105263</v>
      </c>
      <c r="AQ599" s="295">
        <f>Tabla14[[#This Row],[Personas Precorte2]]</f>
        <v>19</v>
      </c>
      <c r="AR599" s="296">
        <f>Tabla14[[#This Row],[Valor Embarque Pesona3]]*Tabla14[[#This Row],[Perzona Primera]]</f>
        <v>226000</v>
      </c>
      <c r="AS599" s="287">
        <f>Tabla14[[#This Row],[Columna2]]</f>
        <v>0</v>
      </c>
      <c r="AT599" s="288">
        <f>Tabla14[[#This Row],[Columna1]]</f>
        <v>0</v>
      </c>
      <c r="AU599" s="302">
        <f>Tabla14[[#This Row],[Personas Intervienen]]</f>
        <v>0</v>
      </c>
      <c r="AV599" s="297">
        <f>Tabla14[[#This Row],[Valor Embarque Pesona5]]*Tabla14[[#This Row],[Presonas Segunda]]</f>
        <v>0</v>
      </c>
      <c r="AW599" s="287">
        <f>Tabla14[[#This Row],[Bolsas Por Personas]]</f>
        <v>0</v>
      </c>
      <c r="AX599" s="288">
        <f>Tabla14[[#This Row],[Valor bolsas Pesona]]</f>
        <v>0</v>
      </c>
      <c r="AY599" s="309">
        <f>Tabla14[[#This Row],[Personas13]]</f>
        <v>0</v>
      </c>
      <c r="AZ599" s="310">
        <f>Tabla14[[#This Row],[Valor bolsas Pesona2]]*Tabla14[[#This Row],[Personas Rechazo]]</f>
        <v>0</v>
      </c>
      <c r="BA599" s="311">
        <f>+Tabla14[[#This Row],[Total Valor Segunda]]+Tabla14[[#This Row],[Total Valor Primera]]+Tabla14[[#This Row],[Total Valor Precorte]]</f>
        <v>226000</v>
      </c>
      <c r="BB599" s="292">
        <f>Tabla14[[#This Row],[Valor bolsas Pesona2]]+Tabla14[[#This Row],[Valor Embarque Pesona3]]</f>
        <v>11894.736842105263</v>
      </c>
      <c r="BD599" s="292">
        <f>Tabla14[[#This Row],[VALOR GANADO]]-Tabla14[[#This Row],[REAJUSTADO]]</f>
        <v>11894.736842105263</v>
      </c>
      <c r="BE599" s="250">
        <f>Tabla14[[#This Row],[CUANTO SE REAJUSTA]]*Tabla14[[#This Row],[Personas Rechazo]]</f>
        <v>0</v>
      </c>
      <c r="BF599" s="250">
        <f>Tabla14[[#This Row],[REAJUSTADO]]/25000</f>
        <v>0</v>
      </c>
      <c r="BG599" s="302">
        <f>Tabla14[[#This Row],[REAJUSTADO]]*Tabla14[[#This Row],[Personas Rechazo]]</f>
        <v>0</v>
      </c>
      <c r="BH599" s="292" t="str">
        <f>Tabla14[[#This Row],[Finca]]</f>
        <v>Pedrito</v>
      </c>
      <c r="BJ599" s="332">
        <f>Tabla14[[#This Row],[Numero de Ocacionales]]*Tabla14[[#This Row],[REAJUSTADO]]</f>
        <v>0</v>
      </c>
      <c r="BK599" s="332"/>
      <c r="BL599" s="332"/>
      <c r="BM599" s="332">
        <f>+Tabla14[[#This Row],[CUANTO SE REAJUSTA]]*3</f>
        <v>35684.210526315786</v>
      </c>
    </row>
    <row r="600" spans="3:65" x14ac:dyDescent="0.25">
      <c r="C600" s="515">
        <v>45398</v>
      </c>
      <c r="D600" s="549">
        <f>YEAR(Tabla14[[#This Row],[Fecha]])</f>
        <v>2024</v>
      </c>
      <c r="E600" s="516">
        <f>IF(Tabla14[[#This Row],[Fecha]]&gt;0,_xlfn.ISOWEEKNUM(Tabla14[[#This Row],[Fecha]]),0)</f>
        <v>16</v>
      </c>
      <c r="F600" s="283">
        <v>30</v>
      </c>
      <c r="G600" s="275" t="s">
        <v>275</v>
      </c>
      <c r="H600" s="325" t="str">
        <f>_xlfn.XLOOKUP(Tabla14[[#This Row],[Codigo Finca]],Tabla4[Codigo Finca],Tabla4[Nombre Finca],"")</f>
        <v>Uveros</v>
      </c>
      <c r="I600" s="277">
        <f>_xlfn.XLOOKUP(Tabla14[[#This Row],[Codigo Finca]],Tabla4[Codigo Finca],Tabla4[Precio Caja],0)</f>
        <v>2000</v>
      </c>
      <c r="J600" s="277">
        <f>_xlfn.XLOOKUP(Tabla14[[#This Row],[Codigo Finca]],Tabla4[Codigo Finca],Tabla4[Precio Caja Segunda],0)</f>
        <v>0</v>
      </c>
      <c r="K600" s="277">
        <f>_xlfn.XLOOKUP(Tabla14[[#This Row],[Codigo Finca]],Tabla4[Codigo Finca],Tabla4[Precio Rechazo],0)</f>
        <v>575</v>
      </c>
      <c r="L600" s="277">
        <f t="shared" si="581"/>
        <v>0</v>
      </c>
      <c r="M600" s="278">
        <f t="shared" si="582"/>
        <v>0</v>
      </c>
      <c r="N600" s="283"/>
      <c r="O600" s="279"/>
      <c r="P600" s="280">
        <f t="shared" si="583"/>
        <v>0</v>
      </c>
      <c r="Q600" s="281">
        <f t="shared" si="584"/>
        <v>0</v>
      </c>
      <c r="R600" s="282">
        <f t="shared" si="585"/>
        <v>0</v>
      </c>
      <c r="S600" s="283"/>
      <c r="T600" s="275"/>
      <c r="U600" s="280">
        <f t="shared" si="586"/>
        <v>30</v>
      </c>
      <c r="V600" s="281">
        <f t="shared" si="587"/>
        <v>0</v>
      </c>
      <c r="W600" s="282">
        <f t="shared" si="588"/>
        <v>0</v>
      </c>
      <c r="X600" s="283"/>
      <c r="Y600" s="275"/>
      <c r="Z600" s="280">
        <f>Tabla14[[#This Row],[Cajas Segunda]]</f>
        <v>0</v>
      </c>
      <c r="AA600" s="281">
        <f t="shared" si="589"/>
        <v>0</v>
      </c>
      <c r="AB600" s="284">
        <f t="shared" si="590"/>
        <v>0</v>
      </c>
      <c r="AC600" s="285"/>
      <c r="AD600" s="286"/>
      <c r="AE600" s="286"/>
      <c r="AF600" s="286"/>
      <c r="AG600" s="286"/>
      <c r="AH600" s="280">
        <f t="shared" si="591"/>
        <v>0</v>
      </c>
      <c r="AI600" s="281">
        <f t="shared" si="592"/>
        <v>0</v>
      </c>
      <c r="AJ600" s="282">
        <f t="shared" si="593"/>
        <v>0</v>
      </c>
      <c r="AK600" s="287">
        <f>Tabla14[[#This Row],[Cajas por Personas]]</f>
        <v>0</v>
      </c>
      <c r="AL600" s="288">
        <f>Tabla14[[#This Row],[Valor Precorte Pesona]]</f>
        <v>0</v>
      </c>
      <c r="AM600" s="294">
        <f>Tabla14[[#This Row],[Personas Precorte]]</f>
        <v>0</v>
      </c>
      <c r="AN600" s="308">
        <f>Tabla14[[#This Row],[Valor Precorte Pesona Precorte]]*Tabla14[[#This Row],[Perzonas Precorte]]</f>
        <v>0</v>
      </c>
      <c r="AO600" s="287">
        <f>Tabla14[[#This Row],[Cajas por Personas2]]</f>
        <v>0</v>
      </c>
      <c r="AP600" s="288">
        <f>Tabla14[[#This Row],[Valor Embarque Pesona]]</f>
        <v>0</v>
      </c>
      <c r="AQ600" s="295">
        <f>Tabla14[[#This Row],[Personas Precorte2]]</f>
        <v>0</v>
      </c>
      <c r="AR600" s="296">
        <f>Tabla14[[#This Row],[Valor Embarque Pesona3]]*Tabla14[[#This Row],[Perzona Primera]]</f>
        <v>0</v>
      </c>
      <c r="AS600" s="287">
        <f>Tabla14[[#This Row],[Columna2]]</f>
        <v>0</v>
      </c>
      <c r="AT600" s="288">
        <f>Tabla14[[#This Row],[Columna1]]</f>
        <v>0</v>
      </c>
      <c r="AU600" s="302">
        <f>Tabla14[[#This Row],[Personas Intervienen]]</f>
        <v>0</v>
      </c>
      <c r="AV600" s="297">
        <f>Tabla14[[#This Row],[Valor Embarque Pesona5]]*Tabla14[[#This Row],[Presonas Segunda]]</f>
        <v>0</v>
      </c>
      <c r="AW600" s="287">
        <f>Tabla14[[#This Row],[Bolsas Por Personas]]</f>
        <v>0</v>
      </c>
      <c r="AX600" s="288">
        <f>Tabla14[[#This Row],[Valor bolsas Pesona]]</f>
        <v>0</v>
      </c>
      <c r="AY600" s="309">
        <f>Tabla14[[#This Row],[Personas13]]</f>
        <v>0</v>
      </c>
      <c r="AZ600" s="310">
        <f>Tabla14[[#This Row],[Valor bolsas Pesona2]]*Tabla14[[#This Row],[Personas Rechazo]]</f>
        <v>0</v>
      </c>
      <c r="BA600" s="311">
        <f>+Tabla14[[#This Row],[Total Valor Segunda]]+Tabla14[[#This Row],[Total Valor Primera]]+Tabla14[[#This Row],[Total Valor Precorte]]</f>
        <v>0</v>
      </c>
      <c r="BB600" s="292">
        <f>Tabla14[[#This Row],[Valor bolsas Pesona2]]+Tabla14[[#This Row],[Valor Embarque Pesona3]]</f>
        <v>0</v>
      </c>
      <c r="BD600" s="292">
        <f>Tabla14[[#This Row],[VALOR GANADO]]-Tabla14[[#This Row],[REAJUSTADO]]</f>
        <v>0</v>
      </c>
      <c r="BE600" s="250">
        <f>Tabla14[[#This Row],[CUANTO SE REAJUSTA]]*Tabla14[[#This Row],[Personas Rechazo]]</f>
        <v>0</v>
      </c>
      <c r="BF600" s="250">
        <f>Tabla14[[#This Row],[REAJUSTADO]]/25000</f>
        <v>0</v>
      </c>
      <c r="BG600" s="302">
        <f>Tabla14[[#This Row],[REAJUSTADO]]*Tabla14[[#This Row],[Personas Rechazo]]</f>
        <v>0</v>
      </c>
      <c r="BH600" s="292" t="str">
        <f>Tabla14[[#This Row],[Finca]]</f>
        <v>Uveros</v>
      </c>
      <c r="BJ600" s="332">
        <f>Tabla14[[#This Row],[Numero de Ocacionales]]*Tabla14[[#This Row],[REAJUSTADO]]</f>
        <v>0</v>
      </c>
      <c r="BK600" s="332"/>
      <c r="BL600" s="332"/>
      <c r="BM600" s="332">
        <f>+Tabla14[[#This Row],[CUANTO SE REAJUSTA]]*3</f>
        <v>0</v>
      </c>
    </row>
    <row r="601" spans="3:65" x14ac:dyDescent="0.25">
      <c r="C601" s="515">
        <v>45398</v>
      </c>
      <c r="D601" s="549">
        <f>YEAR(Tabla14[[#This Row],[Fecha]])</f>
        <v>2024</v>
      </c>
      <c r="E601" s="516">
        <f>IF(Tabla14[[#This Row],[Fecha]]&gt;0,_xlfn.ISOWEEKNUM(Tabla14[[#This Row],[Fecha]]),0)</f>
        <v>16</v>
      </c>
      <c r="F601" s="283"/>
      <c r="G601" s="275"/>
      <c r="H601" s="325">
        <f>_xlfn.XLOOKUP(Tabla14[[#This Row],[Codigo Finca]],Tabla4[Codigo Finca],Tabla4[Nombre Finca],"")</f>
        <v>0</v>
      </c>
      <c r="I601" s="277">
        <f>_xlfn.XLOOKUP(Tabla14[[#This Row],[Codigo Finca]],Tabla4[Codigo Finca],Tabla4[Precio Caja],0)</f>
        <v>0</v>
      </c>
      <c r="J601" s="277">
        <f>_xlfn.XLOOKUP(Tabla14[[#This Row],[Codigo Finca]],Tabla4[Codigo Finca],Tabla4[Precio Caja Segunda],0)</f>
        <v>0</v>
      </c>
      <c r="K601" s="277">
        <f>_xlfn.XLOOKUP(Tabla14[[#This Row],[Codigo Finca]],Tabla4[Codigo Finca],Tabla4[Precio Rechazo],0)</f>
        <v>0</v>
      </c>
      <c r="L601" s="277">
        <f t="shared" si="581"/>
        <v>0</v>
      </c>
      <c r="M601" s="278">
        <f t="shared" si="582"/>
        <v>0</v>
      </c>
      <c r="N601" s="283"/>
      <c r="O601" s="279"/>
      <c r="P601" s="280">
        <f t="shared" si="583"/>
        <v>0</v>
      </c>
      <c r="Q601" s="281">
        <f t="shared" si="584"/>
        <v>0</v>
      </c>
      <c r="R601" s="282">
        <f t="shared" si="585"/>
        <v>0</v>
      </c>
      <c r="S601" s="283"/>
      <c r="T601" s="275"/>
      <c r="U601" s="280">
        <f t="shared" si="586"/>
        <v>0</v>
      </c>
      <c r="V601" s="281">
        <f t="shared" si="587"/>
        <v>0</v>
      </c>
      <c r="W601" s="282">
        <f t="shared" si="588"/>
        <v>0</v>
      </c>
      <c r="X601" s="283"/>
      <c r="Y601" s="275"/>
      <c r="Z601" s="280">
        <f>Tabla14[[#This Row],[Cajas Segunda]]</f>
        <v>0</v>
      </c>
      <c r="AA601" s="281">
        <f t="shared" si="589"/>
        <v>0</v>
      </c>
      <c r="AB601" s="284">
        <f t="shared" si="590"/>
        <v>0</v>
      </c>
      <c r="AC601" s="285"/>
      <c r="AD601" s="286"/>
      <c r="AE601" s="286"/>
      <c r="AF601" s="286"/>
      <c r="AG601" s="286"/>
      <c r="AH601" s="280">
        <f t="shared" si="591"/>
        <v>0</v>
      </c>
      <c r="AI601" s="281">
        <f t="shared" si="592"/>
        <v>0</v>
      </c>
      <c r="AJ601" s="282">
        <f t="shared" si="593"/>
        <v>0</v>
      </c>
      <c r="AK601" s="287">
        <f>Tabla14[[#This Row],[Cajas por Personas]]</f>
        <v>0</v>
      </c>
      <c r="AL601" s="288">
        <f>Tabla14[[#This Row],[Valor Precorte Pesona]]</f>
        <v>0</v>
      </c>
      <c r="AM601" s="294">
        <f>Tabla14[[#This Row],[Personas Precorte]]</f>
        <v>0</v>
      </c>
      <c r="AN601" s="308">
        <f>Tabla14[[#This Row],[Valor Precorte Pesona Precorte]]*Tabla14[[#This Row],[Perzonas Precorte]]</f>
        <v>0</v>
      </c>
      <c r="AO601" s="287">
        <f>Tabla14[[#This Row],[Cajas por Personas2]]</f>
        <v>0</v>
      </c>
      <c r="AP601" s="288">
        <f>Tabla14[[#This Row],[Valor Embarque Pesona]]</f>
        <v>0</v>
      </c>
      <c r="AQ601" s="295">
        <f>Tabla14[[#This Row],[Personas Precorte2]]</f>
        <v>0</v>
      </c>
      <c r="AR601" s="296">
        <f>Tabla14[[#This Row],[Valor Embarque Pesona3]]*Tabla14[[#This Row],[Perzona Primera]]</f>
        <v>0</v>
      </c>
      <c r="AS601" s="287">
        <f>Tabla14[[#This Row],[Columna2]]</f>
        <v>0</v>
      </c>
      <c r="AT601" s="288">
        <f>Tabla14[[#This Row],[Columna1]]</f>
        <v>0</v>
      </c>
      <c r="AU601" s="302">
        <f>Tabla14[[#This Row],[Personas Intervienen]]</f>
        <v>0</v>
      </c>
      <c r="AV601" s="297">
        <f>Tabla14[[#This Row],[Valor Embarque Pesona5]]*Tabla14[[#This Row],[Presonas Segunda]]</f>
        <v>0</v>
      </c>
      <c r="AW601" s="287">
        <f>Tabla14[[#This Row],[Bolsas Por Personas]]</f>
        <v>0</v>
      </c>
      <c r="AX601" s="288">
        <f>Tabla14[[#This Row],[Valor bolsas Pesona]]</f>
        <v>0</v>
      </c>
      <c r="AY601" s="309">
        <f>Tabla14[[#This Row],[Personas13]]</f>
        <v>0</v>
      </c>
      <c r="AZ601" s="310">
        <f>Tabla14[[#This Row],[Valor bolsas Pesona2]]*Tabla14[[#This Row],[Personas Rechazo]]</f>
        <v>0</v>
      </c>
      <c r="BA601" s="311">
        <f>+Tabla14[[#This Row],[Total Valor Segunda]]+Tabla14[[#This Row],[Total Valor Primera]]+Tabla14[[#This Row],[Total Valor Precorte]]</f>
        <v>0</v>
      </c>
      <c r="BB601" s="292">
        <f>Tabla14[[#This Row],[Valor bolsas Pesona2]]+Tabla14[[#This Row],[Valor Embarque Pesona3]]</f>
        <v>0</v>
      </c>
      <c r="BD601" s="292">
        <f>Tabla14[[#This Row],[VALOR GANADO]]-Tabla14[[#This Row],[REAJUSTADO]]</f>
        <v>0</v>
      </c>
      <c r="BE601" s="250">
        <f>Tabla14[[#This Row],[CUANTO SE REAJUSTA]]*Tabla14[[#This Row],[Personas Rechazo]]</f>
        <v>0</v>
      </c>
      <c r="BF601" s="250">
        <f>Tabla14[[#This Row],[REAJUSTADO]]/25000</f>
        <v>0</v>
      </c>
      <c r="BG601" s="302">
        <f>Tabla14[[#This Row],[REAJUSTADO]]*Tabla14[[#This Row],[Personas Rechazo]]</f>
        <v>0</v>
      </c>
      <c r="BH601" s="292">
        <f>Tabla14[[#This Row],[Finca]]</f>
        <v>0</v>
      </c>
      <c r="BJ601" s="332">
        <f>Tabla14[[#This Row],[Numero de Ocacionales]]*Tabla14[[#This Row],[REAJUSTADO]]</f>
        <v>0</v>
      </c>
      <c r="BK601" s="332"/>
      <c r="BL601" s="332"/>
      <c r="BM601" s="332">
        <f>+Tabla14[[#This Row],[CUANTO SE REAJUSTA]]*3</f>
        <v>0</v>
      </c>
    </row>
    <row r="602" spans="3:65" x14ac:dyDescent="0.25">
      <c r="C602" s="517">
        <v>45404</v>
      </c>
      <c r="D602" s="549">
        <f>YEAR(Tabla14[[#This Row],[Fecha]])</f>
        <v>2024</v>
      </c>
      <c r="E602" s="518">
        <f>IF(Tabla14[[#This Row],[Fecha]]&gt;0,_xlfn.ISOWEEKNUM(Tabla14[[#This Row],[Fecha]]),0)</f>
        <v>17</v>
      </c>
      <c r="F602" s="269">
        <v>89</v>
      </c>
      <c r="G602" s="268" t="s">
        <v>274</v>
      </c>
      <c r="H602" s="266" t="str">
        <f>_xlfn.XLOOKUP(Tabla14[[#This Row],[Codigo Finca]],Tabla4[Codigo Finca],Tabla4[Nombre Finca],"")</f>
        <v>San Pedro</v>
      </c>
      <c r="I602" s="262">
        <f>_xlfn.XLOOKUP(Tabla14[[#This Row],[Codigo Finca]],Tabla4[Codigo Finca],Tabla4[Precio Caja],0)</f>
        <v>2000</v>
      </c>
      <c r="J602" s="262">
        <f>_xlfn.XLOOKUP(Tabla14[[#This Row],[Codigo Finca]],Tabla4[Codigo Finca],Tabla4[Precio Caja Segunda],0)</f>
        <v>0</v>
      </c>
      <c r="K602" s="262">
        <f>_xlfn.XLOOKUP(Tabla14[[#This Row],[Codigo Finca]],Tabla4[Codigo Finca],Tabla4[Precio Rechazo],0)</f>
        <v>575</v>
      </c>
      <c r="L602" s="262">
        <v>830</v>
      </c>
      <c r="M602" s="272">
        <f>IF(F602&gt;0,L602/F602,0)</f>
        <v>9.3258426966292127</v>
      </c>
      <c r="N602" s="269"/>
      <c r="O602" s="270"/>
      <c r="P602" s="280">
        <f>IF(N602&gt;0,(N602/M602)/2,0)</f>
        <v>0</v>
      </c>
      <c r="Q602" s="263">
        <f>IF(O602&gt;0,P602/O602,0)</f>
        <v>0</v>
      </c>
      <c r="R602" s="322">
        <f>IF(I602&gt;0,Q602*I602,)</f>
        <v>0</v>
      </c>
      <c r="S602" s="269">
        <v>830</v>
      </c>
      <c r="T602" s="268">
        <v>20</v>
      </c>
      <c r="U602" s="251">
        <f>F602-P602</f>
        <v>89</v>
      </c>
      <c r="V602" s="263">
        <f>IF(T602&gt;0,U602/T602,0)</f>
        <v>4.45</v>
      </c>
      <c r="W602" s="322">
        <f>IF(T602&gt;0,(U602*I602)/T602,0)</f>
        <v>8900</v>
      </c>
      <c r="X602" s="269"/>
      <c r="Y602" s="268"/>
      <c r="Z602" s="251">
        <f>Tabla14[[#This Row],[Cajas Segunda]]</f>
        <v>0</v>
      </c>
      <c r="AA602" s="263">
        <f>IF(Y602&gt;0,Z602/Y602,0)</f>
        <v>0</v>
      </c>
      <c r="AB602" s="265">
        <f>IF(Y602&gt;0,(Z602*J602)/Y602,0)</f>
        <v>0</v>
      </c>
      <c r="AC602" s="273"/>
      <c r="AD602" s="271"/>
      <c r="AE602" s="271"/>
      <c r="AF602" s="271"/>
      <c r="AG602" s="271"/>
      <c r="AH602" s="251">
        <f>IF(AND(AC602&gt;0,AE602=0,AF602=0,AD602=0),AC602,IF(AND(AC602=0,AE602&gt;0,AF602&gt;0,AD602=0),AE602*AF602/25,IF(AND(AC602=0,AE602=0,AF602=0,AD602&gt;0),AD602/25,0)))</f>
        <v>0</v>
      </c>
      <c r="AI602" s="263">
        <f>IF(AG602&gt;0,AH602/AG602,0)</f>
        <v>0</v>
      </c>
      <c r="AJ602" s="322">
        <f>AI602*K602</f>
        <v>0</v>
      </c>
      <c r="AK602" s="264">
        <f>Tabla14[[#This Row],[Cajas por Personas]]</f>
        <v>0</v>
      </c>
      <c r="AL602" s="267">
        <f>Tabla14[[#This Row],[Valor Precorte Pesona]]</f>
        <v>0</v>
      </c>
      <c r="AM602" s="294">
        <f>Tabla14[[#This Row],[Personas Precorte]]</f>
        <v>0</v>
      </c>
      <c r="AN602" s="308">
        <f>Tabla14[[#This Row],[Valor Precorte Pesona Precorte]]*Tabla14[[#This Row],[Perzonas Precorte]]</f>
        <v>0</v>
      </c>
      <c r="AO602" s="264">
        <f>Tabla14[[#This Row],[Cajas por Personas2]]</f>
        <v>4.45</v>
      </c>
      <c r="AP602" s="267">
        <f>Tabla14[[#This Row],[Valor Embarque Pesona]]</f>
        <v>8900</v>
      </c>
      <c r="AQ602" s="295">
        <f>Tabla14[[#This Row],[Personas Precorte2]]</f>
        <v>20</v>
      </c>
      <c r="AR602" s="296">
        <f>Tabla14[[#This Row],[Valor Embarque Pesona3]]*Tabla14[[#This Row],[Perzona Primera]]</f>
        <v>178000</v>
      </c>
      <c r="AS602" s="264">
        <f>Tabla14[[#This Row],[Columna2]]</f>
        <v>0</v>
      </c>
      <c r="AT602" s="267">
        <f>Tabla14[[#This Row],[Columna1]]</f>
        <v>0</v>
      </c>
      <c r="AU602" s="302">
        <f>Tabla14[[#This Row],[Personas Intervienen]]</f>
        <v>0</v>
      </c>
      <c r="AV602" s="297">
        <f>Tabla14[[#This Row],[Valor Embarque Pesona5]]*Tabla14[[#This Row],[Presonas Segunda]]</f>
        <v>0</v>
      </c>
      <c r="AW602" s="264">
        <f>Tabla14[[#This Row],[Bolsas Por Personas]]</f>
        <v>0</v>
      </c>
      <c r="AX602" s="267">
        <f>Tabla14[[#This Row],[Valor bolsas Pesona]]</f>
        <v>0</v>
      </c>
      <c r="AY602" s="290">
        <f>Tabla14[[#This Row],[Personas13]]</f>
        <v>0</v>
      </c>
      <c r="AZ602" s="323">
        <f>Tabla14[[#This Row],[Valor bolsas Pesona2]]*Tabla14[[#This Row],[Personas Rechazo]]</f>
        <v>0</v>
      </c>
      <c r="BA602" s="324">
        <f>+Tabla14[[#This Row],[Total Valor Segunda]]+Tabla14[[#This Row],[Total Valor Primera]]+Tabla14[[#This Row],[Total Valor Precorte]]</f>
        <v>178000</v>
      </c>
      <c r="BB602" s="292">
        <f>Tabla14[[#This Row],[Valor bolsas Pesona2]]+Tabla14[[#This Row],[Valor Embarque Pesona3]]</f>
        <v>8900</v>
      </c>
      <c r="BD602" s="292">
        <f>Tabla14[[#This Row],[VALOR GANADO]]-Tabla14[[#This Row],[REAJUSTADO]]</f>
        <v>8900</v>
      </c>
      <c r="BE602" s="250">
        <f>Tabla14[[#This Row],[CUANTO SE REAJUSTA]]*Tabla14[[#This Row],[Personas Rechazo]]</f>
        <v>0</v>
      </c>
      <c r="BF602" s="250">
        <f>Tabla14[[#This Row],[REAJUSTADO]]/25000</f>
        <v>0</v>
      </c>
      <c r="BG602" s="302">
        <f>Tabla14[[#This Row],[REAJUSTADO]]*Tabla14[[#This Row],[Personas Rechazo]]</f>
        <v>0</v>
      </c>
      <c r="BH602" s="292" t="str">
        <f>Tabla14[[#This Row],[Finca]]</f>
        <v>San Pedro</v>
      </c>
      <c r="BJ602" s="330">
        <f>Tabla14[[#This Row],[Numero de Ocacionales]]*Tabla14[[#This Row],[REAJUSTADO]]</f>
        <v>0</v>
      </c>
      <c r="BM602" s="330">
        <f>+Tabla14[[#This Row],[CUANTO SE REAJUSTA]]*3</f>
        <v>26700</v>
      </c>
    </row>
    <row r="603" spans="3:65" x14ac:dyDescent="0.25">
      <c r="C603" s="515">
        <v>45405</v>
      </c>
      <c r="D603" s="549">
        <f>YEAR(Tabla14[[#This Row],[Fecha]])</f>
        <v>2024</v>
      </c>
      <c r="E603" s="516">
        <f>IF(Tabla14[[#This Row],[Fecha]]&gt;0,_xlfn.ISOWEEKNUM(Tabla14[[#This Row],[Fecha]]),0)</f>
        <v>17</v>
      </c>
      <c r="F603" s="283">
        <v>77</v>
      </c>
      <c r="G603" s="275" t="s">
        <v>272</v>
      </c>
      <c r="H603" s="325" t="str">
        <f>_xlfn.XLOOKUP(Tabla14[[#This Row],[Codigo Finca]],Tabla4[Codigo Finca],Tabla4[Nombre Finca],"")</f>
        <v>Pedrito</v>
      </c>
      <c r="I603" s="277">
        <f>_xlfn.XLOOKUP(Tabla14[[#This Row],[Codigo Finca]],Tabla4[Codigo Finca],Tabla4[Precio Caja],0)</f>
        <v>2000</v>
      </c>
      <c r="J603" s="277">
        <f>_xlfn.XLOOKUP(Tabla14[[#This Row],[Codigo Finca]],Tabla4[Codigo Finca],Tabla4[Precio Caja Segunda],0)</f>
        <v>0</v>
      </c>
      <c r="K603" s="277">
        <f>_xlfn.XLOOKUP(Tabla14[[#This Row],[Codigo Finca]],Tabla4[Codigo Finca],Tabla4[Precio Rechazo],0)</f>
        <v>575</v>
      </c>
      <c r="L603" s="277">
        <v>823</v>
      </c>
      <c r="M603" s="278">
        <f>IF(F603&gt;0,L603/F603,0)</f>
        <v>10.688311688311689</v>
      </c>
      <c r="N603" s="283"/>
      <c r="O603" s="279"/>
      <c r="P603" s="280">
        <f>IF(N603&gt;0,(N603/M603)/2,0)</f>
        <v>0</v>
      </c>
      <c r="Q603" s="281">
        <f>IF(O603&gt;0,P603/O603,0)</f>
        <v>0</v>
      </c>
      <c r="R603" s="282">
        <f>IF(I603&gt;0,Q603*I603,)</f>
        <v>0</v>
      </c>
      <c r="S603" s="283">
        <v>830</v>
      </c>
      <c r="T603" s="275">
        <v>18</v>
      </c>
      <c r="U603" s="280">
        <f>F603-P603</f>
        <v>77</v>
      </c>
      <c r="V603" s="281">
        <f>IF(T603&gt;0,U603/T603,0)</f>
        <v>4.2777777777777777</v>
      </c>
      <c r="W603" s="282">
        <f>IF(T603&gt;0,(U603*I603)/T603,0)</f>
        <v>8555.5555555555547</v>
      </c>
      <c r="X603" s="283"/>
      <c r="Y603" s="275"/>
      <c r="Z603" s="280">
        <f>Tabla14[[#This Row],[Cajas Segunda]]</f>
        <v>0</v>
      </c>
      <c r="AA603" s="281">
        <f>IF(Y603&gt;0,Z603/Y603,0)</f>
        <v>0</v>
      </c>
      <c r="AB603" s="284">
        <f>IF(Y603&gt;0,(Z603*J603)/Y603,0)</f>
        <v>0</v>
      </c>
      <c r="AC603" s="285"/>
      <c r="AD603" s="286"/>
      <c r="AE603" s="286"/>
      <c r="AF603" s="286"/>
      <c r="AG603" s="286"/>
      <c r="AH603" s="280">
        <f>IF(AND(AC603&gt;0,AE603=0,AF603=0,AD603=0),AC603,IF(AND(AC603=0,AE603&gt;0,AF603&gt;0,AD603=0),AE603*AF603/25,IF(AND(AC603=0,AE603=0,AF603=0,AD603&gt;0),AD603/25,0)))</f>
        <v>0</v>
      </c>
      <c r="AI603" s="281">
        <f>IF(AG603&gt;0,AH603/AG603,0)</f>
        <v>0</v>
      </c>
      <c r="AJ603" s="282">
        <f>AI603*K603</f>
        <v>0</v>
      </c>
      <c r="AK603" s="287">
        <f>Tabla14[[#This Row],[Cajas por Personas]]</f>
        <v>0</v>
      </c>
      <c r="AL603" s="288">
        <f>Tabla14[[#This Row],[Valor Precorte Pesona]]</f>
        <v>0</v>
      </c>
      <c r="AM603" s="294">
        <f>Tabla14[[#This Row],[Personas Precorte]]</f>
        <v>0</v>
      </c>
      <c r="AN603" s="308">
        <f>Tabla14[[#This Row],[Valor Precorte Pesona Precorte]]*Tabla14[[#This Row],[Perzonas Precorte]]</f>
        <v>0</v>
      </c>
      <c r="AO603" s="287">
        <f>Tabla14[[#This Row],[Cajas por Personas2]]</f>
        <v>4.2777777777777777</v>
      </c>
      <c r="AP603" s="288">
        <f>Tabla14[[#This Row],[Valor Embarque Pesona]]</f>
        <v>8555.5555555555547</v>
      </c>
      <c r="AQ603" s="295">
        <f>Tabla14[[#This Row],[Personas Precorte2]]</f>
        <v>18</v>
      </c>
      <c r="AR603" s="296">
        <f>Tabla14[[#This Row],[Valor Embarque Pesona3]]*Tabla14[[#This Row],[Perzona Primera]]</f>
        <v>154000</v>
      </c>
      <c r="AS603" s="287">
        <f>Tabla14[[#This Row],[Columna2]]</f>
        <v>0</v>
      </c>
      <c r="AT603" s="288">
        <f>Tabla14[[#This Row],[Columna1]]</f>
        <v>0</v>
      </c>
      <c r="AU603" s="302">
        <f>Tabla14[[#This Row],[Personas Intervienen]]</f>
        <v>0</v>
      </c>
      <c r="AV603" s="297">
        <f>Tabla14[[#This Row],[Valor Embarque Pesona5]]*Tabla14[[#This Row],[Presonas Segunda]]</f>
        <v>0</v>
      </c>
      <c r="AW603" s="287">
        <f>Tabla14[[#This Row],[Bolsas Por Personas]]</f>
        <v>0</v>
      </c>
      <c r="AX603" s="288">
        <f>Tabla14[[#This Row],[Valor bolsas Pesona]]</f>
        <v>0</v>
      </c>
      <c r="AY603" s="309">
        <f>Tabla14[[#This Row],[Personas13]]</f>
        <v>0</v>
      </c>
      <c r="AZ603" s="310">
        <f>Tabla14[[#This Row],[Valor bolsas Pesona2]]*Tabla14[[#This Row],[Personas Rechazo]]</f>
        <v>0</v>
      </c>
      <c r="BA603" s="311">
        <f>+Tabla14[[#This Row],[Total Valor Segunda]]+Tabla14[[#This Row],[Total Valor Primera]]+Tabla14[[#This Row],[Total Valor Precorte]]</f>
        <v>154000</v>
      </c>
      <c r="BB603" s="292">
        <f>Tabla14[[#This Row],[Valor bolsas Pesona2]]+Tabla14[[#This Row],[Valor Embarque Pesona3]]</f>
        <v>8555.5555555555547</v>
      </c>
      <c r="BD603" s="292">
        <f>Tabla14[[#This Row],[VALOR GANADO]]-Tabla14[[#This Row],[REAJUSTADO]]</f>
        <v>8555.5555555555547</v>
      </c>
      <c r="BE603" s="250">
        <f>Tabla14[[#This Row],[CUANTO SE REAJUSTA]]*Tabla14[[#This Row],[Personas Rechazo]]</f>
        <v>0</v>
      </c>
      <c r="BF603" s="250">
        <f>Tabla14[[#This Row],[REAJUSTADO]]/25000</f>
        <v>0</v>
      </c>
      <c r="BG603" s="302">
        <f>Tabla14[[#This Row],[REAJUSTADO]]*Tabla14[[#This Row],[Personas Rechazo]]</f>
        <v>0</v>
      </c>
      <c r="BH603" s="292" t="str">
        <f>Tabla14[[#This Row],[Finca]]</f>
        <v>Pedrito</v>
      </c>
      <c r="BJ603" s="332">
        <f>Tabla14[[#This Row],[Numero de Ocacionales]]*Tabla14[[#This Row],[REAJUSTADO]]</f>
        <v>0</v>
      </c>
      <c r="BK603" s="332"/>
      <c r="BL603" s="332"/>
      <c r="BM603" s="332">
        <f>+Tabla14[[#This Row],[CUANTO SE REAJUSTA]]*3</f>
        <v>25666.666666666664</v>
      </c>
    </row>
    <row r="604" spans="3:65" x14ac:dyDescent="0.25">
      <c r="C604" s="515">
        <v>45405</v>
      </c>
      <c r="D604" s="549">
        <f>YEAR(Tabla14[[#This Row],[Fecha]])</f>
        <v>2024</v>
      </c>
      <c r="E604" s="516">
        <f>IF(Tabla14[[#This Row],[Fecha]]&gt;0,_xlfn.ISOWEEKNUM(Tabla14[[#This Row],[Fecha]]),0)</f>
        <v>17</v>
      </c>
      <c r="F604" s="283">
        <v>7</v>
      </c>
      <c r="G604" s="275" t="s">
        <v>282</v>
      </c>
      <c r="H604" s="325" t="str">
        <f>_xlfn.XLOOKUP(Tabla14[[#This Row],[Codigo Finca]],Tabla4[Codigo Finca],Tabla4[Nombre Finca],"")</f>
        <v>Damaquiel</v>
      </c>
      <c r="I604" s="277">
        <f>_xlfn.XLOOKUP(Tabla14[[#This Row],[Codigo Finca]],Tabla4[Codigo Finca],Tabla4[Precio Caja],0)</f>
        <v>2000</v>
      </c>
      <c r="J604" s="277">
        <f>_xlfn.XLOOKUP(Tabla14[[#This Row],[Codigo Finca]],Tabla4[Codigo Finca],Tabla4[Precio Caja Segunda],0)</f>
        <v>0</v>
      </c>
      <c r="K604" s="277">
        <f>_xlfn.XLOOKUP(Tabla14[[#This Row],[Codigo Finca]],Tabla4[Codigo Finca],Tabla4[Precio Rechazo],0)</f>
        <v>575</v>
      </c>
      <c r="L604" s="277">
        <v>72</v>
      </c>
      <c r="M604" s="278">
        <f>IF(F604&gt;0,L604/F604,0)</f>
        <v>10.285714285714286</v>
      </c>
      <c r="N604" s="283"/>
      <c r="O604" s="279"/>
      <c r="P604" s="280">
        <f>IF(N604&gt;0,(N604/M604)/2,0)</f>
        <v>0</v>
      </c>
      <c r="Q604" s="281">
        <f>IF(O604&gt;0,P604/O604,0)</f>
        <v>0</v>
      </c>
      <c r="R604" s="282">
        <f>IF(I604&gt;0,Q604*I604,)</f>
        <v>0</v>
      </c>
      <c r="S604" s="283">
        <v>72</v>
      </c>
      <c r="T604" s="275">
        <v>4</v>
      </c>
      <c r="U604" s="280">
        <f>F604-P604</f>
        <v>7</v>
      </c>
      <c r="V604" s="281">
        <f>IF(T604&gt;0,U604/T604,0)</f>
        <v>1.75</v>
      </c>
      <c r="W604" s="282">
        <f>IF(T604&gt;0,(U604*I604)/T604,0)</f>
        <v>3500</v>
      </c>
      <c r="X604" s="283"/>
      <c r="Y604" s="275"/>
      <c r="Z604" s="280">
        <f>Tabla14[[#This Row],[Cajas Segunda]]</f>
        <v>0</v>
      </c>
      <c r="AA604" s="281">
        <f>IF(Y604&gt;0,Z604/Y604,0)</f>
        <v>0</v>
      </c>
      <c r="AB604" s="284">
        <f>IF(Y604&gt;0,(Z604*J604)/Y604,0)</f>
        <v>0</v>
      </c>
      <c r="AC604" s="285"/>
      <c r="AD604" s="286"/>
      <c r="AE604" s="286"/>
      <c r="AF604" s="286"/>
      <c r="AG604" s="286"/>
      <c r="AH604" s="280">
        <f>IF(AND(AC604&gt;0,AE604=0,AF604=0,AD604=0),AC604,IF(AND(AC604=0,AE604&gt;0,AF604&gt;0,AD604=0),AE604*AF604/25,IF(AND(AC604=0,AE604=0,AF604=0,AD604&gt;0),AD604/25,0)))</f>
        <v>0</v>
      </c>
      <c r="AI604" s="281">
        <f>IF(AG604&gt;0,AH604/AG604,0)</f>
        <v>0</v>
      </c>
      <c r="AJ604" s="282">
        <f>AI604*K604</f>
        <v>0</v>
      </c>
      <c r="AK604" s="287">
        <f>Tabla14[[#This Row],[Cajas por Personas]]</f>
        <v>0</v>
      </c>
      <c r="AL604" s="288">
        <f>Tabla14[[#This Row],[Valor Precorte Pesona]]</f>
        <v>0</v>
      </c>
      <c r="AM604" s="294">
        <f>Tabla14[[#This Row],[Personas Precorte]]</f>
        <v>0</v>
      </c>
      <c r="AN604" s="308">
        <f>Tabla14[[#This Row],[Valor Precorte Pesona Precorte]]*Tabla14[[#This Row],[Perzonas Precorte]]</f>
        <v>0</v>
      </c>
      <c r="AO604" s="287">
        <f>Tabla14[[#This Row],[Cajas por Personas2]]</f>
        <v>1.75</v>
      </c>
      <c r="AP604" s="288">
        <f>Tabla14[[#This Row],[Valor Embarque Pesona]]</f>
        <v>3500</v>
      </c>
      <c r="AQ604" s="295">
        <f>Tabla14[[#This Row],[Personas Precorte2]]</f>
        <v>4</v>
      </c>
      <c r="AR604" s="296">
        <f>Tabla14[[#This Row],[Valor Embarque Pesona3]]*Tabla14[[#This Row],[Perzona Primera]]</f>
        <v>14000</v>
      </c>
      <c r="AS604" s="287">
        <f>Tabla14[[#This Row],[Columna2]]</f>
        <v>0</v>
      </c>
      <c r="AT604" s="288">
        <f>Tabla14[[#This Row],[Columna1]]</f>
        <v>0</v>
      </c>
      <c r="AU604" s="302">
        <f>Tabla14[[#This Row],[Personas Intervienen]]</f>
        <v>0</v>
      </c>
      <c r="AV604" s="297">
        <f>Tabla14[[#This Row],[Valor Embarque Pesona5]]*Tabla14[[#This Row],[Presonas Segunda]]</f>
        <v>0</v>
      </c>
      <c r="AW604" s="287">
        <f>Tabla14[[#This Row],[Bolsas Por Personas]]</f>
        <v>0</v>
      </c>
      <c r="AX604" s="288">
        <f>Tabla14[[#This Row],[Valor bolsas Pesona]]</f>
        <v>0</v>
      </c>
      <c r="AY604" s="309">
        <f>Tabla14[[#This Row],[Personas13]]</f>
        <v>0</v>
      </c>
      <c r="AZ604" s="310">
        <f>Tabla14[[#This Row],[Valor bolsas Pesona2]]*Tabla14[[#This Row],[Personas Rechazo]]</f>
        <v>0</v>
      </c>
      <c r="BA604" s="311">
        <f>+Tabla14[[#This Row],[Total Valor Segunda]]+Tabla14[[#This Row],[Total Valor Primera]]+Tabla14[[#This Row],[Total Valor Precorte]]</f>
        <v>14000</v>
      </c>
      <c r="BB604" s="292">
        <f>Tabla14[[#This Row],[Valor bolsas Pesona2]]+Tabla14[[#This Row],[Valor Embarque Pesona3]]</f>
        <v>3500</v>
      </c>
      <c r="BD604" s="292">
        <f>Tabla14[[#This Row],[VALOR GANADO]]-Tabla14[[#This Row],[REAJUSTADO]]</f>
        <v>3500</v>
      </c>
      <c r="BE604" s="250">
        <f>Tabla14[[#This Row],[CUANTO SE REAJUSTA]]*Tabla14[[#This Row],[Personas Rechazo]]</f>
        <v>0</v>
      </c>
      <c r="BF604" s="250">
        <f>Tabla14[[#This Row],[REAJUSTADO]]/25000</f>
        <v>0</v>
      </c>
      <c r="BG604" s="302">
        <f>Tabla14[[#This Row],[REAJUSTADO]]*Tabla14[[#This Row],[Personas Rechazo]]</f>
        <v>0</v>
      </c>
      <c r="BH604" s="292" t="str">
        <f>Tabla14[[#This Row],[Finca]]</f>
        <v>Damaquiel</v>
      </c>
      <c r="BJ604" s="332">
        <f>Tabla14[[#This Row],[Numero de Ocacionales]]*Tabla14[[#This Row],[REAJUSTADO]]</f>
        <v>0</v>
      </c>
      <c r="BK604" s="332"/>
      <c r="BL604" s="332"/>
      <c r="BM604" s="332">
        <f>+Tabla14[[#This Row],[CUANTO SE REAJUSTA]]*3</f>
        <v>10500</v>
      </c>
    </row>
    <row r="605" spans="3:65" x14ac:dyDescent="0.25">
      <c r="C605" s="515">
        <v>45405</v>
      </c>
      <c r="D605" s="549">
        <f>YEAR(Tabla14[[#This Row],[Fecha]])</f>
        <v>2024</v>
      </c>
      <c r="E605" s="516">
        <f>IF(Tabla14[[#This Row],[Fecha]]&gt;0,_xlfn.ISOWEEKNUM(Tabla14[[#This Row],[Fecha]]),0)</f>
        <v>17</v>
      </c>
      <c r="F605" s="283">
        <v>17</v>
      </c>
      <c r="G605" s="275" t="s">
        <v>275</v>
      </c>
      <c r="H605" s="325" t="str">
        <f>_xlfn.XLOOKUP(Tabla14[[#This Row],[Codigo Finca]],Tabla4[Codigo Finca],Tabla4[Nombre Finca],"")</f>
        <v>Uveros</v>
      </c>
      <c r="I605" s="277">
        <f>_xlfn.XLOOKUP(Tabla14[[#This Row],[Codigo Finca]],Tabla4[Codigo Finca],Tabla4[Precio Caja],0)</f>
        <v>2000</v>
      </c>
      <c r="J605" s="277">
        <f>_xlfn.XLOOKUP(Tabla14[[#This Row],[Codigo Finca]],Tabla4[Codigo Finca],Tabla4[Precio Caja Segunda],0)</f>
        <v>0</v>
      </c>
      <c r="K605" s="277">
        <f>_xlfn.XLOOKUP(Tabla14[[#This Row],[Codigo Finca]],Tabla4[Codigo Finca],Tabla4[Precio Rechazo],0)</f>
        <v>575</v>
      </c>
      <c r="L605" s="277">
        <v>130</v>
      </c>
      <c r="M605" s="278">
        <f>IF(F605&gt;0,L605/F605,0)</f>
        <v>7.6470588235294121</v>
      </c>
      <c r="N605" s="283"/>
      <c r="O605" s="279"/>
      <c r="P605" s="280">
        <f>IF(N605&gt;0,(N605/M605)/2,0)</f>
        <v>0</v>
      </c>
      <c r="Q605" s="281">
        <f>IF(O605&gt;0,P605/O605,0)</f>
        <v>0</v>
      </c>
      <c r="R605" s="282">
        <f>IF(I605&gt;0,Q605*I605,)</f>
        <v>0</v>
      </c>
      <c r="S605" s="283">
        <v>130</v>
      </c>
      <c r="T605" s="275">
        <v>4</v>
      </c>
      <c r="U605" s="280">
        <f>F605-P605</f>
        <v>17</v>
      </c>
      <c r="V605" s="281">
        <f>IF(T605&gt;0,U605/T605,0)</f>
        <v>4.25</v>
      </c>
      <c r="W605" s="282">
        <f>IF(T605&gt;0,(U605*I605)/T605,0)</f>
        <v>8500</v>
      </c>
      <c r="X605" s="283"/>
      <c r="Y605" s="275"/>
      <c r="Z605" s="280">
        <f>Tabla14[[#This Row],[Cajas Segunda]]</f>
        <v>0</v>
      </c>
      <c r="AA605" s="281">
        <f>IF(Y605&gt;0,Z605/Y605,0)</f>
        <v>0</v>
      </c>
      <c r="AB605" s="284">
        <f>IF(Y605&gt;0,(Z605*J605)/Y605,0)</f>
        <v>0</v>
      </c>
      <c r="AC605" s="285"/>
      <c r="AD605" s="286"/>
      <c r="AE605" s="286"/>
      <c r="AF605" s="286"/>
      <c r="AG605" s="286"/>
      <c r="AH605" s="280">
        <f>IF(AND(AC605&gt;0,AE605=0,AF605=0,AD605=0),AC605,IF(AND(AC605=0,AE605&gt;0,AF605&gt;0,AD605=0),AE605*AF605/25,IF(AND(AC605=0,AE605=0,AF605=0,AD605&gt;0),AD605/25,0)))</f>
        <v>0</v>
      </c>
      <c r="AI605" s="281">
        <f>IF(AG605&gt;0,AH605/AG605,0)</f>
        <v>0</v>
      </c>
      <c r="AJ605" s="282">
        <f>AI605*K605</f>
        <v>0</v>
      </c>
      <c r="AK605" s="287">
        <f>Tabla14[[#This Row],[Cajas por Personas]]</f>
        <v>0</v>
      </c>
      <c r="AL605" s="288">
        <f>Tabla14[[#This Row],[Valor Precorte Pesona]]</f>
        <v>0</v>
      </c>
      <c r="AM605" s="294">
        <f>Tabla14[[#This Row],[Personas Precorte]]</f>
        <v>0</v>
      </c>
      <c r="AN605" s="308">
        <f>Tabla14[[#This Row],[Valor Precorte Pesona Precorte]]*Tabla14[[#This Row],[Perzonas Precorte]]</f>
        <v>0</v>
      </c>
      <c r="AO605" s="287">
        <f>Tabla14[[#This Row],[Cajas por Personas2]]</f>
        <v>4.25</v>
      </c>
      <c r="AP605" s="288">
        <f>Tabla14[[#This Row],[Valor Embarque Pesona]]</f>
        <v>8500</v>
      </c>
      <c r="AQ605" s="295">
        <f>Tabla14[[#This Row],[Personas Precorte2]]</f>
        <v>4</v>
      </c>
      <c r="AR605" s="296">
        <f>Tabla14[[#This Row],[Valor Embarque Pesona3]]*Tabla14[[#This Row],[Perzona Primera]]</f>
        <v>34000</v>
      </c>
      <c r="AS605" s="287">
        <f>Tabla14[[#This Row],[Columna2]]</f>
        <v>0</v>
      </c>
      <c r="AT605" s="288">
        <f>Tabla14[[#This Row],[Columna1]]</f>
        <v>0</v>
      </c>
      <c r="AU605" s="302">
        <f>Tabla14[[#This Row],[Personas Intervienen]]</f>
        <v>0</v>
      </c>
      <c r="AV605" s="297">
        <f>Tabla14[[#This Row],[Valor Embarque Pesona5]]*Tabla14[[#This Row],[Presonas Segunda]]</f>
        <v>0</v>
      </c>
      <c r="AW605" s="287">
        <f>Tabla14[[#This Row],[Bolsas Por Personas]]</f>
        <v>0</v>
      </c>
      <c r="AX605" s="288">
        <f>Tabla14[[#This Row],[Valor bolsas Pesona]]</f>
        <v>0</v>
      </c>
      <c r="AY605" s="309">
        <f>Tabla14[[#This Row],[Personas13]]</f>
        <v>0</v>
      </c>
      <c r="AZ605" s="310">
        <f>Tabla14[[#This Row],[Valor bolsas Pesona2]]*Tabla14[[#This Row],[Personas Rechazo]]</f>
        <v>0</v>
      </c>
      <c r="BA605" s="311">
        <f>+Tabla14[[#This Row],[Total Valor Segunda]]+Tabla14[[#This Row],[Total Valor Primera]]+Tabla14[[#This Row],[Total Valor Precorte]]</f>
        <v>34000</v>
      </c>
      <c r="BB605" s="292">
        <f>Tabla14[[#This Row],[Valor bolsas Pesona2]]+Tabla14[[#This Row],[Valor Embarque Pesona3]]</f>
        <v>8500</v>
      </c>
      <c r="BD605" s="292">
        <f>Tabla14[[#This Row],[VALOR GANADO]]-Tabla14[[#This Row],[REAJUSTADO]]</f>
        <v>8500</v>
      </c>
      <c r="BE605" s="250">
        <f>Tabla14[[#This Row],[CUANTO SE REAJUSTA]]*Tabla14[[#This Row],[Personas Rechazo]]</f>
        <v>0</v>
      </c>
      <c r="BF605" s="250">
        <f>Tabla14[[#This Row],[REAJUSTADO]]/25000</f>
        <v>0</v>
      </c>
      <c r="BG605" s="302">
        <f>Tabla14[[#This Row],[REAJUSTADO]]*Tabla14[[#This Row],[Personas Rechazo]]</f>
        <v>0</v>
      </c>
      <c r="BH605" s="292" t="str">
        <f>Tabla14[[#This Row],[Finca]]</f>
        <v>Uveros</v>
      </c>
      <c r="BJ605" s="332">
        <f>Tabla14[[#This Row],[Numero de Ocacionales]]*Tabla14[[#This Row],[REAJUSTADO]]</f>
        <v>0</v>
      </c>
      <c r="BK605" s="332"/>
      <c r="BL605" s="332"/>
      <c r="BM605" s="332">
        <f>+Tabla14[[#This Row],[CUANTO SE REAJUSTA]]*3</f>
        <v>25500</v>
      </c>
    </row>
    <row r="606" spans="3:65" x14ac:dyDescent="0.25">
      <c r="C606" s="515">
        <v>45411</v>
      </c>
      <c r="D606" s="549">
        <f>YEAR(Tabla14[[#This Row],[Fecha]])</f>
        <v>2024</v>
      </c>
      <c r="E606" s="770">
        <f>IF(Tabla14[[#This Row],[Fecha]]&gt;0,_xlfn.ISOWEEKNUM(Tabla14[[#This Row],[Fecha]]),0)</f>
        <v>18</v>
      </c>
      <c r="F606" s="283">
        <v>119</v>
      </c>
      <c r="G606" s="268" t="s">
        <v>274</v>
      </c>
      <c r="H606" s="771" t="str">
        <f>_xlfn.XLOOKUP(Tabla14[[#This Row],[Codigo Finca]],Tabla4[Codigo Finca],Tabla4[Nombre Finca],"")</f>
        <v>San Pedro</v>
      </c>
      <c r="I606" s="277">
        <f>_xlfn.XLOOKUP(Tabla14[[#This Row],[Codigo Finca]],Tabla4[Codigo Finca],Tabla4[Precio Caja],0)</f>
        <v>2000</v>
      </c>
      <c r="J606" s="277">
        <f>_xlfn.XLOOKUP(Tabla14[[#This Row],[Codigo Finca]],Tabla4[Codigo Finca],Tabla4[Precio Caja Segunda],0)</f>
        <v>0</v>
      </c>
      <c r="K606" s="277">
        <f>_xlfn.XLOOKUP(Tabla14[[#This Row],[Codigo Finca]],Tabla4[Codigo Finca],Tabla4[Precio Rechazo],0)</f>
        <v>575</v>
      </c>
      <c r="L606" s="277">
        <v>665</v>
      </c>
      <c r="M606" s="772">
        <f>IF(F606&gt;0,L606/F606,0)</f>
        <v>5.5882352941176467</v>
      </c>
      <c r="N606" s="283"/>
      <c r="O606" s="279"/>
      <c r="P606" s="769">
        <f>IF(N606&gt;0,(N606/M606)/2,0)</f>
        <v>0</v>
      </c>
      <c r="Q606" s="773">
        <f>IF(O606&gt;0,P606/O606,0)</f>
        <v>0</v>
      </c>
      <c r="R606" s="774">
        <f>IF(I606&gt;0,Q606*I606,)</f>
        <v>0</v>
      </c>
      <c r="S606" s="283"/>
      <c r="T606" s="275"/>
      <c r="U606" s="280">
        <f>F606-P606</f>
        <v>119</v>
      </c>
      <c r="V606" s="773">
        <f>IF(T606&gt;0,U606/T606,0)</f>
        <v>0</v>
      </c>
      <c r="W606" s="774">
        <f>IF(T606&gt;0,(U606*I606)/T606,0)</f>
        <v>0</v>
      </c>
      <c r="X606" s="283"/>
      <c r="Y606" s="275"/>
      <c r="Z606" s="769">
        <f>Tabla14[[#This Row],[Cajas Segunda]]</f>
        <v>0</v>
      </c>
      <c r="AA606" s="773">
        <f>IF(Y606&gt;0,Z606/Y606,0)</f>
        <v>0</v>
      </c>
      <c r="AB606" s="775">
        <f>IF(Y606&gt;0,(Z606*J606)/Y606,0)</f>
        <v>0</v>
      </c>
      <c r="AC606" s="285"/>
      <c r="AD606" s="286"/>
      <c r="AE606" s="286"/>
      <c r="AF606" s="286"/>
      <c r="AG606" s="286"/>
      <c r="AH606" s="280">
        <f>IF(AND(AC606&gt;0,AE606=0,AF606=0,AD606=0),AC606,IF(AND(AC606=0,AE606&gt;0,AF606&gt;0,AD606=0),AE606*AF606/25,IF(AND(AC606=0,AE606=0,AF606=0,AD606&gt;0),AD606/25,0)))</f>
        <v>0</v>
      </c>
      <c r="AI606" s="773">
        <f>IF(AG606&gt;0,AH606/AG606,0)</f>
        <v>0</v>
      </c>
      <c r="AJ606" s="774">
        <f>AI606*K606</f>
        <v>0</v>
      </c>
      <c r="AK606" s="776">
        <f>Tabla14[[#This Row],[Cajas por Personas]]</f>
        <v>0</v>
      </c>
      <c r="AL606" s="777">
        <f>Tabla14[[#This Row],[Valor Precorte Pesona]]</f>
        <v>0</v>
      </c>
      <c r="AM606" s="294">
        <f>Tabla14[[#This Row],[Personas Precorte]]</f>
        <v>0</v>
      </c>
      <c r="AN606" s="778">
        <f>Tabla14[[#This Row],[Valor Precorte Pesona Precorte]]*Tabla14[[#This Row],[Perzonas Precorte]]</f>
        <v>0</v>
      </c>
      <c r="AO606" s="776">
        <f>Tabla14[[#This Row],[Cajas por Personas2]]</f>
        <v>0</v>
      </c>
      <c r="AP606" s="777">
        <f>Tabla14[[#This Row],[Valor Embarque Pesona]]</f>
        <v>0</v>
      </c>
      <c r="AQ606" s="295">
        <f>Tabla14[[#This Row],[Personas Precorte2]]</f>
        <v>0</v>
      </c>
      <c r="AR606" s="296">
        <f>Tabla14[[#This Row],[Valor Embarque Pesona3]]*Tabla14[[#This Row],[Perzona Primera]]</f>
        <v>0</v>
      </c>
      <c r="AS606" s="776">
        <f>Tabla14[[#This Row],[Columna2]]</f>
        <v>0</v>
      </c>
      <c r="AT606" s="777">
        <f>Tabla14[[#This Row],[Columna1]]</f>
        <v>0</v>
      </c>
      <c r="AU606" s="779">
        <f>Tabla14[[#This Row],[Personas Intervienen]]</f>
        <v>0</v>
      </c>
      <c r="AV606" s="297">
        <f>Tabla14[[#This Row],[Valor Embarque Pesona5]]*Tabla14[[#This Row],[Presonas Segunda]]</f>
        <v>0</v>
      </c>
      <c r="AW606" s="776">
        <f>Tabla14[[#This Row],[Bolsas Por Personas]]</f>
        <v>0</v>
      </c>
      <c r="AX606" s="777">
        <f>Tabla14[[#This Row],[Valor bolsas Pesona]]</f>
        <v>0</v>
      </c>
      <c r="AY606" s="309">
        <f>Tabla14[[#This Row],[Personas13]]</f>
        <v>0</v>
      </c>
      <c r="AZ606" s="310">
        <f>Tabla14[[#This Row],[Valor bolsas Pesona2]]*Tabla14[[#This Row],[Personas Rechazo]]</f>
        <v>0</v>
      </c>
      <c r="BA606" s="311">
        <f>+Tabla14[[#This Row],[Total Valor Segunda]]+Tabla14[[#This Row],[Total Valor Primera]]+Tabla14[[#This Row],[Total Valor Precorte]]</f>
        <v>0</v>
      </c>
      <c r="BB606" s="780">
        <f>Tabla14[[#This Row],[Valor bolsas Pesona2]]+Tabla14[[#This Row],[Valor Embarque Pesona3]]</f>
        <v>0</v>
      </c>
      <c r="BD606" s="780">
        <f>Tabla14[[#This Row],[VALOR GANADO]]-Tabla14[[#This Row],[REAJUSTADO]]</f>
        <v>0</v>
      </c>
      <c r="BE606" s="781">
        <f>Tabla14[[#This Row],[CUANTO SE REAJUSTA]]*Tabla14[[#This Row],[Personas Rechazo]]</f>
        <v>0</v>
      </c>
      <c r="BF606" s="781">
        <f>Tabla14[[#This Row],[REAJUSTADO]]/25000</f>
        <v>0</v>
      </c>
      <c r="BG606" s="779">
        <f>Tabla14[[#This Row],[REAJUSTADO]]*Tabla14[[#This Row],[Personas Rechazo]]</f>
        <v>0</v>
      </c>
      <c r="BH606" s="780" t="str">
        <f>Tabla14[[#This Row],[Finca]]</f>
        <v>San Pedro</v>
      </c>
      <c r="BI606" s="782"/>
      <c r="BJ606" s="332">
        <f>Tabla14[[#This Row],[Numero de Ocacionales]]*Tabla14[[#This Row],[REAJUSTADO]]</f>
        <v>0</v>
      </c>
      <c r="BK606" s="332"/>
      <c r="BL606" s="332"/>
      <c r="BM606" s="332">
        <f>+Tabla14[[#This Row],[CUANTO SE REAJUSTA]]*3</f>
        <v>0</v>
      </c>
    </row>
  </sheetData>
  <mergeCells count="10">
    <mergeCell ref="C7:E7"/>
    <mergeCell ref="F7:M7"/>
    <mergeCell ref="X7:AB7"/>
    <mergeCell ref="AK7:AN7"/>
    <mergeCell ref="AO7:AR7"/>
    <mergeCell ref="AS7:AV7"/>
    <mergeCell ref="N7:R7"/>
    <mergeCell ref="S7:W7"/>
    <mergeCell ref="AC7:AJ7"/>
    <mergeCell ref="AW7:AZ7"/>
  </mergeCells>
  <phoneticPr fontId="3" type="noConversion"/>
  <pageMargins left="0.7" right="0.7" top="0.75" bottom="0.75" header="0.3" footer="0.3"/>
  <pageSetup orientation="landscape" r:id="rId1"/>
  <ignoredErrors>
    <ignoredError sqref="BB69 BB498:BB499 BB506 BB513 L602:L605" calculatedColumn="1"/>
  </ignoredErrors>
  <drawing r:id="rId2"/>
  <legacy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7E1E-9600-4099-90E2-068866A9D873}">
  <dimension ref="B2:H188"/>
  <sheetViews>
    <sheetView topLeftCell="B161" zoomScale="250" zoomScaleNormal="250" workbookViewId="0">
      <selection activeCell="I171" sqref="I171"/>
    </sheetView>
  </sheetViews>
  <sheetFormatPr baseColWidth="10" defaultRowHeight="15" x14ac:dyDescent="0.25"/>
  <cols>
    <col min="2" max="2" width="12.5703125" customWidth="1"/>
    <col min="3" max="3" width="12.7109375" customWidth="1"/>
    <col min="5" max="5" width="15.7109375" customWidth="1"/>
    <col min="6" max="6" width="13.42578125" customWidth="1"/>
    <col min="7" max="7" width="9.7109375" customWidth="1"/>
    <col min="8" max="8" width="16.140625" customWidth="1"/>
  </cols>
  <sheetData>
    <row r="2" spans="2:8" ht="15.75" thickBot="1" x14ac:dyDescent="0.3"/>
    <row r="3" spans="2:8" ht="131.25" x14ac:dyDescent="0.25">
      <c r="B3" s="409" t="s">
        <v>6</v>
      </c>
      <c r="C3" s="410" t="s">
        <v>86</v>
      </c>
      <c r="D3" s="410" t="s">
        <v>216</v>
      </c>
      <c r="E3" s="413" t="s">
        <v>8</v>
      </c>
      <c r="F3" s="414" t="s">
        <v>219</v>
      </c>
      <c r="G3" s="414" t="s">
        <v>218</v>
      </c>
      <c r="H3" s="414" t="s">
        <v>220</v>
      </c>
    </row>
    <row r="4" spans="2:8" s="151" customFormat="1" ht="15.75" x14ac:dyDescent="0.25">
      <c r="B4" s="420">
        <v>44839</v>
      </c>
      <c r="C4" s="421">
        <v>40</v>
      </c>
      <c r="D4" s="421">
        <v>2523</v>
      </c>
      <c r="E4" s="421" t="s">
        <v>31</v>
      </c>
      <c r="F4" s="421">
        <v>65</v>
      </c>
      <c r="G4" s="422"/>
      <c r="H4" s="423">
        <v>65</v>
      </c>
    </row>
    <row r="5" spans="2:8" ht="15.75" x14ac:dyDescent="0.25">
      <c r="B5" s="424">
        <v>44846</v>
      </c>
      <c r="C5" s="425">
        <v>41</v>
      </c>
      <c r="D5" s="425">
        <v>917</v>
      </c>
      <c r="E5" s="425" t="s">
        <v>29</v>
      </c>
      <c r="F5" s="425">
        <v>25</v>
      </c>
      <c r="G5" s="426"/>
      <c r="H5" s="426"/>
    </row>
    <row r="6" spans="2:8" ht="15.75" x14ac:dyDescent="0.25">
      <c r="B6" s="424">
        <v>44846</v>
      </c>
      <c r="C6" s="425">
        <v>41</v>
      </c>
      <c r="D6" s="425">
        <v>919</v>
      </c>
      <c r="E6" s="425" t="s">
        <v>29</v>
      </c>
      <c r="F6" s="425">
        <v>25</v>
      </c>
      <c r="G6" s="426"/>
      <c r="H6" s="426"/>
    </row>
    <row r="7" spans="2:8" ht="15.75" x14ac:dyDescent="0.25">
      <c r="B7" s="424">
        <v>44846</v>
      </c>
      <c r="C7" s="425">
        <v>41</v>
      </c>
      <c r="D7" s="425">
        <v>922</v>
      </c>
      <c r="E7" s="425" t="s">
        <v>29</v>
      </c>
      <c r="F7" s="425">
        <v>75</v>
      </c>
      <c r="G7" s="426"/>
      <c r="H7" s="426"/>
    </row>
    <row r="8" spans="2:8" ht="15.75" x14ac:dyDescent="0.25">
      <c r="B8" s="424">
        <v>44846</v>
      </c>
      <c r="C8" s="425">
        <v>41</v>
      </c>
      <c r="D8" s="425" t="s">
        <v>217</v>
      </c>
      <c r="E8" s="425" t="s">
        <v>29</v>
      </c>
      <c r="F8" s="425">
        <v>76</v>
      </c>
      <c r="G8" s="425">
        <v>15635</v>
      </c>
      <c r="H8" s="425"/>
    </row>
    <row r="9" spans="2:8" ht="15.75" x14ac:dyDescent="0.25">
      <c r="B9" s="424">
        <v>44847</v>
      </c>
      <c r="C9" s="425">
        <v>41</v>
      </c>
      <c r="D9" s="425" t="s">
        <v>217</v>
      </c>
      <c r="E9" s="425" t="s">
        <v>31</v>
      </c>
      <c r="F9" s="425">
        <v>94</v>
      </c>
      <c r="G9" s="425"/>
      <c r="H9" s="427">
        <v>295</v>
      </c>
    </row>
    <row r="10" spans="2:8" ht="15.75" x14ac:dyDescent="0.25">
      <c r="B10" s="428">
        <v>44852</v>
      </c>
      <c r="C10" s="429">
        <v>42</v>
      </c>
      <c r="D10" s="429">
        <v>924</v>
      </c>
      <c r="E10" s="429" t="s">
        <v>29</v>
      </c>
      <c r="F10" s="429">
        <v>290</v>
      </c>
      <c r="G10" s="430"/>
      <c r="H10" s="430"/>
    </row>
    <row r="11" spans="2:8" ht="15.75" x14ac:dyDescent="0.25">
      <c r="B11" s="428">
        <v>44852</v>
      </c>
      <c r="C11" s="429">
        <v>42</v>
      </c>
      <c r="D11" s="429">
        <v>925</v>
      </c>
      <c r="E11" s="429" t="s">
        <v>29</v>
      </c>
      <c r="F11" s="429">
        <v>57</v>
      </c>
      <c r="G11" s="430"/>
      <c r="H11" s="429"/>
    </row>
    <row r="12" spans="2:8" ht="15.75" x14ac:dyDescent="0.25">
      <c r="B12" s="428">
        <v>44854</v>
      </c>
      <c r="C12" s="429">
        <v>42</v>
      </c>
      <c r="D12" s="429">
        <v>926</v>
      </c>
      <c r="E12" s="429" t="s">
        <v>29</v>
      </c>
      <c r="F12" s="429">
        <v>50</v>
      </c>
      <c r="G12" s="430"/>
      <c r="H12" s="431">
        <v>397</v>
      </c>
    </row>
    <row r="13" spans="2:8" ht="15.75" x14ac:dyDescent="0.25">
      <c r="B13" s="432">
        <v>44859</v>
      </c>
      <c r="C13" s="433">
        <v>43</v>
      </c>
      <c r="D13" s="433">
        <v>929</v>
      </c>
      <c r="E13" s="433" t="s">
        <v>29</v>
      </c>
      <c r="F13" s="433">
        <v>120</v>
      </c>
      <c r="G13" s="434"/>
      <c r="H13" s="434"/>
    </row>
    <row r="14" spans="2:8" ht="15.75" x14ac:dyDescent="0.25">
      <c r="B14" s="432">
        <v>44859</v>
      </c>
      <c r="C14" s="433">
        <v>43</v>
      </c>
      <c r="D14" s="433">
        <v>931</v>
      </c>
      <c r="E14" s="433" t="s">
        <v>29</v>
      </c>
      <c r="F14" s="433">
        <v>146</v>
      </c>
      <c r="G14" s="434"/>
      <c r="H14" s="433"/>
    </row>
    <row r="15" spans="2:8" ht="15.75" x14ac:dyDescent="0.25">
      <c r="B15" s="432">
        <v>44860</v>
      </c>
      <c r="C15" s="433">
        <v>43</v>
      </c>
      <c r="D15" s="433">
        <v>932</v>
      </c>
      <c r="E15" s="433" t="s">
        <v>29</v>
      </c>
      <c r="F15" s="433">
        <v>65</v>
      </c>
      <c r="G15" s="434"/>
      <c r="H15" s="434"/>
    </row>
    <row r="16" spans="2:8" ht="15.75" x14ac:dyDescent="0.25">
      <c r="B16" s="432">
        <v>44860</v>
      </c>
      <c r="C16" s="433">
        <v>43</v>
      </c>
      <c r="D16" s="433">
        <v>933</v>
      </c>
      <c r="E16" s="433" t="s">
        <v>29</v>
      </c>
      <c r="F16" s="433">
        <v>55</v>
      </c>
      <c r="G16" s="434"/>
      <c r="H16" s="434"/>
    </row>
    <row r="17" spans="2:8" ht="15.75" x14ac:dyDescent="0.25">
      <c r="B17" s="432">
        <v>44860</v>
      </c>
      <c r="C17" s="433">
        <v>43</v>
      </c>
      <c r="D17" s="433">
        <v>934</v>
      </c>
      <c r="E17" s="433" t="s">
        <v>28</v>
      </c>
      <c r="F17" s="433">
        <v>39</v>
      </c>
      <c r="G17" s="434"/>
      <c r="H17" s="433"/>
    </row>
    <row r="18" spans="2:8" ht="15.75" x14ac:dyDescent="0.25">
      <c r="B18" s="432">
        <v>44860</v>
      </c>
      <c r="C18" s="433">
        <v>43</v>
      </c>
      <c r="D18" s="433" t="s">
        <v>221</v>
      </c>
      <c r="E18" s="433" t="s">
        <v>31</v>
      </c>
      <c r="F18" s="433">
        <v>12</v>
      </c>
      <c r="G18" s="434"/>
      <c r="H18" s="433"/>
    </row>
    <row r="19" spans="2:8" ht="15.75" x14ac:dyDescent="0.25">
      <c r="B19" s="432">
        <v>44860</v>
      </c>
      <c r="C19" s="433">
        <v>43</v>
      </c>
      <c r="D19" s="433" t="s">
        <v>221</v>
      </c>
      <c r="E19" s="433" t="s">
        <v>31</v>
      </c>
      <c r="F19" s="433">
        <v>5</v>
      </c>
      <c r="G19" s="434"/>
      <c r="H19" s="433"/>
    </row>
    <row r="20" spans="2:8" ht="15.75" x14ac:dyDescent="0.25">
      <c r="B20" s="432">
        <v>44860</v>
      </c>
      <c r="C20" s="433">
        <v>43</v>
      </c>
      <c r="D20" s="433" t="s">
        <v>221</v>
      </c>
      <c r="E20" s="433" t="s">
        <v>31</v>
      </c>
      <c r="F20" s="433">
        <v>50</v>
      </c>
      <c r="G20" s="434"/>
      <c r="H20" s="435">
        <v>492</v>
      </c>
    </row>
    <row r="21" spans="2:8" ht="15.75" x14ac:dyDescent="0.25">
      <c r="B21" s="436">
        <v>44866</v>
      </c>
      <c r="C21" s="437">
        <v>44</v>
      </c>
      <c r="D21" s="437">
        <v>936</v>
      </c>
      <c r="E21" s="437" t="s">
        <v>29</v>
      </c>
      <c r="F21" s="437">
        <v>120</v>
      </c>
      <c r="G21" s="438"/>
      <c r="H21" s="438"/>
    </row>
    <row r="22" spans="2:8" ht="15.75" x14ac:dyDescent="0.25">
      <c r="B22" s="436">
        <v>44866</v>
      </c>
      <c r="C22" s="437">
        <v>44</v>
      </c>
      <c r="D22" s="437">
        <v>937</v>
      </c>
      <c r="E22" s="437" t="s">
        <v>29</v>
      </c>
      <c r="F22" s="437">
        <v>131</v>
      </c>
      <c r="G22" s="438"/>
      <c r="H22" s="439">
        <v>251</v>
      </c>
    </row>
    <row r="23" spans="2:8" ht="15.75" x14ac:dyDescent="0.25">
      <c r="B23" s="440">
        <v>44873</v>
      </c>
      <c r="C23" s="441">
        <v>45</v>
      </c>
      <c r="D23" s="441">
        <v>2951</v>
      </c>
      <c r="E23" s="441" t="s">
        <v>29</v>
      </c>
      <c r="F23" s="441">
        <v>150</v>
      </c>
      <c r="G23" s="442"/>
      <c r="H23" s="442"/>
    </row>
    <row r="24" spans="2:8" ht="15.75" x14ac:dyDescent="0.25">
      <c r="B24" s="440">
        <v>44873</v>
      </c>
      <c r="C24" s="441">
        <v>45</v>
      </c>
      <c r="D24" s="441">
        <v>2952</v>
      </c>
      <c r="E24" s="441" t="s">
        <v>29</v>
      </c>
      <c r="F24" s="441">
        <v>197</v>
      </c>
      <c r="G24" s="442"/>
      <c r="H24" s="441"/>
    </row>
    <row r="25" spans="2:8" ht="15.75" x14ac:dyDescent="0.25">
      <c r="B25" s="440">
        <v>44874</v>
      </c>
      <c r="C25" s="441">
        <v>45</v>
      </c>
      <c r="D25" s="441">
        <v>938</v>
      </c>
      <c r="E25" s="441" t="s">
        <v>29</v>
      </c>
      <c r="F25" s="441">
        <v>75</v>
      </c>
      <c r="G25" s="442"/>
      <c r="H25" s="442"/>
    </row>
    <row r="26" spans="2:8" ht="15.75" x14ac:dyDescent="0.25">
      <c r="B26" s="440">
        <v>44874</v>
      </c>
      <c r="C26" s="441">
        <v>45</v>
      </c>
      <c r="D26" s="441">
        <v>939</v>
      </c>
      <c r="E26" s="441" t="s">
        <v>29</v>
      </c>
      <c r="F26" s="441">
        <v>27</v>
      </c>
      <c r="G26" s="442"/>
      <c r="H26" s="441"/>
    </row>
    <row r="27" spans="2:8" ht="15.75" x14ac:dyDescent="0.25">
      <c r="B27" s="440">
        <v>44874</v>
      </c>
      <c r="C27" s="441">
        <v>45</v>
      </c>
      <c r="D27" s="441" t="s">
        <v>217</v>
      </c>
      <c r="E27" s="441" t="s">
        <v>30</v>
      </c>
      <c r="F27" s="441">
        <v>18</v>
      </c>
      <c r="G27" s="442"/>
      <c r="H27" s="441"/>
    </row>
    <row r="28" spans="2:8" ht="15.75" x14ac:dyDescent="0.25">
      <c r="B28" s="440">
        <v>44874</v>
      </c>
      <c r="C28" s="441">
        <v>45</v>
      </c>
      <c r="D28" s="441" t="s">
        <v>217</v>
      </c>
      <c r="E28" s="441" t="s">
        <v>31</v>
      </c>
      <c r="F28" s="441">
        <v>73</v>
      </c>
      <c r="G28" s="442"/>
      <c r="H28" s="441"/>
    </row>
    <row r="29" spans="2:8" ht="15.75" x14ac:dyDescent="0.25">
      <c r="B29" s="440">
        <v>44875</v>
      </c>
      <c r="C29" s="441">
        <v>45</v>
      </c>
      <c r="D29" s="441" t="s">
        <v>217</v>
      </c>
      <c r="E29" s="441" t="s">
        <v>28</v>
      </c>
      <c r="F29" s="441">
        <v>31</v>
      </c>
      <c r="G29" s="442"/>
      <c r="H29" s="443">
        <v>571</v>
      </c>
    </row>
    <row r="30" spans="2:8" ht="31.5" x14ac:dyDescent="0.25">
      <c r="B30" s="424">
        <v>44880</v>
      </c>
      <c r="C30" s="425">
        <v>46</v>
      </c>
      <c r="D30" s="444" t="s">
        <v>224</v>
      </c>
      <c r="E30" s="425" t="s">
        <v>29</v>
      </c>
      <c r="F30" s="425">
        <v>188</v>
      </c>
      <c r="G30" s="444"/>
      <c r="H30" s="425"/>
    </row>
    <row r="31" spans="2:8" ht="15.75" x14ac:dyDescent="0.25">
      <c r="B31" s="424">
        <v>44880</v>
      </c>
      <c r="C31" s="425">
        <v>46</v>
      </c>
      <c r="D31" s="425">
        <v>2957</v>
      </c>
      <c r="E31" s="425" t="s">
        <v>30</v>
      </c>
      <c r="F31" s="425">
        <v>22</v>
      </c>
      <c r="G31" s="425"/>
      <c r="H31" s="425"/>
    </row>
    <row r="32" spans="2:8" ht="15.75" x14ac:dyDescent="0.25">
      <c r="B32" s="424">
        <v>44881</v>
      </c>
      <c r="C32" s="425">
        <v>46</v>
      </c>
      <c r="D32" s="425" t="s">
        <v>217</v>
      </c>
      <c r="E32" s="425" t="s">
        <v>28</v>
      </c>
      <c r="F32" s="425">
        <v>17</v>
      </c>
      <c r="G32" s="426"/>
      <c r="H32" s="425"/>
    </row>
    <row r="33" spans="2:8" ht="15.75" x14ac:dyDescent="0.25">
      <c r="B33" s="424">
        <v>44881</v>
      </c>
      <c r="C33" s="425">
        <v>46</v>
      </c>
      <c r="D33" s="425">
        <v>2532</v>
      </c>
      <c r="E33" s="425" t="s">
        <v>31</v>
      </c>
      <c r="F33" s="425">
        <v>52</v>
      </c>
      <c r="G33" s="426"/>
      <c r="H33" s="425"/>
    </row>
    <row r="34" spans="2:8" ht="15.75" x14ac:dyDescent="0.25">
      <c r="B34" s="424">
        <v>44881</v>
      </c>
      <c r="C34" s="425">
        <v>46</v>
      </c>
      <c r="D34" s="425" t="s">
        <v>225</v>
      </c>
      <c r="E34" s="425" t="s">
        <v>29</v>
      </c>
      <c r="F34" s="425">
        <f>70+20+26</f>
        <v>116</v>
      </c>
      <c r="G34" s="425"/>
      <c r="H34" s="425"/>
    </row>
    <row r="35" spans="2:8" ht="15.75" x14ac:dyDescent="0.25">
      <c r="B35" s="424">
        <v>44881</v>
      </c>
      <c r="C35" s="425">
        <v>46</v>
      </c>
      <c r="D35" s="425">
        <v>2960</v>
      </c>
      <c r="E35" s="425" t="s">
        <v>90</v>
      </c>
      <c r="F35" s="425">
        <v>50</v>
      </c>
      <c r="G35" s="426"/>
      <c r="H35" s="427">
        <v>445</v>
      </c>
    </row>
    <row r="36" spans="2:8" ht="15.75" x14ac:dyDescent="0.25">
      <c r="B36" s="447">
        <v>44894</v>
      </c>
      <c r="C36" s="448">
        <v>48</v>
      </c>
      <c r="D36" s="448" t="s">
        <v>228</v>
      </c>
      <c r="E36" s="448" t="s">
        <v>29</v>
      </c>
      <c r="F36" s="448">
        <f>240+144</f>
        <v>384</v>
      </c>
      <c r="G36" s="449"/>
      <c r="H36" s="448"/>
    </row>
    <row r="37" spans="2:8" ht="15.75" x14ac:dyDescent="0.25">
      <c r="B37" s="447">
        <v>44894</v>
      </c>
      <c r="C37" s="448">
        <v>48</v>
      </c>
      <c r="D37" s="448" t="s">
        <v>226</v>
      </c>
      <c r="E37" s="448" t="s">
        <v>30</v>
      </c>
      <c r="F37" s="448">
        <v>46</v>
      </c>
      <c r="G37" s="449"/>
      <c r="H37" s="448"/>
    </row>
    <row r="38" spans="2:8" ht="15.75" x14ac:dyDescent="0.25">
      <c r="B38" s="447">
        <v>44895</v>
      </c>
      <c r="C38" s="448">
        <v>48</v>
      </c>
      <c r="D38" s="448" t="s">
        <v>227</v>
      </c>
      <c r="E38" s="448" t="s">
        <v>28</v>
      </c>
      <c r="F38" s="448">
        <v>46</v>
      </c>
      <c r="G38" s="449"/>
      <c r="H38" s="448"/>
    </row>
    <row r="39" spans="2:8" ht="15.75" x14ac:dyDescent="0.25">
      <c r="B39" s="447">
        <v>44895</v>
      </c>
      <c r="C39" s="448">
        <v>48</v>
      </c>
      <c r="D39" s="448"/>
      <c r="E39" s="448" t="s">
        <v>31</v>
      </c>
      <c r="F39" s="448">
        <v>81</v>
      </c>
      <c r="G39" s="449"/>
      <c r="H39" s="448"/>
    </row>
    <row r="40" spans="2:8" ht="15.75" x14ac:dyDescent="0.25">
      <c r="B40" s="447">
        <v>44895</v>
      </c>
      <c r="C40" s="448">
        <v>48</v>
      </c>
      <c r="D40" s="448" t="s">
        <v>229</v>
      </c>
      <c r="E40" s="448" t="s">
        <v>29</v>
      </c>
      <c r="F40" s="448">
        <v>309</v>
      </c>
      <c r="G40" s="449"/>
      <c r="H40" s="448"/>
    </row>
    <row r="41" spans="2:8" ht="15.75" x14ac:dyDescent="0.25">
      <c r="B41" s="447">
        <v>44895</v>
      </c>
      <c r="C41" s="448">
        <v>48</v>
      </c>
      <c r="D41" s="448">
        <v>2965</v>
      </c>
      <c r="E41" s="448" t="s">
        <v>90</v>
      </c>
      <c r="F41" s="448">
        <v>34</v>
      </c>
      <c r="G41" s="449"/>
      <c r="H41" s="448">
        <f>+F41+F40+F39+F38+F37+F36</f>
        <v>900</v>
      </c>
    </row>
    <row r="42" spans="2:8" ht="15.75" x14ac:dyDescent="0.25">
      <c r="B42" s="454">
        <v>44901</v>
      </c>
      <c r="C42" s="455">
        <v>49</v>
      </c>
      <c r="D42" s="455"/>
      <c r="E42" s="455" t="s">
        <v>29</v>
      </c>
      <c r="F42" s="455">
        <v>390</v>
      </c>
      <c r="G42" s="456"/>
      <c r="H42" s="455"/>
    </row>
    <row r="43" spans="2:8" ht="15.75" x14ac:dyDescent="0.25">
      <c r="B43" s="454">
        <v>44901</v>
      </c>
      <c r="C43" s="455">
        <v>49</v>
      </c>
      <c r="D43" s="455"/>
      <c r="E43" s="455" t="s">
        <v>30</v>
      </c>
      <c r="F43" s="455">
        <v>36</v>
      </c>
      <c r="G43" s="456"/>
      <c r="H43" s="455"/>
    </row>
    <row r="44" spans="2:8" ht="15.75" x14ac:dyDescent="0.25">
      <c r="B44" s="454">
        <v>44902</v>
      </c>
      <c r="C44" s="455">
        <v>49</v>
      </c>
      <c r="D44" s="455"/>
      <c r="E44" s="455" t="s">
        <v>28</v>
      </c>
      <c r="F44" s="455">
        <v>33</v>
      </c>
      <c r="G44" s="456"/>
      <c r="H44" s="455"/>
    </row>
    <row r="45" spans="2:8" ht="15.75" x14ac:dyDescent="0.25">
      <c r="B45" s="454">
        <v>44902</v>
      </c>
      <c r="C45" s="455">
        <v>49</v>
      </c>
      <c r="D45" s="455"/>
      <c r="E45" s="455" t="s">
        <v>31</v>
      </c>
      <c r="F45" s="455">
        <v>97</v>
      </c>
      <c r="G45" s="456"/>
      <c r="H45" s="455"/>
    </row>
    <row r="46" spans="2:8" ht="15.75" x14ac:dyDescent="0.25">
      <c r="B46" s="454">
        <v>44902</v>
      </c>
      <c r="C46" s="455">
        <v>49</v>
      </c>
      <c r="D46" s="455"/>
      <c r="E46" s="455" t="s">
        <v>29</v>
      </c>
      <c r="F46" s="455">
        <f>37+7</f>
        <v>44</v>
      </c>
      <c r="G46" s="456"/>
      <c r="H46" s="455">
        <v>600</v>
      </c>
    </row>
    <row r="47" spans="2:8" ht="15.75" x14ac:dyDescent="0.25">
      <c r="B47" s="465">
        <v>44908</v>
      </c>
      <c r="C47" s="466">
        <v>50</v>
      </c>
      <c r="D47" s="466"/>
      <c r="E47" s="466" t="s">
        <v>29</v>
      </c>
      <c r="F47" s="466">
        <f>150+204</f>
        <v>354</v>
      </c>
      <c r="G47" s="467"/>
      <c r="H47" s="466"/>
    </row>
    <row r="48" spans="2:8" ht="15.75" x14ac:dyDescent="0.25">
      <c r="B48" s="465">
        <v>44908</v>
      </c>
      <c r="C48" s="466">
        <v>50</v>
      </c>
      <c r="D48" s="466"/>
      <c r="E48" s="466" t="s">
        <v>30</v>
      </c>
      <c r="F48" s="466">
        <v>55</v>
      </c>
      <c r="G48" s="467"/>
      <c r="H48" s="466"/>
    </row>
    <row r="49" spans="2:8" ht="15.75" x14ac:dyDescent="0.25">
      <c r="B49" s="465">
        <v>44909</v>
      </c>
      <c r="C49" s="466">
        <v>50</v>
      </c>
      <c r="D49" s="466"/>
      <c r="E49" s="466" t="s">
        <v>90</v>
      </c>
      <c r="F49" s="466">
        <v>30</v>
      </c>
      <c r="G49" s="467"/>
      <c r="H49" s="466"/>
    </row>
    <row r="50" spans="2:8" ht="15.75" x14ac:dyDescent="0.25">
      <c r="B50" s="465">
        <v>44909</v>
      </c>
      <c r="C50" s="466">
        <v>50</v>
      </c>
      <c r="D50" s="466"/>
      <c r="E50" s="466" t="s">
        <v>28</v>
      </c>
      <c r="F50" s="466">
        <v>48</v>
      </c>
      <c r="G50" s="467"/>
      <c r="H50" s="466"/>
    </row>
    <row r="51" spans="2:8" ht="15.75" x14ac:dyDescent="0.25">
      <c r="B51" s="465">
        <v>44909</v>
      </c>
      <c r="C51" s="466">
        <v>50</v>
      </c>
      <c r="D51" s="466"/>
      <c r="E51" s="466" t="s">
        <v>31</v>
      </c>
      <c r="F51" s="466">
        <v>139</v>
      </c>
      <c r="G51" s="467"/>
      <c r="H51" s="466"/>
    </row>
    <row r="52" spans="2:8" ht="15.75" x14ac:dyDescent="0.25">
      <c r="B52" s="465">
        <v>44909</v>
      </c>
      <c r="C52" s="466">
        <v>50</v>
      </c>
      <c r="D52" s="466"/>
      <c r="E52" s="466" t="s">
        <v>237</v>
      </c>
      <c r="F52" s="466">
        <v>6</v>
      </c>
      <c r="G52" s="467"/>
      <c r="H52" s="466">
        <v>632</v>
      </c>
    </row>
    <row r="53" spans="2:8" ht="15.75" x14ac:dyDescent="0.25">
      <c r="B53" s="472">
        <v>44915</v>
      </c>
      <c r="C53" s="473">
        <v>51</v>
      </c>
      <c r="D53" s="473"/>
      <c r="E53" s="473" t="s">
        <v>29</v>
      </c>
      <c r="F53" s="473">
        <v>313</v>
      </c>
      <c r="G53" s="474"/>
      <c r="H53" s="473"/>
    </row>
    <row r="54" spans="2:8" ht="15.75" x14ac:dyDescent="0.25">
      <c r="B54" s="472">
        <v>44915</v>
      </c>
      <c r="C54" s="473">
        <v>51</v>
      </c>
      <c r="D54" s="473"/>
      <c r="E54" s="473" t="s">
        <v>30</v>
      </c>
      <c r="F54" s="473">
        <v>48</v>
      </c>
      <c r="G54" s="474"/>
      <c r="H54" s="473"/>
    </row>
    <row r="55" spans="2:8" ht="15.75" x14ac:dyDescent="0.25">
      <c r="B55" s="472">
        <v>44916</v>
      </c>
      <c r="C55" s="473">
        <v>51</v>
      </c>
      <c r="D55" s="473"/>
      <c r="E55" s="473" t="s">
        <v>28</v>
      </c>
      <c r="F55" s="473">
        <v>52</v>
      </c>
      <c r="G55" s="474"/>
      <c r="H55" s="473"/>
    </row>
    <row r="56" spans="2:8" ht="15.75" x14ac:dyDescent="0.25">
      <c r="B56" s="472">
        <v>44916</v>
      </c>
      <c r="C56" s="473">
        <v>51</v>
      </c>
      <c r="D56" s="473"/>
      <c r="E56" s="473" t="s">
        <v>31</v>
      </c>
      <c r="F56" s="473">
        <v>58</v>
      </c>
      <c r="G56" s="474"/>
      <c r="H56" s="473">
        <f>+F56+F55+F54+F53</f>
        <v>471</v>
      </c>
    </row>
    <row r="57" spans="2:8" ht="15.75" x14ac:dyDescent="0.25">
      <c r="B57" s="481">
        <v>44922</v>
      </c>
      <c r="C57" s="482">
        <v>52</v>
      </c>
      <c r="D57" s="482"/>
      <c r="E57" s="482" t="s">
        <v>151</v>
      </c>
      <c r="F57" s="482">
        <v>318</v>
      </c>
      <c r="G57" s="483"/>
      <c r="H57" s="483"/>
    </row>
    <row r="58" spans="2:8" ht="15.75" x14ac:dyDescent="0.25">
      <c r="B58" s="481">
        <v>44922</v>
      </c>
      <c r="C58" s="482">
        <v>52</v>
      </c>
      <c r="D58" s="482"/>
      <c r="E58" s="482" t="s">
        <v>154</v>
      </c>
      <c r="F58" s="482">
        <v>42</v>
      </c>
      <c r="G58" s="483"/>
      <c r="H58" s="483"/>
    </row>
    <row r="59" spans="2:8" ht="15.75" x14ac:dyDescent="0.25">
      <c r="B59" s="481">
        <v>44923</v>
      </c>
      <c r="C59" s="482">
        <v>52</v>
      </c>
      <c r="D59" s="482"/>
      <c r="E59" s="482" t="s">
        <v>156</v>
      </c>
      <c r="F59" s="482">
        <v>35</v>
      </c>
      <c r="G59" s="483"/>
      <c r="H59" s="483"/>
    </row>
    <row r="60" spans="2:8" ht="15.75" x14ac:dyDescent="0.25">
      <c r="B60" s="481">
        <v>44923</v>
      </c>
      <c r="C60" s="482">
        <v>52</v>
      </c>
      <c r="D60" s="482"/>
      <c r="E60" s="482" t="s">
        <v>158</v>
      </c>
      <c r="F60" s="482">
        <v>57</v>
      </c>
      <c r="G60" s="483"/>
      <c r="H60" s="483"/>
    </row>
    <row r="61" spans="2:8" ht="15.75" x14ac:dyDescent="0.25">
      <c r="B61" s="481">
        <v>44923</v>
      </c>
      <c r="C61" s="482">
        <v>52</v>
      </c>
      <c r="D61" s="482"/>
      <c r="E61" s="482" t="s">
        <v>151</v>
      </c>
      <c r="F61" s="482">
        <v>77</v>
      </c>
      <c r="G61" s="483"/>
      <c r="H61" s="482">
        <f>+F61+F60+F59+F58+F57</f>
        <v>529</v>
      </c>
    </row>
    <row r="62" spans="2:8" ht="15.75" x14ac:dyDescent="0.25">
      <c r="B62" s="440">
        <v>44929</v>
      </c>
      <c r="C62" s="441">
        <v>1</v>
      </c>
      <c r="D62" s="441"/>
      <c r="E62" s="441" t="s">
        <v>151</v>
      </c>
      <c r="F62" s="441">
        <v>422</v>
      </c>
      <c r="G62" s="442"/>
      <c r="H62" s="442"/>
    </row>
    <row r="63" spans="2:8" ht="15.75" x14ac:dyDescent="0.25">
      <c r="B63" s="440">
        <v>44929</v>
      </c>
      <c r="C63" s="441">
        <v>1</v>
      </c>
      <c r="D63" s="441"/>
      <c r="E63" s="441" t="s">
        <v>154</v>
      </c>
      <c r="F63" s="441">
        <v>35</v>
      </c>
      <c r="G63" s="442"/>
      <c r="H63" s="442"/>
    </row>
    <row r="64" spans="2:8" ht="15.75" x14ac:dyDescent="0.25">
      <c r="B64" s="440">
        <v>44930</v>
      </c>
      <c r="C64" s="441">
        <v>1</v>
      </c>
      <c r="D64" s="441"/>
      <c r="E64" s="441" t="s">
        <v>156</v>
      </c>
      <c r="F64" s="441">
        <v>47</v>
      </c>
      <c r="G64" s="442"/>
      <c r="H64" s="442"/>
    </row>
    <row r="65" spans="2:8" ht="15.75" x14ac:dyDescent="0.25">
      <c r="B65" s="440">
        <v>44930</v>
      </c>
      <c r="C65" s="441">
        <v>1</v>
      </c>
      <c r="D65" s="441"/>
      <c r="E65" s="441" t="s">
        <v>158</v>
      </c>
      <c r="F65" s="441">
        <v>140</v>
      </c>
      <c r="G65" s="442"/>
      <c r="H65" s="441"/>
    </row>
    <row r="66" spans="2:8" ht="15.75" x14ac:dyDescent="0.25">
      <c r="B66" s="440">
        <v>44930</v>
      </c>
      <c r="C66" s="441">
        <v>1</v>
      </c>
      <c r="D66" s="441"/>
      <c r="E66" s="441" t="s">
        <v>90</v>
      </c>
      <c r="F66" s="441">
        <v>40</v>
      </c>
      <c r="G66" s="442"/>
      <c r="H66" s="441">
        <f>+F66+F65+F64+F63+F62</f>
        <v>684</v>
      </c>
    </row>
    <row r="67" spans="2:8" ht="15.75" x14ac:dyDescent="0.25">
      <c r="B67" s="465">
        <v>44936</v>
      </c>
      <c r="C67" s="466">
        <v>2</v>
      </c>
      <c r="D67" s="466"/>
      <c r="E67" s="466" t="s">
        <v>151</v>
      </c>
      <c r="F67" s="466">
        <v>489</v>
      </c>
      <c r="G67" s="467"/>
      <c r="H67" s="467"/>
    </row>
    <row r="68" spans="2:8" ht="15.75" x14ac:dyDescent="0.25">
      <c r="B68" s="465">
        <v>44936</v>
      </c>
      <c r="C68" s="466">
        <v>2</v>
      </c>
      <c r="D68" s="466"/>
      <c r="E68" s="466" t="s">
        <v>154</v>
      </c>
      <c r="F68" s="466">
        <v>51</v>
      </c>
      <c r="G68" s="467"/>
      <c r="H68" s="467"/>
    </row>
    <row r="69" spans="2:8" ht="15.75" x14ac:dyDescent="0.25">
      <c r="B69" s="465">
        <v>44937</v>
      </c>
      <c r="C69" s="466">
        <v>2</v>
      </c>
      <c r="D69" s="466"/>
      <c r="E69" s="466" t="s">
        <v>156</v>
      </c>
      <c r="F69" s="466">
        <v>39</v>
      </c>
      <c r="G69" s="467"/>
      <c r="H69" s="467"/>
    </row>
    <row r="70" spans="2:8" ht="15.75" x14ac:dyDescent="0.25">
      <c r="B70" s="465">
        <v>44937</v>
      </c>
      <c r="C70" s="466">
        <v>2</v>
      </c>
      <c r="D70" s="466"/>
      <c r="E70" s="466" t="s">
        <v>158</v>
      </c>
      <c r="F70" s="466">
        <v>154</v>
      </c>
      <c r="G70" s="467"/>
      <c r="H70" s="466"/>
    </row>
    <row r="71" spans="2:8" ht="15.75" x14ac:dyDescent="0.25">
      <c r="B71" s="465">
        <v>44937</v>
      </c>
      <c r="C71" s="466">
        <v>2</v>
      </c>
      <c r="D71" s="466"/>
      <c r="E71" s="466" t="s">
        <v>90</v>
      </c>
      <c r="F71" s="466">
        <v>40</v>
      </c>
      <c r="G71" s="467"/>
      <c r="H71" s="466"/>
    </row>
    <row r="72" spans="2:8" ht="15.75" x14ac:dyDescent="0.25">
      <c r="B72" s="465">
        <v>44937</v>
      </c>
      <c r="C72" s="466">
        <v>2</v>
      </c>
      <c r="D72" s="466"/>
      <c r="E72" s="466" t="s">
        <v>29</v>
      </c>
      <c r="F72" s="466">
        <v>33</v>
      </c>
      <c r="G72" s="467"/>
      <c r="H72" s="466">
        <f>+F67+F68+F69+F70+F71+F72</f>
        <v>806</v>
      </c>
    </row>
    <row r="73" spans="2:8" ht="15.75" x14ac:dyDescent="0.25">
      <c r="B73" s="492">
        <v>44943</v>
      </c>
      <c r="C73" s="493">
        <v>3</v>
      </c>
      <c r="D73" s="493"/>
      <c r="E73" s="493" t="s">
        <v>29</v>
      </c>
      <c r="F73" s="493">
        <v>580</v>
      </c>
      <c r="G73" s="494"/>
      <c r="H73" s="494"/>
    </row>
    <row r="74" spans="2:8" ht="15.75" x14ac:dyDescent="0.25">
      <c r="B74" s="492">
        <v>44943</v>
      </c>
      <c r="C74" s="493">
        <v>3</v>
      </c>
      <c r="D74" s="493"/>
      <c r="E74" s="493" t="s">
        <v>30</v>
      </c>
      <c r="F74" s="493">
        <v>54</v>
      </c>
      <c r="G74" s="494"/>
      <c r="H74" s="494"/>
    </row>
    <row r="75" spans="2:8" ht="15.75" x14ac:dyDescent="0.25">
      <c r="B75" s="492">
        <v>44944</v>
      </c>
      <c r="C75" s="493">
        <v>3</v>
      </c>
      <c r="D75" s="493"/>
      <c r="E75" s="493" t="s">
        <v>31</v>
      </c>
      <c r="F75" s="493">
        <v>210</v>
      </c>
      <c r="G75" s="494"/>
      <c r="H75" s="494"/>
    </row>
    <row r="76" spans="2:8" ht="15.75" x14ac:dyDescent="0.25">
      <c r="B76" s="492">
        <v>44944</v>
      </c>
      <c r="C76" s="493">
        <v>3</v>
      </c>
      <c r="D76" s="493"/>
      <c r="E76" s="493" t="s">
        <v>28</v>
      </c>
      <c r="F76" s="493">
        <v>41</v>
      </c>
      <c r="G76" s="494"/>
      <c r="H76" s="493">
        <f>+F73+F74+F75+F76</f>
        <v>885</v>
      </c>
    </row>
    <row r="77" spans="2:8" ht="15.75" x14ac:dyDescent="0.25">
      <c r="B77" s="424">
        <v>44950</v>
      </c>
      <c r="C77" s="425">
        <v>4</v>
      </c>
      <c r="D77" s="425"/>
      <c r="E77" s="425" t="s">
        <v>29</v>
      </c>
      <c r="F77" s="425">
        <f>221+17+96+21+26+143</f>
        <v>524</v>
      </c>
      <c r="G77" s="426"/>
      <c r="H77" s="426"/>
    </row>
    <row r="78" spans="2:8" ht="15.75" x14ac:dyDescent="0.25">
      <c r="B78" s="424">
        <v>44950</v>
      </c>
      <c r="C78" s="425">
        <v>4</v>
      </c>
      <c r="D78" s="425"/>
      <c r="E78" s="425" t="s">
        <v>30</v>
      </c>
      <c r="F78" s="425">
        <v>38</v>
      </c>
      <c r="G78" s="426"/>
      <c r="H78" s="426"/>
    </row>
    <row r="79" spans="2:8" ht="15.75" x14ac:dyDescent="0.25">
      <c r="B79" s="424">
        <v>44952</v>
      </c>
      <c r="C79" s="425">
        <v>4</v>
      </c>
      <c r="D79" s="425"/>
      <c r="E79" s="425" t="s">
        <v>31</v>
      </c>
      <c r="F79" s="425">
        <v>222</v>
      </c>
      <c r="G79" s="426"/>
      <c r="H79" s="426"/>
    </row>
    <row r="80" spans="2:8" ht="15.75" x14ac:dyDescent="0.25">
      <c r="B80" s="424">
        <v>44952</v>
      </c>
      <c r="C80" s="425">
        <v>4</v>
      </c>
      <c r="D80" s="425"/>
      <c r="E80" s="425" t="s">
        <v>28</v>
      </c>
      <c r="F80" s="425">
        <v>25</v>
      </c>
      <c r="G80" s="426"/>
      <c r="H80" s="425"/>
    </row>
    <row r="81" spans="2:8" ht="15.75" x14ac:dyDescent="0.25">
      <c r="B81" s="424">
        <v>44952</v>
      </c>
      <c r="C81" s="425">
        <v>4</v>
      </c>
      <c r="D81" s="425"/>
      <c r="E81" s="425" t="s">
        <v>90</v>
      </c>
      <c r="F81" s="425">
        <v>40</v>
      </c>
      <c r="G81" s="426"/>
      <c r="H81" s="426"/>
    </row>
    <row r="82" spans="2:8" ht="15.75" x14ac:dyDescent="0.25">
      <c r="B82" s="424">
        <v>44952</v>
      </c>
      <c r="C82" s="425">
        <v>4</v>
      </c>
      <c r="D82" s="425"/>
      <c r="E82" s="425" t="s">
        <v>237</v>
      </c>
      <c r="F82" s="425">
        <v>3</v>
      </c>
      <c r="G82" s="426"/>
      <c r="H82" s="425">
        <v>852</v>
      </c>
    </row>
    <row r="83" spans="2:8" ht="15.75" x14ac:dyDescent="0.25">
      <c r="B83" s="465">
        <v>44957</v>
      </c>
      <c r="C83" s="466">
        <v>5</v>
      </c>
      <c r="D83" s="466">
        <f>38+177+120+150+90+41</f>
        <v>616</v>
      </c>
      <c r="E83" s="466" t="s">
        <v>29</v>
      </c>
      <c r="F83" s="466"/>
      <c r="G83" s="467"/>
      <c r="H83" s="466"/>
    </row>
    <row r="84" spans="2:8" ht="15.75" x14ac:dyDescent="0.25">
      <c r="B84" s="465">
        <v>44957</v>
      </c>
      <c r="C84" s="466">
        <v>5</v>
      </c>
      <c r="D84" s="466">
        <v>50</v>
      </c>
      <c r="E84" s="466" t="s">
        <v>30</v>
      </c>
      <c r="F84" s="466"/>
      <c r="G84" s="467"/>
      <c r="H84" s="466"/>
    </row>
    <row r="85" spans="2:8" ht="15.75" x14ac:dyDescent="0.25">
      <c r="B85" s="465">
        <v>44958</v>
      </c>
      <c r="C85" s="466">
        <v>5</v>
      </c>
      <c r="D85" s="466">
        <v>0</v>
      </c>
      <c r="E85" s="466" t="s">
        <v>31</v>
      </c>
      <c r="F85" s="466"/>
      <c r="G85" s="467"/>
      <c r="H85" s="466"/>
    </row>
    <row r="86" spans="2:8" ht="15.75" x14ac:dyDescent="0.25">
      <c r="B86" s="465">
        <v>44958</v>
      </c>
      <c r="C86" s="466">
        <v>5</v>
      </c>
      <c r="D86" s="466">
        <v>50</v>
      </c>
      <c r="E86" s="466" t="s">
        <v>28</v>
      </c>
      <c r="F86" s="466"/>
      <c r="G86" s="467"/>
      <c r="H86" s="466"/>
    </row>
    <row r="87" spans="2:8" ht="15.75" x14ac:dyDescent="0.25">
      <c r="B87" s="465">
        <v>44958</v>
      </c>
      <c r="C87" s="466">
        <v>5</v>
      </c>
      <c r="D87" s="466">
        <v>0</v>
      </c>
      <c r="E87" s="466" t="s">
        <v>90</v>
      </c>
      <c r="F87" s="466"/>
      <c r="G87" s="467"/>
      <c r="H87" s="466">
        <f>+D86+D84+D83</f>
        <v>716</v>
      </c>
    </row>
    <row r="88" spans="2:8" ht="15.75" x14ac:dyDescent="0.25">
      <c r="B88" s="472">
        <v>44964</v>
      </c>
      <c r="C88" s="473">
        <v>6</v>
      </c>
      <c r="D88" s="473">
        <v>607</v>
      </c>
      <c r="E88" s="473" t="s">
        <v>29</v>
      </c>
      <c r="F88" s="473"/>
      <c r="G88" s="474"/>
      <c r="H88" s="473"/>
    </row>
    <row r="89" spans="2:8" ht="15.75" x14ac:dyDescent="0.25">
      <c r="B89" s="472">
        <v>44964</v>
      </c>
      <c r="C89" s="473">
        <v>6</v>
      </c>
      <c r="D89" s="473">
        <v>42</v>
      </c>
      <c r="E89" s="473" t="s">
        <v>30</v>
      </c>
      <c r="F89" s="473"/>
      <c r="G89" s="474"/>
      <c r="H89" s="473"/>
    </row>
    <row r="90" spans="2:8" ht="15.75" x14ac:dyDescent="0.25">
      <c r="B90" s="472">
        <v>44965</v>
      </c>
      <c r="C90" s="473">
        <v>6</v>
      </c>
      <c r="D90" s="473">
        <v>307</v>
      </c>
      <c r="E90" s="473" t="s">
        <v>31</v>
      </c>
      <c r="F90" s="473"/>
      <c r="G90" s="474"/>
      <c r="H90" s="473"/>
    </row>
    <row r="91" spans="2:8" ht="15.75" x14ac:dyDescent="0.25">
      <c r="B91" s="472">
        <v>44965</v>
      </c>
      <c r="C91" s="473">
        <v>6</v>
      </c>
      <c r="D91" s="473">
        <v>11</v>
      </c>
      <c r="E91" s="473" t="s">
        <v>28</v>
      </c>
      <c r="F91" s="473"/>
      <c r="G91" s="474"/>
      <c r="H91" s="473"/>
    </row>
    <row r="92" spans="2:8" ht="15.75" x14ac:dyDescent="0.25">
      <c r="B92" s="472">
        <v>44965</v>
      </c>
      <c r="C92" s="473">
        <v>6</v>
      </c>
      <c r="D92" s="473">
        <v>40</v>
      </c>
      <c r="E92" s="473" t="s">
        <v>90</v>
      </c>
      <c r="F92" s="473"/>
      <c r="G92" s="474"/>
      <c r="H92" s="473"/>
    </row>
    <row r="93" spans="2:8" ht="15.75" x14ac:dyDescent="0.25">
      <c r="B93" s="472">
        <v>44965</v>
      </c>
      <c r="C93" s="473">
        <v>6</v>
      </c>
      <c r="D93" s="473">
        <v>43</v>
      </c>
      <c r="E93" s="473" t="s">
        <v>29</v>
      </c>
      <c r="F93" s="473"/>
      <c r="G93" s="474"/>
      <c r="H93" s="473"/>
    </row>
    <row r="94" spans="2:8" ht="15.75" x14ac:dyDescent="0.25">
      <c r="B94" s="472">
        <v>44965</v>
      </c>
      <c r="C94" s="473">
        <v>6</v>
      </c>
      <c r="D94" s="473">
        <v>6</v>
      </c>
      <c r="E94" s="473" t="s">
        <v>237</v>
      </c>
      <c r="F94" s="473"/>
      <c r="G94" s="474"/>
      <c r="H94" s="473">
        <f>+D94+D93+D92+D91+D90+D89+D88</f>
        <v>1056</v>
      </c>
    </row>
    <row r="95" spans="2:8" ht="15.75" x14ac:dyDescent="0.25">
      <c r="B95" s="440">
        <v>44970</v>
      </c>
      <c r="C95" s="441">
        <v>7</v>
      </c>
      <c r="D95" s="441">
        <v>505</v>
      </c>
      <c r="E95" s="441" t="s">
        <v>29</v>
      </c>
      <c r="F95" s="441"/>
      <c r="G95" s="442"/>
      <c r="H95" s="441"/>
    </row>
    <row r="96" spans="2:8" ht="15.75" x14ac:dyDescent="0.25">
      <c r="B96" s="440">
        <v>44970</v>
      </c>
      <c r="C96" s="441">
        <v>7</v>
      </c>
      <c r="D96" s="441">
        <v>64</v>
      </c>
      <c r="E96" s="441" t="s">
        <v>30</v>
      </c>
      <c r="F96" s="441"/>
      <c r="G96" s="442"/>
      <c r="H96" s="441"/>
    </row>
    <row r="97" spans="2:8" ht="15.75" x14ac:dyDescent="0.25">
      <c r="B97" s="440">
        <v>44971</v>
      </c>
      <c r="C97" s="441">
        <v>7</v>
      </c>
      <c r="D97" s="441">
        <v>148</v>
      </c>
      <c r="E97" s="441" t="s">
        <v>31</v>
      </c>
      <c r="F97" s="441"/>
      <c r="G97" s="442"/>
      <c r="H97" s="441"/>
    </row>
    <row r="98" spans="2:8" ht="15.75" x14ac:dyDescent="0.25">
      <c r="B98" s="440">
        <v>44971</v>
      </c>
      <c r="C98" s="441">
        <v>7</v>
      </c>
      <c r="D98" s="441">
        <v>43</v>
      </c>
      <c r="E98" s="441" t="s">
        <v>28</v>
      </c>
      <c r="F98" s="441"/>
      <c r="G98" s="442"/>
      <c r="H98" s="441">
        <f>+D98+D97+D96+D95</f>
        <v>760</v>
      </c>
    </row>
    <row r="99" spans="2:8" ht="15.75" x14ac:dyDescent="0.25">
      <c r="B99" s="499">
        <v>44977</v>
      </c>
      <c r="C99" s="500">
        <v>8</v>
      </c>
      <c r="D99" s="500">
        <v>540</v>
      </c>
      <c r="E99" s="500" t="s">
        <v>29</v>
      </c>
      <c r="F99" s="500"/>
      <c r="G99" s="501"/>
      <c r="H99" s="500"/>
    </row>
    <row r="100" spans="2:8" ht="15.75" x14ac:dyDescent="0.25">
      <c r="B100" s="499">
        <v>44977</v>
      </c>
      <c r="C100" s="500">
        <v>8</v>
      </c>
      <c r="D100" s="500">
        <v>63</v>
      </c>
      <c r="E100" s="500" t="s">
        <v>30</v>
      </c>
      <c r="F100" s="500"/>
      <c r="G100" s="501"/>
      <c r="H100" s="500"/>
    </row>
    <row r="101" spans="2:8" ht="15.75" x14ac:dyDescent="0.25">
      <c r="B101" s="499">
        <v>44978</v>
      </c>
      <c r="C101" s="500">
        <v>8</v>
      </c>
      <c r="D101" s="500">
        <v>159</v>
      </c>
      <c r="E101" s="500" t="s">
        <v>31</v>
      </c>
      <c r="F101" s="500"/>
      <c r="G101" s="501"/>
      <c r="H101" s="500"/>
    </row>
    <row r="102" spans="2:8" ht="15.75" x14ac:dyDescent="0.25">
      <c r="B102" s="499">
        <v>44978</v>
      </c>
      <c r="C102" s="500">
        <v>8</v>
      </c>
      <c r="D102" s="500">
        <v>38</v>
      </c>
      <c r="E102" s="500" t="s">
        <v>28</v>
      </c>
      <c r="F102" s="500"/>
      <c r="G102" s="501"/>
      <c r="H102" s="500">
        <f>+D102+D101+D100+D99</f>
        <v>800</v>
      </c>
    </row>
    <row r="103" spans="2:8" ht="15.75" x14ac:dyDescent="0.25">
      <c r="B103" s="514">
        <v>44984</v>
      </c>
      <c r="C103" s="425">
        <v>9</v>
      </c>
      <c r="D103" s="425">
        <v>604</v>
      </c>
      <c r="E103" s="425" t="s">
        <v>29</v>
      </c>
      <c r="F103" s="425"/>
      <c r="G103" s="426"/>
      <c r="H103" s="425"/>
    </row>
    <row r="104" spans="2:8" ht="15.75" x14ac:dyDescent="0.25">
      <c r="B104" s="514">
        <v>44984</v>
      </c>
      <c r="C104" s="425">
        <v>9</v>
      </c>
      <c r="D104" s="425">
        <v>70</v>
      </c>
      <c r="E104" s="425" t="s">
        <v>30</v>
      </c>
      <c r="F104" s="425"/>
      <c r="G104" s="426"/>
      <c r="H104" s="425">
        <f>+D104+D103</f>
        <v>674</v>
      </c>
    </row>
    <row r="105" spans="2:8" ht="15.75" x14ac:dyDescent="0.25">
      <c r="B105" s="502">
        <v>44992</v>
      </c>
      <c r="C105" s="493">
        <v>10</v>
      </c>
      <c r="D105" s="493">
        <v>5</v>
      </c>
      <c r="E105" s="493" t="s">
        <v>237</v>
      </c>
      <c r="F105" s="493"/>
      <c r="G105" s="494"/>
      <c r="H105" s="494"/>
    </row>
    <row r="106" spans="2:8" ht="15.75" x14ac:dyDescent="0.25">
      <c r="B106" s="502">
        <v>44992</v>
      </c>
      <c r="C106" s="493">
        <v>10</v>
      </c>
      <c r="D106" s="493">
        <v>13</v>
      </c>
      <c r="E106" s="493" t="s">
        <v>254</v>
      </c>
      <c r="F106" s="493"/>
      <c r="G106" s="494"/>
      <c r="H106" s="494"/>
    </row>
    <row r="107" spans="2:8" ht="15.75" x14ac:dyDescent="0.25">
      <c r="B107" s="502">
        <v>44992</v>
      </c>
      <c r="C107" s="493">
        <v>10</v>
      </c>
      <c r="D107" s="493">
        <v>88</v>
      </c>
      <c r="E107" s="493" t="s">
        <v>28</v>
      </c>
      <c r="F107" s="493"/>
      <c r="G107" s="494"/>
      <c r="H107" s="494"/>
    </row>
    <row r="108" spans="2:8" ht="15.75" x14ac:dyDescent="0.25">
      <c r="B108" s="502">
        <v>44992</v>
      </c>
      <c r="C108" s="493">
        <v>10</v>
      </c>
      <c r="D108" s="493">
        <v>324</v>
      </c>
      <c r="E108" s="493" t="s">
        <v>31</v>
      </c>
      <c r="F108" s="493"/>
      <c r="G108" s="494"/>
      <c r="H108" s="494"/>
    </row>
    <row r="109" spans="2:8" ht="15.75" x14ac:dyDescent="0.25">
      <c r="B109" s="502">
        <v>44993</v>
      </c>
      <c r="C109" s="493">
        <v>10</v>
      </c>
      <c r="D109" s="493">
        <v>86</v>
      </c>
      <c r="E109" s="493" t="s">
        <v>30</v>
      </c>
      <c r="F109" s="493"/>
      <c r="G109" s="494"/>
      <c r="H109" s="494"/>
    </row>
    <row r="110" spans="2:8" ht="15.75" x14ac:dyDescent="0.25">
      <c r="B110" s="502">
        <v>44993</v>
      </c>
      <c r="C110" s="493">
        <v>10</v>
      </c>
      <c r="D110" s="493">
        <v>604</v>
      </c>
      <c r="E110" s="493" t="s">
        <v>29</v>
      </c>
      <c r="F110" s="493"/>
      <c r="G110" s="494"/>
      <c r="H110" s="494"/>
    </row>
    <row r="111" spans="2:8" ht="15.75" x14ac:dyDescent="0.25">
      <c r="B111" s="502">
        <v>44993</v>
      </c>
      <c r="C111" s="493">
        <v>10</v>
      </c>
      <c r="D111" s="493">
        <v>50</v>
      </c>
      <c r="E111" s="493" t="s">
        <v>90</v>
      </c>
      <c r="F111" s="493"/>
      <c r="G111" s="494"/>
      <c r="H111" s="493">
        <f>+D111+D110+D109+D108+D107+D106+D105</f>
        <v>1170</v>
      </c>
    </row>
    <row r="112" spans="2:8" ht="15.75" x14ac:dyDescent="0.25">
      <c r="B112" s="503">
        <v>44999</v>
      </c>
      <c r="C112" s="411">
        <v>11</v>
      </c>
      <c r="D112" s="411">
        <v>567</v>
      </c>
      <c r="E112" s="411" t="s">
        <v>29</v>
      </c>
      <c r="F112" s="411"/>
      <c r="G112" s="412"/>
      <c r="H112" s="412"/>
    </row>
    <row r="113" spans="2:8" ht="15.75" x14ac:dyDescent="0.25">
      <c r="B113" s="503">
        <v>44999</v>
      </c>
      <c r="C113" s="411">
        <v>11</v>
      </c>
      <c r="D113" s="411">
        <v>103</v>
      </c>
      <c r="E113" s="411" t="s">
        <v>30</v>
      </c>
      <c r="F113" s="411"/>
      <c r="G113" s="412"/>
      <c r="H113" s="412"/>
    </row>
    <row r="114" spans="2:8" ht="15.75" x14ac:dyDescent="0.25">
      <c r="B114" s="503">
        <v>45000</v>
      </c>
      <c r="C114" s="411">
        <v>11</v>
      </c>
      <c r="D114" s="411">
        <f>208-3</f>
        <v>205</v>
      </c>
      <c r="E114" s="411" t="s">
        <v>31</v>
      </c>
      <c r="F114" s="411"/>
      <c r="G114" s="412"/>
      <c r="H114" s="412"/>
    </row>
    <row r="115" spans="2:8" ht="15.75" x14ac:dyDescent="0.25">
      <c r="B115" s="503">
        <v>45000</v>
      </c>
      <c r="C115" s="411">
        <v>11</v>
      </c>
      <c r="D115" s="411">
        <v>6</v>
      </c>
      <c r="E115" s="411" t="s">
        <v>237</v>
      </c>
      <c r="F115" s="411"/>
      <c r="G115" s="412"/>
      <c r="H115" s="412"/>
    </row>
    <row r="116" spans="2:8" ht="15.75" x14ac:dyDescent="0.25">
      <c r="B116" s="503">
        <v>45000</v>
      </c>
      <c r="C116" s="411">
        <v>11</v>
      </c>
      <c r="D116" s="411">
        <v>62</v>
      </c>
      <c r="E116" s="411" t="s">
        <v>28</v>
      </c>
      <c r="F116" s="411"/>
      <c r="G116" s="412"/>
      <c r="H116" s="411">
        <f>+D116+D115+D114+D113+D112</f>
        <v>943</v>
      </c>
    </row>
    <row r="117" spans="2:8" ht="15.75" x14ac:dyDescent="0.25">
      <c r="B117" s="440">
        <v>45006</v>
      </c>
      <c r="C117" s="441">
        <v>12</v>
      </c>
      <c r="D117" s="441">
        <v>10</v>
      </c>
      <c r="E117" s="441" t="s">
        <v>254</v>
      </c>
      <c r="F117" s="441"/>
      <c r="G117" s="442"/>
      <c r="H117" s="442"/>
    </row>
    <row r="118" spans="2:8" ht="15.75" x14ac:dyDescent="0.25">
      <c r="B118" s="440">
        <v>45006</v>
      </c>
      <c r="C118" s="441">
        <v>12</v>
      </c>
      <c r="D118" s="441">
        <f>454-10</f>
        <v>444</v>
      </c>
      <c r="E118" s="441" t="s">
        <v>29</v>
      </c>
      <c r="F118" s="441"/>
      <c r="G118" s="442"/>
      <c r="H118" s="442"/>
    </row>
    <row r="119" spans="2:8" ht="15.75" x14ac:dyDescent="0.25">
      <c r="B119" s="440">
        <v>45006</v>
      </c>
      <c r="C119" s="441">
        <v>12</v>
      </c>
      <c r="D119" s="441">
        <v>66</v>
      </c>
      <c r="E119" s="441" t="s">
        <v>30</v>
      </c>
      <c r="F119" s="441"/>
      <c r="G119" s="442"/>
      <c r="H119" s="442"/>
    </row>
    <row r="120" spans="2:8" ht="15.75" x14ac:dyDescent="0.25">
      <c r="B120" s="440">
        <v>45007</v>
      </c>
      <c r="C120" s="441">
        <v>12</v>
      </c>
      <c r="D120" s="441">
        <v>64</v>
      </c>
      <c r="E120" s="441" t="s">
        <v>28</v>
      </c>
      <c r="F120" s="441"/>
      <c r="G120" s="442"/>
      <c r="H120" s="442"/>
    </row>
    <row r="121" spans="2:8" ht="15.75" x14ac:dyDescent="0.25">
      <c r="B121" s="440">
        <v>45007</v>
      </c>
      <c r="C121" s="441">
        <v>12</v>
      </c>
      <c r="D121" s="441">
        <v>145</v>
      </c>
      <c r="E121" s="441" t="s">
        <v>31</v>
      </c>
      <c r="F121" s="441"/>
      <c r="G121" s="442"/>
      <c r="H121" s="442"/>
    </row>
    <row r="122" spans="2:8" ht="15.75" x14ac:dyDescent="0.25">
      <c r="B122" s="440">
        <v>45007</v>
      </c>
      <c r="C122" s="441">
        <v>12</v>
      </c>
      <c r="D122" s="441">
        <v>5</v>
      </c>
      <c r="E122" s="441" t="s">
        <v>237</v>
      </c>
      <c r="F122" s="441"/>
      <c r="G122" s="442"/>
      <c r="H122" s="442"/>
    </row>
    <row r="123" spans="2:8" ht="15.75" x14ac:dyDescent="0.25">
      <c r="B123" s="440">
        <v>45007</v>
      </c>
      <c r="C123" s="441">
        <v>12</v>
      </c>
      <c r="D123" s="441">
        <v>50</v>
      </c>
      <c r="E123" s="441" t="s">
        <v>90</v>
      </c>
      <c r="F123" s="441"/>
      <c r="G123" s="442"/>
      <c r="H123" s="441">
        <f>+D123+D122+D121+D120+D119+D118+D117+D116</f>
        <v>846</v>
      </c>
    </row>
    <row r="124" spans="2:8" ht="15.75" x14ac:dyDescent="0.25">
      <c r="B124" s="523">
        <v>45013</v>
      </c>
      <c r="C124" s="421">
        <v>13</v>
      </c>
      <c r="D124" s="421">
        <v>514</v>
      </c>
      <c r="E124" s="421" t="s">
        <v>29</v>
      </c>
      <c r="F124" s="421"/>
      <c r="G124" s="422"/>
      <c r="H124" s="421"/>
    </row>
    <row r="125" spans="2:8" ht="15.75" x14ac:dyDescent="0.25">
      <c r="B125" s="523">
        <v>45013</v>
      </c>
      <c r="C125" s="421">
        <v>13</v>
      </c>
      <c r="D125" s="421">
        <v>105</v>
      </c>
      <c r="E125" s="421" t="s">
        <v>30</v>
      </c>
      <c r="F125" s="421"/>
      <c r="G125" s="422"/>
      <c r="H125" s="421"/>
    </row>
    <row r="126" spans="2:8" ht="15.75" x14ac:dyDescent="0.25">
      <c r="B126" s="523">
        <v>45014</v>
      </c>
      <c r="C126" s="421">
        <v>13</v>
      </c>
      <c r="D126" s="421">
        <v>81</v>
      </c>
      <c r="E126" s="421" t="s">
        <v>28</v>
      </c>
      <c r="F126" s="421"/>
      <c r="G126" s="422"/>
      <c r="H126" s="421"/>
    </row>
    <row r="127" spans="2:8" ht="15.75" x14ac:dyDescent="0.25">
      <c r="B127" s="523">
        <v>45014</v>
      </c>
      <c r="C127" s="421">
        <v>13</v>
      </c>
      <c r="D127" s="421">
        <v>199</v>
      </c>
      <c r="E127" s="421" t="s">
        <v>31</v>
      </c>
      <c r="F127" s="421"/>
      <c r="G127" s="422"/>
      <c r="H127" s="421"/>
    </row>
    <row r="128" spans="2:8" ht="15.75" x14ac:dyDescent="0.25">
      <c r="B128" s="523">
        <v>45014</v>
      </c>
      <c r="C128" s="421">
        <v>13</v>
      </c>
      <c r="D128" s="421"/>
      <c r="E128" s="421" t="s">
        <v>237</v>
      </c>
      <c r="F128" s="421"/>
      <c r="G128" s="422"/>
      <c r="H128" s="421">
        <f>+D128+D127+D126+D125+D124</f>
        <v>899</v>
      </c>
    </row>
    <row r="129" spans="2:8" ht="15.75" x14ac:dyDescent="0.25">
      <c r="B129" s="520">
        <v>45019</v>
      </c>
      <c r="C129" s="521">
        <v>14</v>
      </c>
      <c r="D129" s="521">
        <v>144</v>
      </c>
      <c r="E129" s="521" t="s">
        <v>29</v>
      </c>
      <c r="F129" s="521"/>
      <c r="G129" s="522"/>
      <c r="H129" s="521"/>
    </row>
    <row r="130" spans="2:8" ht="15.75" x14ac:dyDescent="0.25">
      <c r="B130" s="520">
        <v>45019</v>
      </c>
      <c r="C130" s="521">
        <v>14</v>
      </c>
      <c r="D130" s="521">
        <v>44</v>
      </c>
      <c r="E130" s="521" t="s">
        <v>31</v>
      </c>
      <c r="F130" s="521"/>
      <c r="G130" s="522"/>
      <c r="H130" s="521">
        <f>+D130+D129</f>
        <v>188</v>
      </c>
    </row>
    <row r="131" spans="2:8" ht="15.75" x14ac:dyDescent="0.25">
      <c r="B131" s="524">
        <v>45027</v>
      </c>
      <c r="C131" s="525">
        <v>15</v>
      </c>
      <c r="D131" s="525">
        <f>47+29</f>
        <v>76</v>
      </c>
      <c r="E131" s="525" t="s">
        <v>29</v>
      </c>
      <c r="F131" s="525"/>
      <c r="G131" s="526"/>
      <c r="H131" s="525"/>
    </row>
    <row r="132" spans="2:8" ht="15.75" x14ac:dyDescent="0.25">
      <c r="B132" s="524">
        <v>45027</v>
      </c>
      <c r="C132" s="525">
        <v>15</v>
      </c>
      <c r="D132" s="525">
        <v>40</v>
      </c>
      <c r="E132" s="525" t="s">
        <v>90</v>
      </c>
      <c r="F132" s="525"/>
      <c r="G132" s="526"/>
      <c r="H132" s="525"/>
    </row>
    <row r="133" spans="2:8" ht="15.75" x14ac:dyDescent="0.25">
      <c r="B133" s="524">
        <v>45027</v>
      </c>
      <c r="C133" s="525">
        <v>15</v>
      </c>
      <c r="D133" s="525">
        <v>83</v>
      </c>
      <c r="E133" s="525" t="s">
        <v>28</v>
      </c>
      <c r="F133" s="525"/>
      <c r="G133" s="526"/>
      <c r="H133" s="525"/>
    </row>
    <row r="134" spans="2:8" ht="15.75" x14ac:dyDescent="0.25">
      <c r="B134" s="524">
        <v>45027</v>
      </c>
      <c r="C134" s="525">
        <v>15</v>
      </c>
      <c r="D134" s="525">
        <v>11</v>
      </c>
      <c r="E134" s="525" t="s">
        <v>254</v>
      </c>
      <c r="F134" s="525"/>
      <c r="G134" s="526"/>
      <c r="H134" s="525"/>
    </row>
    <row r="135" spans="2:8" ht="15.75" x14ac:dyDescent="0.25">
      <c r="B135" s="524">
        <v>45028</v>
      </c>
      <c r="C135" s="525">
        <v>15</v>
      </c>
      <c r="D135" s="525">
        <v>42</v>
      </c>
      <c r="E135" s="525" t="s">
        <v>90</v>
      </c>
      <c r="F135" s="525"/>
      <c r="G135" s="526"/>
      <c r="H135" s="525"/>
    </row>
    <row r="136" spans="2:8" ht="15.75" x14ac:dyDescent="0.25">
      <c r="B136" s="524">
        <v>45028</v>
      </c>
      <c r="C136" s="525">
        <v>15</v>
      </c>
      <c r="D136" s="525">
        <v>92</v>
      </c>
      <c r="E136" s="525" t="s">
        <v>30</v>
      </c>
      <c r="F136" s="525"/>
      <c r="G136" s="526"/>
      <c r="H136" s="525"/>
    </row>
    <row r="137" spans="2:8" ht="15.75" x14ac:dyDescent="0.25">
      <c r="B137" s="524">
        <v>45028</v>
      </c>
      <c r="C137" s="525">
        <v>15</v>
      </c>
      <c r="D137" s="525">
        <v>325</v>
      </c>
      <c r="E137" s="525" t="s">
        <v>31</v>
      </c>
      <c r="F137" s="525"/>
      <c r="G137" s="526"/>
      <c r="H137" s="525"/>
    </row>
    <row r="138" spans="2:8" ht="15.75" x14ac:dyDescent="0.25">
      <c r="B138" s="524">
        <v>45028</v>
      </c>
      <c r="C138" s="525">
        <v>15</v>
      </c>
      <c r="D138" s="525">
        <v>6</v>
      </c>
      <c r="E138" s="525" t="s">
        <v>237</v>
      </c>
      <c r="F138" s="525"/>
      <c r="G138" s="526"/>
      <c r="H138" s="525">
        <f>+D138+D137+D136+D135+D134+D133+D132+D131</f>
        <v>675</v>
      </c>
    </row>
    <row r="139" spans="2:8" ht="15.75" x14ac:dyDescent="0.25">
      <c r="B139" s="503">
        <v>45034</v>
      </c>
      <c r="C139" s="411">
        <v>16</v>
      </c>
      <c r="D139" s="411">
        <f>110+119+2</f>
        <v>231</v>
      </c>
      <c r="E139" s="519" t="s">
        <v>29</v>
      </c>
      <c r="F139" s="527" t="s">
        <v>262</v>
      </c>
      <c r="G139" s="412"/>
      <c r="H139" s="411"/>
    </row>
    <row r="140" spans="2:8" ht="15.75" x14ac:dyDescent="0.25">
      <c r="B140" s="503">
        <v>45034</v>
      </c>
      <c r="C140" s="411">
        <v>16</v>
      </c>
      <c r="D140" s="411">
        <v>10</v>
      </c>
      <c r="E140" s="519" t="s">
        <v>258</v>
      </c>
      <c r="F140" s="411"/>
      <c r="G140" s="412"/>
      <c r="H140" s="411"/>
    </row>
    <row r="141" spans="2:8" ht="15.75" x14ac:dyDescent="0.25">
      <c r="B141" s="503">
        <v>45034</v>
      </c>
      <c r="C141" s="411">
        <v>16</v>
      </c>
      <c r="D141" s="411">
        <v>62</v>
      </c>
      <c r="E141" s="519" t="s">
        <v>30</v>
      </c>
      <c r="F141" s="411"/>
      <c r="G141" s="412"/>
      <c r="H141" s="411"/>
    </row>
    <row r="142" spans="2:8" ht="15.75" x14ac:dyDescent="0.25">
      <c r="B142" s="503">
        <v>45035</v>
      </c>
      <c r="C142" s="411">
        <v>16</v>
      </c>
      <c r="D142" s="411">
        <v>58</v>
      </c>
      <c r="E142" s="519" t="s">
        <v>28</v>
      </c>
      <c r="F142" s="411"/>
      <c r="G142" s="412"/>
      <c r="H142" s="411"/>
    </row>
    <row r="143" spans="2:8" ht="15.75" x14ac:dyDescent="0.25">
      <c r="B143" s="503">
        <v>45035</v>
      </c>
      <c r="C143" s="411">
        <v>16</v>
      </c>
      <c r="D143" s="411">
        <v>255</v>
      </c>
      <c r="E143" s="519" t="s">
        <v>31</v>
      </c>
      <c r="F143" s="411"/>
      <c r="G143" s="412"/>
      <c r="H143" s="411"/>
    </row>
    <row r="144" spans="2:8" ht="15.75" x14ac:dyDescent="0.25">
      <c r="B144" s="503">
        <v>45035</v>
      </c>
      <c r="C144" s="411">
        <v>16</v>
      </c>
      <c r="D144" s="411">
        <v>9</v>
      </c>
      <c r="E144" s="519" t="s">
        <v>237</v>
      </c>
      <c r="F144" s="411"/>
      <c r="G144" s="412"/>
      <c r="H144" s="411">
        <f>+D144+D143+D142+D141+D140+D139</f>
        <v>625</v>
      </c>
    </row>
    <row r="145" spans="2:8" ht="15.75" x14ac:dyDescent="0.25">
      <c r="B145" s="440">
        <v>45041</v>
      </c>
      <c r="C145" s="441">
        <v>17</v>
      </c>
      <c r="D145" s="441">
        <v>206</v>
      </c>
      <c r="E145" s="441" t="s">
        <v>29</v>
      </c>
      <c r="F145" s="441"/>
      <c r="G145" s="442"/>
      <c r="H145" s="441"/>
    </row>
    <row r="146" spans="2:8" ht="15.75" x14ac:dyDescent="0.25">
      <c r="B146" s="440">
        <v>45041</v>
      </c>
      <c r="C146" s="441">
        <v>17</v>
      </c>
      <c r="D146" s="441">
        <v>0</v>
      </c>
      <c r="E146" s="441" t="s">
        <v>258</v>
      </c>
      <c r="F146" s="441"/>
      <c r="G146" s="442"/>
      <c r="H146" s="441"/>
    </row>
    <row r="147" spans="2:8" ht="15.75" x14ac:dyDescent="0.25">
      <c r="B147" s="440">
        <v>45041</v>
      </c>
      <c r="C147" s="441">
        <v>17</v>
      </c>
      <c r="D147" s="441">
        <v>55</v>
      </c>
      <c r="E147" s="441" t="s">
        <v>30</v>
      </c>
      <c r="F147" s="441"/>
      <c r="G147" s="442"/>
      <c r="H147" s="441"/>
    </row>
    <row r="148" spans="2:8" ht="15.75" x14ac:dyDescent="0.25">
      <c r="B148" s="440">
        <v>45042</v>
      </c>
      <c r="C148" s="441">
        <v>17</v>
      </c>
      <c r="D148" s="441">
        <v>48</v>
      </c>
      <c r="E148" s="441" t="s">
        <v>28</v>
      </c>
      <c r="F148" s="441"/>
      <c r="G148" s="442"/>
      <c r="H148" s="441"/>
    </row>
    <row r="149" spans="2:8" ht="15.75" x14ac:dyDescent="0.25">
      <c r="B149" s="440">
        <v>45042</v>
      </c>
      <c r="C149" s="441">
        <v>17</v>
      </c>
      <c r="D149" s="441">
        <v>79</v>
      </c>
      <c r="E149" s="441" t="s">
        <v>31</v>
      </c>
      <c r="F149" s="441"/>
      <c r="G149" s="442"/>
      <c r="H149" s="441"/>
    </row>
    <row r="150" spans="2:8" ht="15.75" x14ac:dyDescent="0.25">
      <c r="B150" s="440">
        <v>45042</v>
      </c>
      <c r="C150" s="441">
        <v>17</v>
      </c>
      <c r="D150" s="441">
        <v>2</v>
      </c>
      <c r="E150" s="441" t="s">
        <v>237</v>
      </c>
      <c r="F150" s="441"/>
      <c r="G150" s="442"/>
      <c r="H150" s="441"/>
    </row>
    <row r="151" spans="2:8" ht="15.75" x14ac:dyDescent="0.25">
      <c r="B151" s="440" t="s">
        <v>261</v>
      </c>
      <c r="C151" s="441">
        <v>17</v>
      </c>
      <c r="D151" s="441">
        <f>40+32</f>
        <v>72</v>
      </c>
      <c r="E151" s="441" t="s">
        <v>260</v>
      </c>
      <c r="F151" s="441"/>
      <c r="G151" s="442"/>
      <c r="H151" s="441">
        <f>+D151+D150+D149+D148+D147+D146+D145</f>
        <v>462</v>
      </c>
    </row>
    <row r="152" spans="2:8" ht="15.75" x14ac:dyDescent="0.25">
      <c r="B152" s="528">
        <v>45048</v>
      </c>
      <c r="C152" s="529">
        <v>18</v>
      </c>
      <c r="D152" s="529">
        <v>57</v>
      </c>
      <c r="E152" s="529" t="s">
        <v>30</v>
      </c>
      <c r="F152" s="529"/>
      <c r="G152" s="530"/>
      <c r="H152" s="529"/>
    </row>
    <row r="153" spans="2:8" ht="15.75" x14ac:dyDescent="0.25">
      <c r="B153" s="528">
        <v>45049</v>
      </c>
      <c r="C153" s="529">
        <v>18</v>
      </c>
      <c r="D153" s="529">
        <v>156</v>
      </c>
      <c r="E153" s="529" t="s">
        <v>31</v>
      </c>
      <c r="F153" s="529"/>
      <c r="G153" s="530"/>
      <c r="H153" s="529"/>
    </row>
    <row r="154" spans="2:8" ht="15.75" x14ac:dyDescent="0.25">
      <c r="B154" s="528">
        <v>45049</v>
      </c>
      <c r="C154" s="529">
        <v>18</v>
      </c>
      <c r="D154" s="529">
        <v>53</v>
      </c>
      <c r="E154" s="529" t="s">
        <v>28</v>
      </c>
      <c r="F154" s="529"/>
      <c r="G154" s="530"/>
      <c r="H154" s="529"/>
    </row>
    <row r="155" spans="2:8" ht="15.75" x14ac:dyDescent="0.25">
      <c r="B155" s="528">
        <v>45048</v>
      </c>
      <c r="C155" s="529">
        <v>18</v>
      </c>
      <c r="D155" s="529">
        <v>297</v>
      </c>
      <c r="E155" s="529" t="s">
        <v>29</v>
      </c>
      <c r="F155" s="529"/>
      <c r="G155" s="530"/>
      <c r="H155" s="529"/>
    </row>
    <row r="156" spans="2:8" ht="15.75" x14ac:dyDescent="0.25">
      <c r="B156" s="528">
        <v>45049</v>
      </c>
      <c r="C156" s="529">
        <v>18</v>
      </c>
      <c r="D156" s="529">
        <v>3</v>
      </c>
      <c r="E156" s="529" t="s">
        <v>237</v>
      </c>
      <c r="F156" s="529"/>
      <c r="G156" s="530"/>
      <c r="H156" s="529"/>
    </row>
    <row r="157" spans="2:8" ht="15.75" x14ac:dyDescent="0.25">
      <c r="B157" s="528">
        <v>45049</v>
      </c>
      <c r="C157" s="529">
        <v>18</v>
      </c>
      <c r="D157" s="529">
        <v>13</v>
      </c>
      <c r="E157" s="529" t="s">
        <v>254</v>
      </c>
      <c r="F157" s="529"/>
      <c r="G157" s="530"/>
      <c r="H157" s="529">
        <f>+D157+D156+D155+D154+D153+D152</f>
        <v>579</v>
      </c>
    </row>
    <row r="158" spans="2:8" ht="15.75" x14ac:dyDescent="0.25">
      <c r="B158" s="503">
        <v>45054</v>
      </c>
      <c r="C158" s="411">
        <v>19</v>
      </c>
      <c r="D158" s="411">
        <v>224</v>
      </c>
      <c r="E158" s="411" t="s">
        <v>151</v>
      </c>
      <c r="F158" s="411"/>
      <c r="G158" s="412"/>
      <c r="H158" s="411"/>
    </row>
    <row r="159" spans="2:8" ht="15.75" x14ac:dyDescent="0.25">
      <c r="B159" s="503">
        <v>45054</v>
      </c>
      <c r="C159" s="411">
        <v>19</v>
      </c>
      <c r="D159" s="411">
        <v>51</v>
      </c>
      <c r="E159" s="411" t="s">
        <v>154</v>
      </c>
      <c r="F159" s="411"/>
      <c r="G159" s="412"/>
      <c r="H159" s="411"/>
    </row>
    <row r="160" spans="2:8" ht="15.75" x14ac:dyDescent="0.25">
      <c r="B160" s="503">
        <v>45055</v>
      </c>
      <c r="C160" s="411">
        <v>19</v>
      </c>
      <c r="D160" s="411">
        <v>65</v>
      </c>
      <c r="E160" s="411" t="s">
        <v>158</v>
      </c>
      <c r="F160" s="411"/>
      <c r="G160" s="412"/>
      <c r="H160" s="411"/>
    </row>
    <row r="161" spans="2:8" ht="15.75" x14ac:dyDescent="0.25">
      <c r="B161" s="503">
        <v>45055</v>
      </c>
      <c r="C161" s="411">
        <v>19</v>
      </c>
      <c r="D161" s="411">
        <f>58-46</f>
        <v>12</v>
      </c>
      <c r="E161" s="411" t="s">
        <v>156</v>
      </c>
      <c r="F161" s="527" t="s">
        <v>264</v>
      </c>
      <c r="G161" s="412"/>
      <c r="H161" s="411"/>
    </row>
    <row r="162" spans="2:8" ht="15.75" x14ac:dyDescent="0.25">
      <c r="B162" s="503">
        <v>45055</v>
      </c>
      <c r="C162" s="411">
        <v>19</v>
      </c>
      <c r="D162" s="411">
        <v>0</v>
      </c>
      <c r="E162" s="411" t="s">
        <v>90</v>
      </c>
      <c r="F162" s="411"/>
      <c r="G162" s="412"/>
      <c r="H162" s="411"/>
    </row>
    <row r="163" spans="2:8" ht="15.75" x14ac:dyDescent="0.25">
      <c r="B163" s="503">
        <v>45055</v>
      </c>
      <c r="C163" s="411">
        <v>19</v>
      </c>
      <c r="D163" s="411">
        <v>3</v>
      </c>
      <c r="E163" s="411" t="s">
        <v>237</v>
      </c>
      <c r="F163" s="411"/>
      <c r="G163" s="412"/>
      <c r="H163" s="411"/>
    </row>
    <row r="164" spans="2:8" ht="15.75" x14ac:dyDescent="0.25">
      <c r="B164" s="503">
        <v>45055</v>
      </c>
      <c r="C164" s="411">
        <v>19</v>
      </c>
      <c r="D164" s="411">
        <v>0</v>
      </c>
      <c r="E164" s="411" t="s">
        <v>254</v>
      </c>
      <c r="F164" s="411"/>
      <c r="G164" s="412"/>
      <c r="H164" s="411">
        <f>+D164+D163+D162+D161+D160+D159+D158</f>
        <v>355</v>
      </c>
    </row>
    <row r="165" spans="2:8" ht="15.75" x14ac:dyDescent="0.25">
      <c r="B165" s="503">
        <v>45055</v>
      </c>
      <c r="C165" s="411">
        <v>19</v>
      </c>
      <c r="D165" s="411">
        <v>100</v>
      </c>
      <c r="E165" s="411" t="s">
        <v>158</v>
      </c>
      <c r="F165" s="411"/>
      <c r="G165" s="411" t="s">
        <v>263</v>
      </c>
      <c r="H165" s="411"/>
    </row>
    <row r="166" spans="2:8" ht="15.75" x14ac:dyDescent="0.25">
      <c r="B166" s="481">
        <v>45062</v>
      </c>
      <c r="C166" s="482">
        <v>20</v>
      </c>
      <c r="D166" s="482">
        <v>120</v>
      </c>
      <c r="E166" s="482" t="s">
        <v>151</v>
      </c>
      <c r="F166" s="482"/>
      <c r="G166" s="482" t="s">
        <v>263</v>
      </c>
      <c r="H166" s="482"/>
    </row>
    <row r="167" spans="2:8" ht="15.75" x14ac:dyDescent="0.25">
      <c r="B167" s="481">
        <v>45062</v>
      </c>
      <c r="C167" s="482">
        <v>20</v>
      </c>
      <c r="D167" s="482">
        <v>40</v>
      </c>
      <c r="E167" s="482" t="s">
        <v>90</v>
      </c>
      <c r="F167" s="482"/>
      <c r="G167" s="482" t="s">
        <v>263</v>
      </c>
      <c r="H167" s="482"/>
    </row>
    <row r="168" spans="2:8" ht="15.75" x14ac:dyDescent="0.25">
      <c r="B168" s="481">
        <v>45062</v>
      </c>
      <c r="C168" s="482">
        <v>20</v>
      </c>
      <c r="D168" s="482">
        <v>71</v>
      </c>
      <c r="E168" s="482" t="s">
        <v>151</v>
      </c>
      <c r="F168" s="482" t="s">
        <v>265</v>
      </c>
      <c r="G168" s="483"/>
      <c r="H168" s="482"/>
    </row>
    <row r="169" spans="2:8" ht="15.75" x14ac:dyDescent="0.25">
      <c r="B169" s="481">
        <v>45062</v>
      </c>
      <c r="C169" s="482">
        <v>20</v>
      </c>
      <c r="D169" s="482">
        <v>43</v>
      </c>
      <c r="E169" s="482" t="s">
        <v>154</v>
      </c>
      <c r="F169" s="482" t="s">
        <v>265</v>
      </c>
      <c r="G169" s="483"/>
      <c r="H169" s="482"/>
    </row>
    <row r="170" spans="2:8" ht="15.75" x14ac:dyDescent="0.25">
      <c r="B170" s="481">
        <v>45063</v>
      </c>
      <c r="C170" s="482">
        <v>20</v>
      </c>
      <c r="D170" s="482">
        <v>4</v>
      </c>
      <c r="E170" s="482" t="s">
        <v>237</v>
      </c>
      <c r="F170" s="482" t="s">
        <v>265</v>
      </c>
      <c r="G170" s="483"/>
      <c r="H170" s="482"/>
    </row>
    <row r="171" spans="2:8" ht="15.75" x14ac:dyDescent="0.25">
      <c r="B171" s="481">
        <v>45063</v>
      </c>
      <c r="C171" s="482">
        <v>20</v>
      </c>
      <c r="D171" s="482">
        <v>158</v>
      </c>
      <c r="E171" s="482" t="s">
        <v>31</v>
      </c>
      <c r="F171" s="482" t="s">
        <v>265</v>
      </c>
      <c r="G171" s="483"/>
      <c r="H171" s="482"/>
    </row>
    <row r="172" spans="2:8" ht="15.75" x14ac:dyDescent="0.25">
      <c r="B172" s="481">
        <v>45063</v>
      </c>
      <c r="C172" s="482">
        <v>20</v>
      </c>
      <c r="D172" s="482">
        <v>42</v>
      </c>
      <c r="E172" s="482" t="s">
        <v>28</v>
      </c>
      <c r="F172" s="482" t="s">
        <v>265</v>
      </c>
      <c r="G172" s="483">
        <f>+D167+D166</f>
        <v>160</v>
      </c>
      <c r="H172" s="482">
        <f>+D172+D171+D170+D169+D168</f>
        <v>318</v>
      </c>
    </row>
    <row r="173" spans="2:8" ht="15.75" x14ac:dyDescent="0.25">
      <c r="B173" s="503"/>
      <c r="C173" s="411"/>
      <c r="D173" s="411"/>
      <c r="E173" s="411"/>
      <c r="F173" s="411"/>
      <c r="G173" s="412"/>
      <c r="H173" s="411"/>
    </row>
    <row r="174" spans="2:8" ht="15.75" x14ac:dyDescent="0.25">
      <c r="B174" s="503"/>
      <c r="C174" s="411"/>
      <c r="D174" s="411"/>
      <c r="E174" s="411"/>
      <c r="F174" s="411"/>
      <c r="G174" s="412"/>
      <c r="H174" s="411"/>
    </row>
    <row r="175" spans="2:8" ht="15.75" x14ac:dyDescent="0.25">
      <c r="B175" s="503"/>
      <c r="C175" s="411"/>
      <c r="D175" s="411"/>
      <c r="E175" s="411"/>
      <c r="F175" s="411"/>
      <c r="G175" s="412"/>
      <c r="H175" s="411"/>
    </row>
    <row r="176" spans="2:8" ht="15.75" x14ac:dyDescent="0.25">
      <c r="B176" s="503"/>
      <c r="C176" s="411"/>
      <c r="D176" s="411"/>
      <c r="E176" s="411"/>
      <c r="F176" s="411"/>
      <c r="G176" s="412"/>
      <c r="H176" s="412"/>
    </row>
    <row r="177" spans="2:8" ht="15.75" x14ac:dyDescent="0.25">
      <c r="B177" s="503"/>
      <c r="C177" s="411"/>
      <c r="D177" s="411"/>
      <c r="E177" s="411"/>
      <c r="F177" s="411"/>
      <c r="G177" s="412"/>
      <c r="H177" s="412"/>
    </row>
    <row r="178" spans="2:8" ht="15.75" x14ac:dyDescent="0.25">
      <c r="B178" s="503"/>
      <c r="C178" s="411"/>
      <c r="D178" s="411"/>
      <c r="E178" s="411"/>
      <c r="F178" s="411"/>
      <c r="G178" s="412"/>
      <c r="H178" s="412"/>
    </row>
    <row r="179" spans="2:8" ht="15.75" x14ac:dyDescent="0.25">
      <c r="B179" s="503"/>
      <c r="C179" s="411"/>
      <c r="D179" s="411"/>
      <c r="E179" s="411"/>
      <c r="F179" s="411"/>
      <c r="G179" s="412"/>
      <c r="H179" s="412"/>
    </row>
    <row r="180" spans="2:8" ht="15.75" x14ac:dyDescent="0.25">
      <c r="B180" s="503"/>
      <c r="C180" s="411"/>
      <c r="D180" s="411"/>
      <c r="E180" s="411"/>
      <c r="F180" s="411"/>
      <c r="G180" s="412"/>
      <c r="H180" s="412"/>
    </row>
    <row r="181" spans="2:8" s="419" customFormat="1" ht="18.75" x14ac:dyDescent="0.3">
      <c r="B181" s="504"/>
      <c r="C181" s="417"/>
      <c r="D181" s="417"/>
      <c r="E181" s="417"/>
      <c r="F181" s="417">
        <f>SUM(F4:F110)</f>
        <v>8875</v>
      </c>
      <c r="G181" s="418"/>
      <c r="H181" s="418">
        <f>SUM(H4:H110)</f>
        <v>12881</v>
      </c>
    </row>
    <row r="182" spans="2:8" x14ac:dyDescent="0.25">
      <c r="B182" s="160"/>
      <c r="C182" s="160"/>
      <c r="D182" s="160"/>
      <c r="E182" s="160"/>
      <c r="F182" s="160"/>
    </row>
    <row r="183" spans="2:8" x14ac:dyDescent="0.25">
      <c r="B183" s="160"/>
      <c r="C183" s="160"/>
      <c r="D183" s="160"/>
      <c r="E183" s="160"/>
      <c r="F183" s="160"/>
    </row>
    <row r="184" spans="2:8" x14ac:dyDescent="0.25">
      <c r="B184" s="160"/>
      <c r="C184" s="160"/>
      <c r="D184" s="160"/>
      <c r="E184" s="160"/>
      <c r="F184" s="160"/>
    </row>
    <row r="185" spans="2:8" x14ac:dyDescent="0.25">
      <c r="B185" s="160"/>
      <c r="C185" s="160"/>
      <c r="D185" s="160"/>
      <c r="E185" s="160"/>
      <c r="F185" s="160"/>
    </row>
    <row r="186" spans="2:8" x14ac:dyDescent="0.25">
      <c r="B186" s="160"/>
      <c r="C186" s="160"/>
      <c r="D186" s="160"/>
      <c r="E186" s="160"/>
      <c r="F186" s="160"/>
    </row>
    <row r="187" spans="2:8" x14ac:dyDescent="0.25">
      <c r="B187" s="160"/>
      <c r="C187" s="160"/>
      <c r="D187" s="160"/>
      <c r="E187" s="160"/>
      <c r="F187" s="160"/>
    </row>
    <row r="188" spans="2:8" x14ac:dyDescent="0.25">
      <c r="B188" s="160"/>
      <c r="C188" s="160"/>
      <c r="D188" s="160"/>
      <c r="E188" s="160"/>
      <c r="F188" s="160"/>
    </row>
  </sheetData>
  <autoFilter ref="B3:H82" xr:uid="{11A87E1E-9600-4099-90E2-068866A9D873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60F7-D0C8-438A-AA4E-67C433DFCE6A}">
  <dimension ref="A2:Q85"/>
  <sheetViews>
    <sheetView topLeftCell="A43" workbookViewId="0">
      <selection activeCell="J70" sqref="J70"/>
    </sheetView>
  </sheetViews>
  <sheetFormatPr baseColWidth="10" defaultRowHeight="15" x14ac:dyDescent="0.25"/>
  <cols>
    <col min="2" max="2" width="30" customWidth="1"/>
    <col min="3" max="3" width="12.7109375" customWidth="1"/>
    <col min="4" max="4" width="15.7109375" customWidth="1"/>
    <col min="5" max="5" width="25" customWidth="1"/>
    <col min="6" max="9" width="15.7109375" customWidth="1"/>
    <col min="10" max="11" width="20" customWidth="1"/>
    <col min="12" max="14" width="16.28515625" customWidth="1"/>
    <col min="16" max="16" width="11.7109375" bestFit="1" customWidth="1"/>
    <col min="17" max="17" width="14.140625" bestFit="1" customWidth="1"/>
  </cols>
  <sheetData>
    <row r="2" spans="2:17" ht="15.75" thickBot="1" x14ac:dyDescent="0.3"/>
    <row r="3" spans="2:17" ht="19.5" thickBot="1" x14ac:dyDescent="0.35">
      <c r="B3" s="583" t="s">
        <v>6</v>
      </c>
      <c r="C3" s="583" t="s">
        <v>86</v>
      </c>
      <c r="D3" s="583" t="s">
        <v>8</v>
      </c>
      <c r="E3" s="583" t="s">
        <v>239</v>
      </c>
      <c r="F3" s="585" t="s">
        <v>236</v>
      </c>
      <c r="G3" s="586"/>
      <c r="H3" s="586"/>
      <c r="I3" s="587"/>
      <c r="J3" s="583" t="s">
        <v>238</v>
      </c>
      <c r="K3" s="583" t="s">
        <v>235</v>
      </c>
      <c r="L3" s="583" t="s">
        <v>240</v>
      </c>
      <c r="O3" s="491" t="s">
        <v>246</v>
      </c>
    </row>
    <row r="4" spans="2:17" ht="36" customHeight="1" x14ac:dyDescent="0.25">
      <c r="B4" s="584"/>
      <c r="C4" s="584" t="s">
        <v>86</v>
      </c>
      <c r="D4" s="584" t="s">
        <v>8</v>
      </c>
      <c r="E4" s="584" t="s">
        <v>235</v>
      </c>
      <c r="F4" s="469" t="s">
        <v>230</v>
      </c>
      <c r="G4" s="469" t="s">
        <v>231</v>
      </c>
      <c r="H4" s="469" t="s">
        <v>232</v>
      </c>
      <c r="I4" s="469" t="s">
        <v>233</v>
      </c>
      <c r="J4" s="584" t="s">
        <v>234</v>
      </c>
      <c r="K4" s="584" t="s">
        <v>235</v>
      </c>
      <c r="L4" s="584" t="s">
        <v>235</v>
      </c>
    </row>
    <row r="5" spans="2:17" ht="15.75" customHeight="1" x14ac:dyDescent="0.25">
      <c r="B5" s="457">
        <v>44905</v>
      </c>
      <c r="C5" s="441">
        <v>49</v>
      </c>
      <c r="D5" s="441" t="s">
        <v>29</v>
      </c>
      <c r="E5" s="441"/>
      <c r="F5" s="441">
        <v>61</v>
      </c>
      <c r="G5" s="441">
        <v>48</v>
      </c>
      <c r="H5" s="441">
        <v>48</v>
      </c>
      <c r="I5" s="441">
        <v>48</v>
      </c>
      <c r="J5" s="443">
        <f>44+390</f>
        <v>434</v>
      </c>
      <c r="K5" s="443"/>
      <c r="L5" s="458"/>
    </row>
    <row r="6" spans="2:17" ht="15.75" x14ac:dyDescent="0.25">
      <c r="B6" s="440">
        <v>44905</v>
      </c>
      <c r="C6" s="441">
        <v>49</v>
      </c>
      <c r="D6" s="441" t="s">
        <v>31</v>
      </c>
      <c r="E6" s="441"/>
      <c r="F6" s="441">
        <v>87</v>
      </c>
      <c r="G6" s="441">
        <v>87</v>
      </c>
      <c r="H6" s="441">
        <v>87</v>
      </c>
      <c r="I6" s="441">
        <v>87</v>
      </c>
      <c r="J6" s="443">
        <v>97</v>
      </c>
      <c r="K6" s="441"/>
      <c r="L6" s="458"/>
    </row>
    <row r="7" spans="2:17" ht="15.75" x14ac:dyDescent="0.25">
      <c r="B7" s="440">
        <v>44905</v>
      </c>
      <c r="C7" s="441">
        <v>49</v>
      </c>
      <c r="D7" s="441" t="s">
        <v>35</v>
      </c>
      <c r="E7" s="441"/>
      <c r="F7" s="441"/>
      <c r="G7" s="441"/>
      <c r="H7" s="441"/>
      <c r="I7" s="441"/>
      <c r="J7" s="443">
        <v>36</v>
      </c>
      <c r="K7" s="441"/>
      <c r="L7" s="458"/>
    </row>
    <row r="8" spans="2:17" ht="15.75" x14ac:dyDescent="0.25">
      <c r="B8" s="440">
        <v>44905</v>
      </c>
      <c r="C8" s="441">
        <v>49</v>
      </c>
      <c r="D8" s="441" t="s">
        <v>28</v>
      </c>
      <c r="E8" s="441"/>
      <c r="F8" s="441">
        <v>24</v>
      </c>
      <c r="G8" s="441">
        <v>22</v>
      </c>
      <c r="H8" s="441">
        <v>0</v>
      </c>
      <c r="I8" s="441">
        <v>17</v>
      </c>
      <c r="J8" s="443">
        <v>33</v>
      </c>
      <c r="K8" s="443">
        <v>590</v>
      </c>
      <c r="L8" s="458"/>
    </row>
    <row r="9" spans="2:17" ht="15.75" x14ac:dyDescent="0.25">
      <c r="B9" s="459">
        <v>44908</v>
      </c>
      <c r="C9" s="460">
        <v>50</v>
      </c>
      <c r="D9" s="460" t="s">
        <v>29</v>
      </c>
      <c r="E9" s="460"/>
      <c r="F9" s="460">
        <f>32+9</f>
        <v>41</v>
      </c>
      <c r="G9" s="460">
        <f>19+7</f>
        <v>26</v>
      </c>
      <c r="H9" s="460">
        <v>26</v>
      </c>
      <c r="I9" s="460">
        <v>26</v>
      </c>
      <c r="J9" s="462">
        <f>150+204</f>
        <v>354</v>
      </c>
      <c r="K9" s="462"/>
      <c r="L9" s="461"/>
    </row>
    <row r="10" spans="2:17" ht="15.75" x14ac:dyDescent="0.25">
      <c r="B10" s="459">
        <v>44908</v>
      </c>
      <c r="C10" s="460">
        <v>50</v>
      </c>
      <c r="D10" s="460" t="s">
        <v>35</v>
      </c>
      <c r="E10" s="460"/>
      <c r="F10" s="460">
        <v>0</v>
      </c>
      <c r="G10" s="460">
        <v>0</v>
      </c>
      <c r="H10" s="460">
        <v>0</v>
      </c>
      <c r="I10" s="460">
        <v>0</v>
      </c>
      <c r="J10" s="462">
        <v>55</v>
      </c>
      <c r="K10" s="462"/>
      <c r="L10" s="461"/>
    </row>
    <row r="11" spans="2:17" ht="15.75" x14ac:dyDescent="0.25">
      <c r="B11" s="459">
        <v>44909</v>
      </c>
      <c r="C11" s="460">
        <v>50</v>
      </c>
      <c r="D11" s="460" t="s">
        <v>90</v>
      </c>
      <c r="E11" s="460"/>
      <c r="F11" s="460"/>
      <c r="G11" s="460"/>
      <c r="H11" s="460"/>
      <c r="I11" s="460"/>
      <c r="J11" s="462">
        <v>30</v>
      </c>
      <c r="K11" s="462"/>
      <c r="L11" s="461"/>
    </row>
    <row r="12" spans="2:17" ht="15.75" x14ac:dyDescent="0.25">
      <c r="B12" s="463">
        <v>44909</v>
      </c>
      <c r="C12" s="460">
        <v>50</v>
      </c>
      <c r="D12" s="460" t="s">
        <v>28</v>
      </c>
      <c r="E12" s="460"/>
      <c r="F12" s="461">
        <v>9</v>
      </c>
      <c r="G12" s="461">
        <v>12</v>
      </c>
      <c r="H12" s="461">
        <v>12</v>
      </c>
      <c r="I12" s="461">
        <v>12</v>
      </c>
      <c r="J12" s="464">
        <v>48</v>
      </c>
      <c r="K12" s="461"/>
      <c r="L12" s="461"/>
      <c r="Q12">
        <v>75000</v>
      </c>
    </row>
    <row r="13" spans="2:17" ht="15.75" x14ac:dyDescent="0.25">
      <c r="B13" s="463">
        <v>44909</v>
      </c>
      <c r="C13" s="460">
        <v>50</v>
      </c>
      <c r="D13" s="460" t="s">
        <v>31</v>
      </c>
      <c r="E13" s="460"/>
      <c r="F13" s="461">
        <v>34</v>
      </c>
      <c r="G13" s="461">
        <v>24</v>
      </c>
      <c r="H13" s="461"/>
      <c r="I13" s="461"/>
      <c r="J13" s="464">
        <v>139</v>
      </c>
      <c r="K13" s="461"/>
      <c r="L13" s="461"/>
      <c r="Q13">
        <v>76000</v>
      </c>
    </row>
    <row r="14" spans="2:17" ht="15.75" x14ac:dyDescent="0.25">
      <c r="B14" s="463">
        <v>44909</v>
      </c>
      <c r="C14" s="460">
        <v>50</v>
      </c>
      <c r="D14" s="460" t="s">
        <v>237</v>
      </c>
      <c r="E14" s="460"/>
      <c r="F14" s="461"/>
      <c r="G14" s="461"/>
      <c r="H14" s="461"/>
      <c r="I14" s="461"/>
      <c r="J14" s="464">
        <v>6</v>
      </c>
      <c r="K14" s="464">
        <f>430+20+100</f>
        <v>550</v>
      </c>
      <c r="L14" s="461"/>
    </row>
    <row r="15" spans="2:17" x14ac:dyDescent="0.25">
      <c r="B15" s="468">
        <v>44915</v>
      </c>
      <c r="C15" s="161">
        <v>51</v>
      </c>
      <c r="D15" s="161" t="s">
        <v>29</v>
      </c>
      <c r="E15" s="161"/>
      <c r="F15" s="231">
        <f>65+61</f>
        <v>126</v>
      </c>
      <c r="G15" s="161">
        <f>69+44</f>
        <v>113</v>
      </c>
      <c r="H15" s="161">
        <v>113</v>
      </c>
      <c r="I15" s="161">
        <v>113</v>
      </c>
      <c r="J15" s="161">
        <v>313</v>
      </c>
      <c r="K15" s="161"/>
      <c r="L15" s="161"/>
    </row>
    <row r="16" spans="2:17" x14ac:dyDescent="0.25">
      <c r="B16" s="468">
        <v>44915</v>
      </c>
      <c r="C16" s="161">
        <v>51</v>
      </c>
      <c r="D16" s="161" t="s">
        <v>35</v>
      </c>
      <c r="E16" s="161"/>
      <c r="F16" s="161">
        <v>12</v>
      </c>
      <c r="G16" s="161">
        <v>12</v>
      </c>
      <c r="H16" s="161">
        <v>12</v>
      </c>
      <c r="I16" s="161">
        <v>12</v>
      </c>
      <c r="J16" s="161">
        <v>48</v>
      </c>
      <c r="K16" s="453"/>
      <c r="L16" s="161"/>
    </row>
    <row r="17" spans="2:17" x14ac:dyDescent="0.25">
      <c r="B17" s="468">
        <v>44915</v>
      </c>
      <c r="C17" s="161">
        <v>51</v>
      </c>
      <c r="D17" s="161" t="s">
        <v>28</v>
      </c>
      <c r="E17" s="161"/>
      <c r="F17" s="161">
        <v>17</v>
      </c>
      <c r="G17" s="161">
        <v>20</v>
      </c>
      <c r="H17" s="161">
        <v>20</v>
      </c>
      <c r="I17" s="161">
        <v>20</v>
      </c>
      <c r="J17" s="161">
        <v>52</v>
      </c>
      <c r="K17" s="161"/>
      <c r="L17" s="161"/>
    </row>
    <row r="18" spans="2:17" x14ac:dyDescent="0.25">
      <c r="B18" s="468">
        <v>44915</v>
      </c>
      <c r="C18" s="161">
        <v>51</v>
      </c>
      <c r="D18" s="161" t="s">
        <v>31</v>
      </c>
      <c r="E18" s="161"/>
      <c r="F18" s="161">
        <v>135</v>
      </c>
      <c r="G18" s="161">
        <v>112</v>
      </c>
      <c r="H18" s="161"/>
      <c r="I18" s="161"/>
      <c r="J18" s="161">
        <v>58</v>
      </c>
      <c r="K18" s="161"/>
      <c r="L18" s="161"/>
    </row>
    <row r="19" spans="2:17" x14ac:dyDescent="0.25">
      <c r="B19" s="479"/>
      <c r="C19" s="231"/>
      <c r="D19" s="231"/>
      <c r="E19" s="231"/>
      <c r="F19" s="231"/>
      <c r="G19" s="231"/>
      <c r="H19" s="231"/>
      <c r="I19" s="231"/>
      <c r="J19" s="231">
        <f>SUM(J15:J18)</f>
        <v>471</v>
      </c>
      <c r="K19" s="231">
        <f>580+41</f>
        <v>621</v>
      </c>
      <c r="L19" s="231">
        <f>+K19-J19</f>
        <v>150</v>
      </c>
    </row>
    <row r="20" spans="2:17" x14ac:dyDescent="0.25">
      <c r="B20" s="475">
        <v>44922</v>
      </c>
      <c r="C20" s="476">
        <v>52</v>
      </c>
      <c r="D20" s="476" t="s">
        <v>29</v>
      </c>
      <c r="E20" s="476"/>
      <c r="F20" s="476">
        <f>120+24+4</f>
        <v>148</v>
      </c>
      <c r="G20" s="476">
        <f>131+3</f>
        <v>134</v>
      </c>
      <c r="H20" s="476">
        <f>131+3</f>
        <v>134</v>
      </c>
      <c r="I20" s="476">
        <f>131+3</f>
        <v>134</v>
      </c>
      <c r="J20" s="476">
        <f>110+160+48</f>
        <v>318</v>
      </c>
      <c r="K20" s="476">
        <v>410</v>
      </c>
      <c r="L20" s="476"/>
    </row>
    <row r="21" spans="2:17" x14ac:dyDescent="0.25">
      <c r="B21" s="475">
        <v>44922</v>
      </c>
      <c r="C21" s="475">
        <v>52</v>
      </c>
      <c r="D21" s="476" t="s">
        <v>35</v>
      </c>
      <c r="E21" s="476"/>
      <c r="F21" s="476">
        <v>12</v>
      </c>
      <c r="G21" s="476">
        <v>12</v>
      </c>
      <c r="H21" s="476">
        <v>12</v>
      </c>
      <c r="I21" s="476">
        <v>12</v>
      </c>
      <c r="J21" s="476">
        <v>42</v>
      </c>
      <c r="K21" s="476">
        <v>60</v>
      </c>
      <c r="L21" s="476"/>
    </row>
    <row r="22" spans="2:17" x14ac:dyDescent="0.25">
      <c r="B22" s="475">
        <v>44923</v>
      </c>
      <c r="C22" s="476">
        <v>52</v>
      </c>
      <c r="D22" s="476" t="s">
        <v>28</v>
      </c>
      <c r="E22" s="476"/>
      <c r="F22" s="476">
        <v>35</v>
      </c>
      <c r="G22" s="476">
        <v>38</v>
      </c>
      <c r="H22" s="476">
        <v>15</v>
      </c>
      <c r="I22" s="476">
        <v>15</v>
      </c>
      <c r="J22" s="476">
        <v>35</v>
      </c>
      <c r="K22" s="476">
        <v>60</v>
      </c>
      <c r="L22" s="476"/>
    </row>
    <row r="23" spans="2:17" x14ac:dyDescent="0.25">
      <c r="B23" s="475">
        <v>44923</v>
      </c>
      <c r="C23" s="476">
        <v>52</v>
      </c>
      <c r="D23" s="476" t="s">
        <v>31</v>
      </c>
      <c r="E23" s="476"/>
      <c r="F23" s="476">
        <v>189</v>
      </c>
      <c r="G23" s="476">
        <v>178</v>
      </c>
      <c r="H23" s="476">
        <v>189</v>
      </c>
      <c r="I23" s="476">
        <v>188</v>
      </c>
      <c r="J23" s="476">
        <v>57</v>
      </c>
      <c r="K23" s="476"/>
      <c r="L23" s="476"/>
    </row>
    <row r="24" spans="2:17" x14ac:dyDescent="0.25">
      <c r="B24" s="475">
        <v>44923</v>
      </c>
      <c r="C24" s="476">
        <v>52</v>
      </c>
      <c r="D24" s="476" t="s">
        <v>90</v>
      </c>
      <c r="E24" s="476"/>
      <c r="F24" s="476"/>
      <c r="G24" s="476"/>
      <c r="H24" s="476"/>
      <c r="I24" s="476"/>
      <c r="J24" s="476">
        <v>33</v>
      </c>
      <c r="K24" s="476"/>
      <c r="L24" s="476"/>
      <c r="N24" s="489">
        <f>B24</f>
        <v>44923</v>
      </c>
      <c r="O24">
        <f>J24</f>
        <v>33</v>
      </c>
      <c r="P24" s="488">
        <v>95000</v>
      </c>
      <c r="Q24" s="488">
        <f>P24*J24</f>
        <v>3135000</v>
      </c>
    </row>
    <row r="25" spans="2:17" x14ac:dyDescent="0.25">
      <c r="B25" s="475">
        <v>44923</v>
      </c>
      <c r="C25" s="476">
        <v>52</v>
      </c>
      <c r="D25" s="476" t="s">
        <v>29</v>
      </c>
      <c r="E25" s="476"/>
      <c r="F25" s="476"/>
      <c r="G25" s="476"/>
      <c r="H25" s="476"/>
      <c r="I25" s="476"/>
      <c r="J25" s="476">
        <v>77</v>
      </c>
      <c r="K25" s="476"/>
      <c r="L25" s="476"/>
    </row>
    <row r="26" spans="2:17" x14ac:dyDescent="0.25">
      <c r="B26" s="479"/>
      <c r="C26" s="231"/>
      <c r="D26" s="231"/>
      <c r="E26" s="231"/>
      <c r="F26" s="231"/>
      <c r="G26" s="231"/>
      <c r="H26" s="231"/>
      <c r="I26" s="231"/>
      <c r="J26" s="231">
        <f>SUM(J20:J25)-57</f>
        <v>505</v>
      </c>
      <c r="K26" s="480">
        <v>530</v>
      </c>
      <c r="L26" s="231">
        <f>+K26-J26</f>
        <v>25</v>
      </c>
    </row>
    <row r="27" spans="2:17" x14ac:dyDescent="0.25">
      <c r="B27" s="477">
        <v>44929</v>
      </c>
      <c r="C27" s="478">
        <v>1</v>
      </c>
      <c r="D27" s="478" t="s">
        <v>29</v>
      </c>
      <c r="E27" s="478"/>
      <c r="F27" s="478">
        <f>291-5</f>
        <v>286</v>
      </c>
      <c r="G27" s="478">
        <f>313-40</f>
        <v>273</v>
      </c>
      <c r="H27" s="478">
        <f>313-40</f>
        <v>273</v>
      </c>
      <c r="I27" s="478">
        <f>313-40</f>
        <v>273</v>
      </c>
      <c r="J27" s="478">
        <v>422</v>
      </c>
      <c r="K27" s="478">
        <v>600</v>
      </c>
      <c r="L27" s="478">
        <f>600+148</f>
        <v>748</v>
      </c>
    </row>
    <row r="28" spans="2:17" x14ac:dyDescent="0.25">
      <c r="B28" s="477">
        <v>44929</v>
      </c>
      <c r="C28" s="478">
        <v>1</v>
      </c>
      <c r="D28" s="478" t="s">
        <v>35</v>
      </c>
      <c r="E28" s="478"/>
      <c r="F28" s="478">
        <v>32</v>
      </c>
      <c r="G28" s="478">
        <v>32</v>
      </c>
      <c r="H28" s="478">
        <v>15</v>
      </c>
      <c r="I28" s="478">
        <v>25</v>
      </c>
      <c r="J28" s="478"/>
      <c r="K28" s="478"/>
      <c r="L28" s="478"/>
      <c r="O28">
        <f>286+270</f>
        <v>556</v>
      </c>
      <c r="P28">
        <f>273+280</f>
        <v>553</v>
      </c>
    </row>
    <row r="29" spans="2:17" x14ac:dyDescent="0.25">
      <c r="B29" s="477">
        <v>44929</v>
      </c>
      <c r="C29" s="478">
        <v>1</v>
      </c>
      <c r="D29" s="478" t="s">
        <v>28</v>
      </c>
      <c r="E29" s="478"/>
      <c r="F29" s="478">
        <v>39</v>
      </c>
      <c r="G29" s="478">
        <v>42</v>
      </c>
      <c r="H29" s="478">
        <v>15</v>
      </c>
      <c r="I29" s="478">
        <v>10</v>
      </c>
      <c r="J29" s="478"/>
      <c r="K29" s="478"/>
      <c r="L29" s="478"/>
    </row>
    <row r="30" spans="2:17" x14ac:dyDescent="0.25">
      <c r="B30" s="477">
        <v>44929</v>
      </c>
      <c r="C30" s="478">
        <v>1</v>
      </c>
      <c r="D30" s="478" t="s">
        <v>31</v>
      </c>
      <c r="E30" s="478" t="s">
        <v>242</v>
      </c>
      <c r="F30" s="478">
        <v>280</v>
      </c>
      <c r="G30" s="478">
        <v>235</v>
      </c>
      <c r="H30" s="478"/>
      <c r="I30" s="478"/>
      <c r="J30" s="478"/>
      <c r="K30" s="478"/>
      <c r="L30" s="478"/>
    </row>
    <row r="31" spans="2:17" x14ac:dyDescent="0.25">
      <c r="B31" s="477">
        <v>44929</v>
      </c>
      <c r="C31" s="478">
        <v>1</v>
      </c>
      <c r="D31" s="478" t="s">
        <v>90</v>
      </c>
      <c r="E31" s="478"/>
      <c r="F31" s="478"/>
      <c r="G31" s="478"/>
      <c r="H31" s="478"/>
      <c r="I31" s="478"/>
      <c r="J31" s="478">
        <v>41</v>
      </c>
      <c r="K31" s="478"/>
      <c r="L31" s="478"/>
      <c r="N31" s="489">
        <f>B31</f>
        <v>44929</v>
      </c>
      <c r="O31">
        <f>J31</f>
        <v>41</v>
      </c>
      <c r="P31" s="488">
        <v>75000</v>
      </c>
      <c r="Q31" s="488">
        <f>P31*J31</f>
        <v>3075000</v>
      </c>
    </row>
    <row r="32" spans="2:17" x14ac:dyDescent="0.25">
      <c r="B32" s="484">
        <v>44936</v>
      </c>
      <c r="C32" s="485">
        <v>1</v>
      </c>
      <c r="D32" s="485" t="s">
        <v>29</v>
      </c>
      <c r="E32" s="485"/>
      <c r="F32" s="485">
        <v>9</v>
      </c>
      <c r="G32" s="485">
        <v>3</v>
      </c>
      <c r="H32" s="485"/>
      <c r="I32" s="485"/>
      <c r="J32" s="485">
        <v>489</v>
      </c>
      <c r="K32" s="485" t="s">
        <v>241</v>
      </c>
      <c r="L32" s="485"/>
    </row>
    <row r="33" spans="2:17" x14ac:dyDescent="0.25">
      <c r="B33" s="484">
        <v>44936</v>
      </c>
      <c r="C33" s="485">
        <v>1</v>
      </c>
      <c r="D33" s="485" t="s">
        <v>35</v>
      </c>
      <c r="E33" s="485"/>
      <c r="F33" s="485">
        <v>9</v>
      </c>
      <c r="G33" s="485">
        <v>9</v>
      </c>
      <c r="H33" s="485">
        <v>9</v>
      </c>
      <c r="I33" s="485">
        <v>9</v>
      </c>
      <c r="J33" s="485">
        <v>51</v>
      </c>
      <c r="K33" s="485"/>
      <c r="L33" s="485"/>
    </row>
    <row r="34" spans="2:17" x14ac:dyDescent="0.25">
      <c r="B34" s="484">
        <v>44937</v>
      </c>
      <c r="C34" s="485">
        <v>1</v>
      </c>
      <c r="D34" s="485" t="s">
        <v>28</v>
      </c>
      <c r="E34" s="485"/>
      <c r="F34" s="485">
        <v>21</v>
      </c>
      <c r="G34" s="485">
        <v>21</v>
      </c>
      <c r="H34" s="485">
        <v>21</v>
      </c>
      <c r="I34" s="485">
        <v>21</v>
      </c>
      <c r="J34" s="485">
        <v>39</v>
      </c>
      <c r="K34" s="485"/>
      <c r="L34" s="485"/>
    </row>
    <row r="35" spans="2:17" x14ac:dyDescent="0.25">
      <c r="B35" s="484">
        <v>44937</v>
      </c>
      <c r="C35" s="485">
        <v>1</v>
      </c>
      <c r="D35" s="485" t="s">
        <v>31</v>
      </c>
      <c r="E35" s="485"/>
      <c r="F35" s="485"/>
      <c r="G35" s="485"/>
      <c r="H35" s="485"/>
      <c r="I35" s="485"/>
      <c r="J35" s="485">
        <v>154</v>
      </c>
      <c r="K35" s="485"/>
      <c r="L35" s="485"/>
    </row>
    <row r="36" spans="2:17" x14ac:dyDescent="0.25">
      <c r="B36" s="484">
        <v>44937</v>
      </c>
      <c r="C36" s="485">
        <v>2</v>
      </c>
      <c r="D36" s="485" t="s">
        <v>90</v>
      </c>
      <c r="E36" s="485"/>
      <c r="F36" s="485"/>
      <c r="G36" s="485"/>
      <c r="H36" s="485"/>
      <c r="I36" s="485"/>
      <c r="J36" s="485">
        <v>40</v>
      </c>
      <c r="K36" s="485"/>
      <c r="L36" s="485"/>
      <c r="N36" s="489">
        <f>B36</f>
        <v>44937</v>
      </c>
      <c r="O36">
        <f>J36</f>
        <v>40</v>
      </c>
      <c r="P36" s="488">
        <v>76000</v>
      </c>
      <c r="Q36" s="488">
        <f>P36*J36</f>
        <v>3040000</v>
      </c>
    </row>
    <row r="37" spans="2:17" x14ac:dyDescent="0.25">
      <c r="B37" s="484">
        <v>44937</v>
      </c>
      <c r="C37" s="485">
        <v>2</v>
      </c>
      <c r="D37" s="485" t="s">
        <v>237</v>
      </c>
      <c r="E37" s="485"/>
      <c r="F37" s="485"/>
      <c r="G37" s="485"/>
      <c r="H37" s="485"/>
      <c r="I37" s="485"/>
      <c r="J37" s="485">
        <v>9</v>
      </c>
      <c r="K37" s="485"/>
      <c r="L37" s="485"/>
    </row>
    <row r="38" spans="2:17" x14ac:dyDescent="0.25">
      <c r="B38" s="484">
        <v>44937</v>
      </c>
      <c r="C38" s="485">
        <v>2</v>
      </c>
      <c r="D38" s="485" t="s">
        <v>29</v>
      </c>
      <c r="E38" s="485"/>
      <c r="F38" s="485">
        <v>35</v>
      </c>
      <c r="G38" s="485">
        <v>21</v>
      </c>
      <c r="H38" s="485">
        <v>21</v>
      </c>
      <c r="I38" s="485">
        <v>21</v>
      </c>
      <c r="J38" s="485">
        <v>33</v>
      </c>
      <c r="K38" s="485"/>
      <c r="L38" s="485"/>
    </row>
    <row r="39" spans="2:17" x14ac:dyDescent="0.25">
      <c r="B39" s="468">
        <v>44943</v>
      </c>
      <c r="C39" s="161">
        <v>3</v>
      </c>
      <c r="D39" s="161" t="s">
        <v>29</v>
      </c>
      <c r="E39" s="161">
        <v>600</v>
      </c>
      <c r="F39" s="161">
        <v>18</v>
      </c>
      <c r="G39" s="161">
        <v>18</v>
      </c>
      <c r="H39" s="161">
        <v>18</v>
      </c>
      <c r="I39" s="161">
        <v>18</v>
      </c>
      <c r="J39" s="161">
        <v>580</v>
      </c>
      <c r="K39" s="161"/>
      <c r="L39" s="161"/>
      <c r="P39" s="488"/>
      <c r="Q39" s="488"/>
    </row>
    <row r="40" spans="2:17" x14ac:dyDescent="0.25">
      <c r="B40" s="468">
        <v>44943</v>
      </c>
      <c r="C40" s="161">
        <v>3</v>
      </c>
      <c r="D40" s="161" t="s">
        <v>35</v>
      </c>
      <c r="E40" s="161">
        <v>55</v>
      </c>
      <c r="F40" s="161">
        <v>5</v>
      </c>
      <c r="G40" s="161">
        <v>6</v>
      </c>
      <c r="H40" s="161">
        <v>6</v>
      </c>
      <c r="I40" s="161">
        <v>6</v>
      </c>
      <c r="J40" s="161">
        <v>54</v>
      </c>
      <c r="K40" s="161"/>
      <c r="L40" s="161"/>
      <c r="P40" s="488"/>
      <c r="Q40" s="488">
        <f>SUBTOTAL(9,Q24:Q36)</f>
        <v>9250000</v>
      </c>
    </row>
    <row r="41" spans="2:17" x14ac:dyDescent="0.25">
      <c r="B41" s="468">
        <v>44944</v>
      </c>
      <c r="C41" s="161">
        <v>3</v>
      </c>
      <c r="D41" s="161" t="s">
        <v>28</v>
      </c>
      <c r="E41" s="161">
        <v>18</v>
      </c>
      <c r="F41" s="161">
        <v>30</v>
      </c>
      <c r="G41" s="161">
        <v>30</v>
      </c>
      <c r="H41" s="161">
        <v>30</v>
      </c>
      <c r="I41" s="161">
        <v>30</v>
      </c>
      <c r="J41" s="161">
        <v>41</v>
      </c>
      <c r="K41" s="161"/>
      <c r="L41" s="161"/>
      <c r="N41" s="160" t="s">
        <v>244</v>
      </c>
      <c r="O41" s="160" t="s">
        <v>87</v>
      </c>
      <c r="P41" s="490" t="s">
        <v>245</v>
      </c>
      <c r="Q41" s="490" t="s">
        <v>88</v>
      </c>
    </row>
    <row r="42" spans="2:17" x14ac:dyDescent="0.25">
      <c r="B42" s="468">
        <v>44944</v>
      </c>
      <c r="C42" s="161">
        <v>3</v>
      </c>
      <c r="D42" s="161" t="s">
        <v>31</v>
      </c>
      <c r="E42" s="161"/>
      <c r="F42" s="161">
        <v>204</v>
      </c>
      <c r="G42" s="161">
        <v>200</v>
      </c>
      <c r="H42" s="161">
        <v>200</v>
      </c>
      <c r="I42" s="161">
        <v>200</v>
      </c>
      <c r="J42" s="161">
        <v>210</v>
      </c>
      <c r="K42" s="161"/>
      <c r="L42" s="161"/>
      <c r="N42" t="s">
        <v>243</v>
      </c>
      <c r="O42">
        <v>100</v>
      </c>
      <c r="P42" s="488">
        <v>20000</v>
      </c>
      <c r="Q42" s="488">
        <f>O42*P42</f>
        <v>2000000</v>
      </c>
    </row>
    <row r="43" spans="2:17" x14ac:dyDescent="0.25">
      <c r="B43" s="468">
        <v>44952</v>
      </c>
      <c r="C43" s="161">
        <v>4</v>
      </c>
      <c r="D43" s="161" t="s">
        <v>29</v>
      </c>
      <c r="E43" s="161">
        <f>420+120+18+40</f>
        <v>598</v>
      </c>
      <c r="F43" s="161">
        <f>15+40</f>
        <v>55</v>
      </c>
      <c r="G43" s="161">
        <v>55</v>
      </c>
      <c r="H43" s="161">
        <v>55</v>
      </c>
      <c r="I43" s="161">
        <v>55</v>
      </c>
      <c r="J43" s="161">
        <v>503</v>
      </c>
      <c r="K43" s="161"/>
      <c r="L43" s="161"/>
      <c r="P43" s="488"/>
      <c r="Q43" s="488"/>
    </row>
    <row r="44" spans="2:17" x14ac:dyDescent="0.25">
      <c r="B44" s="468">
        <v>44952</v>
      </c>
      <c r="C44" s="161">
        <v>4</v>
      </c>
      <c r="D44" s="161" t="s">
        <v>35</v>
      </c>
      <c r="E44" s="161">
        <v>60</v>
      </c>
      <c r="F44" s="161">
        <v>0</v>
      </c>
      <c r="G44" s="161">
        <v>0</v>
      </c>
      <c r="H44" s="161">
        <v>0</v>
      </c>
      <c r="I44" s="161">
        <v>0</v>
      </c>
      <c r="J44" s="161">
        <v>60</v>
      </c>
      <c r="K44" s="161"/>
      <c r="L44" s="161"/>
      <c r="P44" s="488"/>
      <c r="Q44" s="488"/>
    </row>
    <row r="45" spans="2:17" x14ac:dyDescent="0.25">
      <c r="B45" s="468">
        <v>44953</v>
      </c>
      <c r="C45" s="161">
        <v>4</v>
      </c>
      <c r="D45" s="161" t="s">
        <v>28</v>
      </c>
      <c r="E45" s="161">
        <f>30+20</f>
        <v>50</v>
      </c>
      <c r="F45" s="161">
        <v>14</v>
      </c>
      <c r="G45" s="161">
        <v>24</v>
      </c>
      <c r="H45" s="161">
        <v>14</v>
      </c>
      <c r="I45" s="161">
        <v>14</v>
      </c>
      <c r="J45" s="161">
        <v>25</v>
      </c>
      <c r="K45" s="161"/>
      <c r="L45" s="161"/>
      <c r="P45" s="488"/>
      <c r="Q45" s="488"/>
    </row>
    <row r="46" spans="2:17" x14ac:dyDescent="0.25">
      <c r="B46" s="468">
        <v>44953</v>
      </c>
      <c r="C46" s="161">
        <v>4</v>
      </c>
      <c r="D46" s="161" t="s">
        <v>31</v>
      </c>
      <c r="E46" s="161">
        <v>280</v>
      </c>
      <c r="F46" s="161">
        <v>50</v>
      </c>
      <c r="G46" s="161">
        <v>49</v>
      </c>
      <c r="H46" s="161">
        <v>49</v>
      </c>
      <c r="I46" s="161"/>
      <c r="J46" s="161">
        <v>222</v>
      </c>
      <c r="K46" s="161"/>
      <c r="L46" s="161"/>
      <c r="P46" s="488"/>
      <c r="Q46" s="488">
        <f>Q40-Q42</f>
        <v>7250000</v>
      </c>
    </row>
    <row r="47" spans="2:17" x14ac:dyDescent="0.25">
      <c r="B47" s="468">
        <v>44953</v>
      </c>
      <c r="C47" s="161">
        <v>4</v>
      </c>
      <c r="D47" s="161" t="s">
        <v>90</v>
      </c>
      <c r="E47" s="161">
        <v>0</v>
      </c>
      <c r="F47" s="161">
        <v>0</v>
      </c>
      <c r="G47" s="161">
        <v>0</v>
      </c>
      <c r="H47" s="161">
        <v>0</v>
      </c>
      <c r="I47" s="161">
        <v>0</v>
      </c>
      <c r="J47" s="161">
        <v>40</v>
      </c>
      <c r="K47" s="161"/>
      <c r="L47" s="161"/>
    </row>
    <row r="48" spans="2:17" x14ac:dyDescent="0.25">
      <c r="B48" s="468">
        <v>44957</v>
      </c>
      <c r="C48" s="161">
        <v>5</v>
      </c>
      <c r="D48" s="161" t="s">
        <v>29</v>
      </c>
      <c r="E48" s="161"/>
      <c r="F48" s="161">
        <v>119</v>
      </c>
      <c r="G48" s="161">
        <v>133</v>
      </c>
      <c r="H48" s="161">
        <v>133</v>
      </c>
      <c r="I48" s="161">
        <v>0</v>
      </c>
      <c r="J48" s="161">
        <v>616</v>
      </c>
      <c r="K48" s="161"/>
      <c r="L48" s="161"/>
    </row>
    <row r="49" spans="2:14" x14ac:dyDescent="0.25">
      <c r="B49" s="468">
        <v>44957</v>
      </c>
      <c r="C49" s="161">
        <v>5</v>
      </c>
      <c r="D49" s="161" t="s">
        <v>35</v>
      </c>
      <c r="E49" s="161"/>
      <c r="F49" s="161"/>
      <c r="G49" s="161"/>
      <c r="H49" s="161"/>
      <c r="I49" s="161"/>
      <c r="J49" s="161">
        <v>50</v>
      </c>
      <c r="K49" s="161"/>
      <c r="L49" s="161"/>
    </row>
    <row r="50" spans="2:14" x14ac:dyDescent="0.25">
      <c r="B50" s="468">
        <v>44960</v>
      </c>
      <c r="C50" s="161">
        <v>5</v>
      </c>
      <c r="D50" s="161" t="s">
        <v>28</v>
      </c>
      <c r="E50" s="161"/>
      <c r="F50" s="161"/>
      <c r="G50" s="161"/>
      <c r="H50" s="161"/>
      <c r="I50" s="161"/>
      <c r="J50" s="161">
        <v>50</v>
      </c>
      <c r="K50" s="161"/>
      <c r="L50" s="161"/>
    </row>
    <row r="51" spans="2:14" x14ac:dyDescent="0.25">
      <c r="B51" s="468">
        <v>44960</v>
      </c>
      <c r="C51" s="161">
        <v>5</v>
      </c>
      <c r="D51" s="161" t="s">
        <v>31</v>
      </c>
      <c r="E51" s="161"/>
      <c r="F51" s="161">
        <v>50</v>
      </c>
      <c r="G51" s="161">
        <v>49</v>
      </c>
      <c r="H51" s="161">
        <v>49</v>
      </c>
      <c r="I51" s="161">
        <v>0</v>
      </c>
      <c r="J51" s="161"/>
      <c r="K51" s="161"/>
      <c r="L51" s="161"/>
    </row>
    <row r="52" spans="2:14" x14ac:dyDescent="0.25">
      <c r="B52" s="468">
        <v>44964</v>
      </c>
      <c r="C52" s="161">
        <v>6</v>
      </c>
      <c r="D52" s="161" t="s">
        <v>29</v>
      </c>
      <c r="E52" s="161"/>
      <c r="F52" s="161">
        <f>2+119</f>
        <v>121</v>
      </c>
      <c r="G52" s="161">
        <v>85</v>
      </c>
      <c r="H52" s="161">
        <v>85</v>
      </c>
      <c r="I52" s="161">
        <v>0</v>
      </c>
      <c r="J52" s="161"/>
      <c r="K52" s="161"/>
      <c r="L52" s="161"/>
    </row>
    <row r="53" spans="2:14" x14ac:dyDescent="0.25">
      <c r="B53" s="468">
        <v>44964</v>
      </c>
      <c r="C53" s="161">
        <v>6</v>
      </c>
      <c r="D53" s="161" t="s">
        <v>35</v>
      </c>
      <c r="E53" s="161"/>
      <c r="F53" s="161">
        <v>18</v>
      </c>
      <c r="G53" s="161">
        <v>18</v>
      </c>
      <c r="H53" s="161">
        <v>18</v>
      </c>
      <c r="I53" s="161">
        <v>18</v>
      </c>
      <c r="J53" s="161"/>
      <c r="K53" s="161"/>
      <c r="L53" s="161"/>
    </row>
    <row r="54" spans="2:14" x14ac:dyDescent="0.25">
      <c r="B54" s="468">
        <v>44965</v>
      </c>
      <c r="C54" s="161">
        <v>6</v>
      </c>
      <c r="D54" s="161" t="s">
        <v>28</v>
      </c>
      <c r="E54" s="161"/>
      <c r="F54" s="161">
        <v>44</v>
      </c>
      <c r="G54" s="161">
        <v>44</v>
      </c>
      <c r="H54" s="161">
        <v>44</v>
      </c>
      <c r="I54" s="161">
        <v>44</v>
      </c>
      <c r="J54" s="161"/>
      <c r="K54" s="161"/>
      <c r="L54" s="161"/>
    </row>
    <row r="55" spans="2:14" x14ac:dyDescent="0.25">
      <c r="B55" s="468">
        <v>44965</v>
      </c>
      <c r="C55" s="161">
        <v>6</v>
      </c>
      <c r="D55" s="161" t="s">
        <v>31</v>
      </c>
      <c r="E55" s="161"/>
      <c r="F55" s="161"/>
      <c r="G55" s="161"/>
      <c r="H55" s="161"/>
      <c r="I55" s="161"/>
      <c r="J55" s="161"/>
      <c r="K55" s="161"/>
      <c r="L55" s="161"/>
    </row>
    <row r="56" spans="2:14" x14ac:dyDescent="0.25">
      <c r="B56" s="468">
        <v>44970</v>
      </c>
      <c r="C56" s="161">
        <v>7</v>
      </c>
      <c r="D56" s="161" t="s">
        <v>29</v>
      </c>
      <c r="E56" s="161"/>
      <c r="F56" s="497">
        <f>119+35+2</f>
        <v>156</v>
      </c>
      <c r="G56" s="161">
        <f>85+35</f>
        <v>120</v>
      </c>
      <c r="H56" s="161">
        <v>120</v>
      </c>
      <c r="I56" s="161">
        <v>120</v>
      </c>
      <c r="J56" s="161"/>
      <c r="K56" s="161"/>
      <c r="L56" s="161"/>
      <c r="M56" s="498" t="s">
        <v>252</v>
      </c>
    </row>
    <row r="57" spans="2:14" x14ac:dyDescent="0.25">
      <c r="B57" s="468">
        <v>44970</v>
      </c>
      <c r="C57" s="161">
        <v>7</v>
      </c>
      <c r="D57" s="161" t="s">
        <v>35</v>
      </c>
      <c r="E57" s="161"/>
      <c r="F57" s="161"/>
      <c r="G57" s="161"/>
      <c r="H57" s="161"/>
      <c r="I57" s="161"/>
      <c r="J57" s="161"/>
      <c r="K57" s="161"/>
      <c r="L57" s="161"/>
    </row>
    <row r="58" spans="2:14" x14ac:dyDescent="0.25">
      <c r="B58" s="468">
        <v>44971</v>
      </c>
      <c r="C58" s="161">
        <v>7</v>
      </c>
      <c r="D58" s="161" t="s">
        <v>28</v>
      </c>
      <c r="E58" s="161"/>
      <c r="F58" s="161"/>
      <c r="G58" s="161"/>
      <c r="H58" s="161"/>
      <c r="I58" s="161"/>
      <c r="J58" s="161"/>
      <c r="K58" s="161"/>
      <c r="L58" s="161"/>
    </row>
    <row r="59" spans="2:14" x14ac:dyDescent="0.25">
      <c r="B59" s="468">
        <v>44971</v>
      </c>
      <c r="C59" s="161">
        <v>7</v>
      </c>
      <c r="D59" s="161" t="s">
        <v>31</v>
      </c>
      <c r="E59" s="161"/>
      <c r="F59" s="161"/>
      <c r="G59" s="161"/>
      <c r="H59" s="161"/>
      <c r="I59" s="161"/>
      <c r="J59" s="161"/>
      <c r="K59" s="161"/>
      <c r="L59" s="161"/>
    </row>
    <row r="60" spans="2:14" x14ac:dyDescent="0.25">
      <c r="B60" s="468">
        <v>44977</v>
      </c>
      <c r="C60" s="161">
        <v>8</v>
      </c>
      <c r="D60" s="161" t="s">
        <v>29</v>
      </c>
      <c r="E60" s="161">
        <f>535+37+119</f>
        <v>691</v>
      </c>
      <c r="F60" s="161">
        <v>540</v>
      </c>
      <c r="G60" s="161">
        <v>540</v>
      </c>
      <c r="H60" s="161">
        <v>540</v>
      </c>
      <c r="I60" s="161">
        <v>540</v>
      </c>
      <c r="J60" s="161"/>
      <c r="K60" s="161"/>
      <c r="L60" s="161"/>
    </row>
    <row r="61" spans="2:14" x14ac:dyDescent="0.25">
      <c r="B61" s="468">
        <v>44977</v>
      </c>
      <c r="C61" s="161">
        <v>8</v>
      </c>
      <c r="D61" s="161" t="s">
        <v>35</v>
      </c>
      <c r="E61" s="161">
        <v>0</v>
      </c>
      <c r="F61" s="161"/>
      <c r="G61" s="161"/>
      <c r="H61" s="161"/>
      <c r="I61" s="161"/>
      <c r="J61" s="161"/>
      <c r="K61" s="161"/>
      <c r="L61" s="161"/>
    </row>
    <row r="62" spans="2:14" x14ac:dyDescent="0.25">
      <c r="B62" s="468">
        <v>44978</v>
      </c>
      <c r="C62" s="161">
        <v>8</v>
      </c>
      <c r="D62" s="161" t="s">
        <v>28</v>
      </c>
      <c r="E62" s="161"/>
      <c r="F62" s="161"/>
      <c r="G62" s="161"/>
      <c r="H62" s="161"/>
      <c r="I62" s="161"/>
      <c r="J62" s="161"/>
      <c r="K62" s="161"/>
      <c r="L62" s="161"/>
    </row>
    <row r="63" spans="2:14" x14ac:dyDescent="0.25">
      <c r="B63" s="468">
        <v>44978</v>
      </c>
      <c r="C63" s="161">
        <v>8</v>
      </c>
      <c r="D63" s="161" t="s">
        <v>31</v>
      </c>
      <c r="E63" s="231">
        <v>158</v>
      </c>
      <c r="F63" s="231">
        <v>38</v>
      </c>
      <c r="G63" s="231">
        <v>37</v>
      </c>
      <c r="H63" s="231">
        <v>124</v>
      </c>
      <c r="I63" s="231">
        <v>30</v>
      </c>
      <c r="J63" s="231">
        <v>604</v>
      </c>
      <c r="K63" s="231"/>
      <c r="L63" s="231"/>
      <c r="M63" s="232"/>
      <c r="N63" s="232"/>
    </row>
    <row r="64" spans="2:14" x14ac:dyDescent="0.25">
      <c r="B64" s="468">
        <v>44984</v>
      </c>
      <c r="C64" s="161">
        <v>9</v>
      </c>
      <c r="D64" s="161" t="s">
        <v>29</v>
      </c>
      <c r="E64" s="161">
        <f>635+65</f>
        <v>700</v>
      </c>
      <c r="F64" s="161">
        <f>30+27</f>
        <v>57</v>
      </c>
      <c r="G64" s="161">
        <f>48+20</f>
        <v>68</v>
      </c>
      <c r="H64" s="161">
        <v>68</v>
      </c>
      <c r="I64" s="161">
        <v>68</v>
      </c>
      <c r="J64" s="161"/>
      <c r="K64" s="161"/>
      <c r="L64" s="161"/>
      <c r="M64" s="232" t="s">
        <v>253</v>
      </c>
      <c r="N64" s="232"/>
    </row>
    <row r="65" spans="1:16" x14ac:dyDescent="0.25">
      <c r="B65" s="468">
        <v>44984</v>
      </c>
      <c r="C65" s="161">
        <v>9</v>
      </c>
      <c r="D65" s="161" t="s">
        <v>35</v>
      </c>
      <c r="E65" s="161">
        <v>70</v>
      </c>
      <c r="F65" s="161">
        <v>0</v>
      </c>
      <c r="G65" s="161">
        <v>0</v>
      </c>
      <c r="H65" s="161">
        <v>0</v>
      </c>
      <c r="I65" s="161">
        <v>0</v>
      </c>
      <c r="J65" s="161">
        <v>70</v>
      </c>
      <c r="K65" s="161"/>
      <c r="L65" s="161"/>
    </row>
    <row r="66" spans="1:16" x14ac:dyDescent="0.25">
      <c r="B66" s="468">
        <v>44985</v>
      </c>
      <c r="C66" s="161">
        <v>9</v>
      </c>
      <c r="D66" s="161" t="s">
        <v>28</v>
      </c>
      <c r="E66" s="161">
        <v>65</v>
      </c>
      <c r="F66" s="161"/>
      <c r="G66" s="161"/>
      <c r="H66" s="161"/>
      <c r="I66" s="161"/>
      <c r="J66" s="161"/>
      <c r="K66" s="161"/>
      <c r="L66" s="161"/>
    </row>
    <row r="67" spans="1:16" x14ac:dyDescent="0.25">
      <c r="B67" s="468">
        <v>44985</v>
      </c>
      <c r="C67" s="161">
        <v>9</v>
      </c>
      <c r="D67" s="161" t="s">
        <v>31</v>
      </c>
      <c r="E67" s="161">
        <v>0</v>
      </c>
      <c r="F67" s="161">
        <v>85</v>
      </c>
      <c r="G67" s="161">
        <v>85</v>
      </c>
      <c r="H67" s="161">
        <v>85</v>
      </c>
      <c r="I67" s="161">
        <v>85</v>
      </c>
      <c r="J67" s="161"/>
      <c r="K67" s="161"/>
      <c r="L67" s="161"/>
    </row>
    <row r="68" spans="1:16" x14ac:dyDescent="0.25">
      <c r="B68" s="468">
        <v>44992</v>
      </c>
      <c r="C68" s="161">
        <v>10</v>
      </c>
      <c r="D68" s="161" t="s">
        <v>31</v>
      </c>
      <c r="E68" s="161"/>
      <c r="F68" s="161">
        <v>1</v>
      </c>
      <c r="G68" s="161">
        <v>4</v>
      </c>
      <c r="H68" s="161">
        <v>0</v>
      </c>
      <c r="I68" s="161">
        <v>0</v>
      </c>
      <c r="J68" s="161"/>
      <c r="K68" s="161"/>
      <c r="L68" s="161"/>
    </row>
    <row r="69" spans="1:16" x14ac:dyDescent="0.25">
      <c r="B69" s="468">
        <v>44992</v>
      </c>
      <c r="C69" s="161">
        <v>10</v>
      </c>
      <c r="D69" s="161" t="s">
        <v>28</v>
      </c>
      <c r="E69" s="161"/>
      <c r="F69" s="161">
        <v>0</v>
      </c>
      <c r="G69" s="161">
        <v>0</v>
      </c>
      <c r="H69" s="161">
        <v>0</v>
      </c>
      <c r="I69" s="161">
        <v>0</v>
      </c>
      <c r="J69" s="161"/>
      <c r="K69" s="161"/>
      <c r="L69" s="161"/>
    </row>
    <row r="70" spans="1:16" x14ac:dyDescent="0.25">
      <c r="B70" s="468">
        <v>44993</v>
      </c>
      <c r="C70" s="161">
        <v>10</v>
      </c>
      <c r="D70" s="161" t="s">
        <v>29</v>
      </c>
      <c r="E70" s="161"/>
      <c r="F70" s="161">
        <v>3</v>
      </c>
      <c r="G70" s="161">
        <v>31</v>
      </c>
      <c r="H70" s="161">
        <v>31</v>
      </c>
      <c r="I70" s="161">
        <v>31</v>
      </c>
      <c r="J70" s="161"/>
      <c r="K70" s="161"/>
      <c r="L70" s="161"/>
    </row>
    <row r="71" spans="1:16" x14ac:dyDescent="0.25">
      <c r="B71" s="468">
        <v>44993</v>
      </c>
      <c r="C71" s="161">
        <v>10</v>
      </c>
      <c r="D71" s="161" t="s">
        <v>35</v>
      </c>
      <c r="E71" s="161"/>
      <c r="F71" s="161">
        <v>0</v>
      </c>
      <c r="G71" s="161">
        <v>0</v>
      </c>
      <c r="H71" s="161">
        <v>0</v>
      </c>
      <c r="I71" s="161">
        <v>0</v>
      </c>
      <c r="J71" s="161"/>
      <c r="K71" s="161"/>
      <c r="L71" s="161"/>
    </row>
    <row r="72" spans="1:16" x14ac:dyDescent="0.25">
      <c r="B72" s="468">
        <v>45000</v>
      </c>
      <c r="C72" s="161">
        <v>11</v>
      </c>
      <c r="D72" s="161" t="s">
        <v>31</v>
      </c>
      <c r="E72" s="161"/>
      <c r="F72" s="161">
        <v>25</v>
      </c>
      <c r="G72" s="161">
        <v>35</v>
      </c>
      <c r="H72" s="161">
        <v>0</v>
      </c>
      <c r="I72" s="161">
        <v>0</v>
      </c>
      <c r="J72" s="161"/>
      <c r="K72" s="161"/>
      <c r="L72" s="161"/>
      <c r="M72" t="s">
        <v>193</v>
      </c>
    </row>
    <row r="73" spans="1:16" x14ac:dyDescent="0.25">
      <c r="B73" s="468">
        <v>45000</v>
      </c>
      <c r="C73" s="161">
        <v>11</v>
      </c>
      <c r="D73" s="161" t="s">
        <v>28</v>
      </c>
      <c r="E73" s="161"/>
      <c r="F73" s="161">
        <v>95</v>
      </c>
      <c r="G73" s="161">
        <v>108</v>
      </c>
      <c r="H73" s="161"/>
      <c r="I73" s="161"/>
      <c r="J73" s="161"/>
      <c r="K73" s="161"/>
      <c r="L73" s="161"/>
    </row>
    <row r="74" spans="1:16" x14ac:dyDescent="0.25">
      <c r="A74" s="489"/>
      <c r="B74" s="468">
        <v>44999</v>
      </c>
      <c r="C74" s="161">
        <v>11</v>
      </c>
      <c r="D74" s="161" t="s">
        <v>29</v>
      </c>
      <c r="E74" s="161"/>
      <c r="F74" s="161">
        <f>86+110+3</f>
        <v>199</v>
      </c>
      <c r="G74" s="161">
        <f>84+3</f>
        <v>87</v>
      </c>
      <c r="H74" s="161">
        <v>84</v>
      </c>
      <c r="I74" s="161">
        <v>84</v>
      </c>
      <c r="J74" s="161"/>
      <c r="K74" s="161"/>
      <c r="L74" s="161"/>
      <c r="M74" s="232" t="s">
        <v>256</v>
      </c>
      <c r="N74" s="232"/>
      <c r="O74" s="232"/>
      <c r="P74" s="232"/>
    </row>
    <row r="75" spans="1:16" x14ac:dyDescent="0.25">
      <c r="A75" s="489"/>
      <c r="B75" s="468">
        <v>44999</v>
      </c>
      <c r="C75" s="161">
        <v>11</v>
      </c>
      <c r="D75" s="161" t="s">
        <v>35</v>
      </c>
      <c r="E75" s="161"/>
      <c r="F75" s="161">
        <v>17</v>
      </c>
      <c r="G75" s="161">
        <v>17</v>
      </c>
      <c r="H75" s="161"/>
      <c r="I75" s="161"/>
      <c r="J75" s="161"/>
      <c r="K75" s="161"/>
      <c r="L75" s="161"/>
    </row>
    <row r="76" spans="1:16" x14ac:dyDescent="0.25">
      <c r="B76" s="468">
        <v>45033</v>
      </c>
      <c r="C76" s="161">
        <v>16</v>
      </c>
      <c r="D76" s="161" t="s">
        <v>31</v>
      </c>
      <c r="E76" s="161"/>
      <c r="F76" s="161">
        <v>20</v>
      </c>
      <c r="G76" s="161">
        <v>46</v>
      </c>
      <c r="H76" s="161">
        <v>0</v>
      </c>
      <c r="I76" s="161">
        <v>0</v>
      </c>
      <c r="J76" s="161"/>
      <c r="K76" s="161"/>
      <c r="L76" s="161"/>
      <c r="M76" t="s">
        <v>257</v>
      </c>
    </row>
    <row r="77" spans="1:16" x14ac:dyDescent="0.25">
      <c r="B77" s="468">
        <v>45033</v>
      </c>
      <c r="C77" s="161">
        <v>16</v>
      </c>
      <c r="D77" s="161" t="s">
        <v>29</v>
      </c>
      <c r="E77" s="161"/>
      <c r="F77" s="161"/>
      <c r="G77" s="161"/>
      <c r="H77" s="161"/>
      <c r="I77" s="161"/>
      <c r="J77" s="161"/>
      <c r="K77" s="161"/>
      <c r="L77" s="161"/>
    </row>
    <row r="78" spans="1:16" x14ac:dyDescent="0.25">
      <c r="B78" s="468"/>
      <c r="C78" s="161"/>
      <c r="D78" s="161"/>
      <c r="E78" s="161"/>
      <c r="F78" s="161"/>
      <c r="G78" s="161"/>
      <c r="H78" s="161"/>
      <c r="I78" s="161"/>
      <c r="J78" s="161"/>
      <c r="K78" s="161"/>
      <c r="L78" s="161"/>
    </row>
    <row r="79" spans="1:16" x14ac:dyDescent="0.25">
      <c r="B79" s="468"/>
      <c r="C79" s="161"/>
      <c r="D79" s="161"/>
      <c r="E79" s="161"/>
      <c r="F79" s="161"/>
      <c r="G79" s="161"/>
      <c r="H79" s="161"/>
      <c r="I79" s="161"/>
      <c r="J79" s="161"/>
      <c r="K79" s="161"/>
      <c r="L79" s="161"/>
    </row>
    <row r="80" spans="1:16" x14ac:dyDescent="0.25">
      <c r="B80" s="468"/>
      <c r="C80" s="161"/>
      <c r="D80" s="161"/>
      <c r="E80" s="161"/>
      <c r="F80" s="161"/>
      <c r="G80" s="161"/>
      <c r="H80" s="161"/>
      <c r="I80" s="161"/>
      <c r="J80" s="161"/>
      <c r="K80" s="161"/>
      <c r="L80" s="161"/>
    </row>
    <row r="81" spans="2:12" x14ac:dyDescent="0.25">
      <c r="B81" s="161"/>
      <c r="C81" s="181"/>
      <c r="D81" s="161"/>
      <c r="E81" s="161"/>
      <c r="F81" s="161"/>
      <c r="G81" s="161"/>
      <c r="H81" s="161"/>
      <c r="I81" s="161"/>
      <c r="J81" s="161"/>
      <c r="K81" s="181"/>
      <c r="L81" s="181"/>
    </row>
    <row r="84" spans="2:12" x14ac:dyDescent="0.25">
      <c r="F84">
        <f>158-65</f>
        <v>93</v>
      </c>
    </row>
    <row r="85" spans="2:12" x14ac:dyDescent="0.25">
      <c r="J85" s="487"/>
    </row>
  </sheetData>
  <autoFilter ref="B3:L47" xr:uid="{C16960F7-D0C8-438A-AA4E-67C433DFCE6A}">
    <filterColumn colId="4" showButton="0"/>
    <filterColumn colId="5" showButton="0"/>
    <filterColumn colId="6" showButton="0"/>
  </autoFilter>
  <mergeCells count="8">
    <mergeCell ref="L3:L4"/>
    <mergeCell ref="F3:I3"/>
    <mergeCell ref="E3:E4"/>
    <mergeCell ref="B3:B4"/>
    <mergeCell ref="C3:C4"/>
    <mergeCell ref="D3:D4"/>
    <mergeCell ref="J3:J4"/>
    <mergeCell ref="K3:K4"/>
  </mergeCells>
  <pageMargins left="0.7" right="0.7" top="0.75" bottom="0.75" header="0.3" footer="0.3"/>
  <pageSetup orientation="portrait" r:id="rId1"/>
  <ignoredErrors>
    <ignoredError sqref="J1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09F4-8ABA-4C09-AFDA-803CD3E9A3AB}">
  <dimension ref="D2:D4"/>
  <sheetViews>
    <sheetView workbookViewId="0">
      <selection activeCell="D6" sqref="D6"/>
    </sheetView>
  </sheetViews>
  <sheetFormatPr baseColWidth="10" defaultRowHeight="15" x14ac:dyDescent="0.25"/>
  <sheetData>
    <row r="2" spans="4:4" x14ac:dyDescent="0.25">
      <c r="D2" t="s">
        <v>199</v>
      </c>
    </row>
    <row r="3" spans="4:4" x14ac:dyDescent="0.25">
      <c r="D3" t="s">
        <v>198</v>
      </c>
    </row>
    <row r="4" spans="4:4" x14ac:dyDescent="0.25">
      <c r="D4" t="s">
        <v>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EB61-C36D-4D98-90E5-3FE4F5DCA00B}">
  <dimension ref="B8:U234"/>
  <sheetViews>
    <sheetView topLeftCell="A234" workbookViewId="0">
      <selection activeCell="B224" sqref="B224"/>
    </sheetView>
  </sheetViews>
  <sheetFormatPr baseColWidth="10" defaultColWidth="11.42578125" defaultRowHeight="12.75" x14ac:dyDescent="0.25"/>
  <cols>
    <col min="1" max="1" width="1.42578125" style="2" customWidth="1"/>
    <col min="2" max="2" width="26.5703125" style="7" customWidth="1"/>
    <col min="3" max="3" width="11.42578125" style="3"/>
    <col min="4" max="4" width="15.7109375" style="7" customWidth="1"/>
    <col min="5" max="10" width="8.7109375" style="2" customWidth="1"/>
    <col min="11" max="11" width="10.28515625" style="5" customWidth="1"/>
    <col min="12" max="12" width="8.85546875" style="5" customWidth="1"/>
    <col min="13" max="13" width="11" style="5" customWidth="1"/>
    <col min="14" max="14" width="11.140625" style="5" customWidth="1"/>
    <col min="15" max="15" width="10.140625" style="5" customWidth="1"/>
    <col min="16" max="16" width="12.28515625" style="5" customWidth="1"/>
    <col min="17" max="17" width="11.85546875" style="5" customWidth="1"/>
    <col min="18" max="18" width="11.85546875" style="6" customWidth="1"/>
    <col min="19" max="19" width="14.5703125" style="5" customWidth="1"/>
    <col min="20" max="20" width="14.85546875" style="5" customWidth="1"/>
    <col min="21" max="16384" width="11.42578125" style="2"/>
  </cols>
  <sheetData>
    <row r="8" spans="2:21" s="4" customFormat="1" ht="45" customHeight="1" thickBot="1" x14ac:dyDescent="0.3">
      <c r="B8" s="34" t="s">
        <v>6</v>
      </c>
      <c r="C8" s="35" t="s">
        <v>7</v>
      </c>
      <c r="D8" s="36" t="s">
        <v>8</v>
      </c>
      <c r="E8" s="28" t="s">
        <v>9</v>
      </c>
      <c r="F8" s="37" t="s">
        <v>10</v>
      </c>
      <c r="G8" s="37" t="s">
        <v>11</v>
      </c>
      <c r="H8" s="37" t="s">
        <v>12</v>
      </c>
      <c r="I8" s="37" t="s">
        <v>13</v>
      </c>
      <c r="J8" s="37" t="s">
        <v>14</v>
      </c>
      <c r="K8" s="38" t="s">
        <v>0</v>
      </c>
      <c r="L8" s="37" t="s">
        <v>1</v>
      </c>
      <c r="M8" s="38" t="s">
        <v>17</v>
      </c>
      <c r="N8" s="37" t="s">
        <v>18</v>
      </c>
      <c r="O8" s="38" t="s">
        <v>19</v>
      </c>
      <c r="P8" s="37" t="s">
        <v>20</v>
      </c>
      <c r="Q8" s="39" t="s">
        <v>21</v>
      </c>
      <c r="R8" s="37" t="s">
        <v>22</v>
      </c>
      <c r="S8" s="38" t="s">
        <v>23</v>
      </c>
      <c r="T8" s="37" t="s">
        <v>24</v>
      </c>
      <c r="U8" s="40" t="s">
        <v>25</v>
      </c>
    </row>
    <row r="9" spans="2:21" ht="20.100000000000001" customHeight="1" x14ac:dyDescent="0.25">
      <c r="B9" s="29">
        <f>Tabla1[[#This Row],[FECHA]]</f>
        <v>20</v>
      </c>
      <c r="C9" s="26">
        <f>_xlfn.ISOWEEKNUM('CAJAS ELABORADAS'!$C9)</f>
        <v>3</v>
      </c>
      <c r="D9" s="27" t="str">
        <f>Tabla1[[#This Row],[FINCA]]</f>
        <v>DAMAQUIEL</v>
      </c>
      <c r="E9" s="9">
        <f>Tabla1[[#This Row],[Cajas Elaboradas]]</f>
        <v>152</v>
      </c>
      <c r="F9" s="8">
        <f>Tabla1[[#This Row],[Bolsas Elaboradas]]</f>
        <v>51</v>
      </c>
      <c r="G9" s="8">
        <f>Tabla1[[#This Row],[N° DE PERSONAS EN EL EMBARQUE]]</f>
        <v>11</v>
      </c>
      <c r="H9" s="10">
        <f>Tabla1[[#This Row],[Rasimos Cosechados]]</f>
        <v>0</v>
      </c>
      <c r="I9" s="10">
        <f>Tabla1[[#This Row],[Rasimos Prosesados]]</f>
        <v>0</v>
      </c>
      <c r="J9" s="10">
        <f>Tabla1[[#This Row],[Rasimos Rechasados]]</f>
        <v>0</v>
      </c>
      <c r="K9" s="11">
        <f>Tabla1[[#This Row],[PRECIO CAJA]]</f>
        <v>1500</v>
      </c>
      <c r="L9" s="12">
        <f>Tabla1[[#This Row],[PRECIO BOLSA]]</f>
        <v>500</v>
      </c>
      <c r="M9" s="11">
        <f>Tabla1[[#This Row],[PRODUCIDO CAJA]]</f>
        <v>228000</v>
      </c>
      <c r="N9" s="12">
        <f>Tabla1[[#This Row],[PRODUCIDO BOLSAS]]</f>
        <v>25500</v>
      </c>
      <c r="O9" s="11">
        <f>Tabla1[[#This Row],[TOTAL PRODUCIDO]]</f>
        <v>253500</v>
      </c>
      <c r="P9" s="12">
        <f>Tabla1[[#This Row],[Valor Pagado]]</f>
        <v>330000</v>
      </c>
      <c r="Q9" s="13">
        <f>Tabla1[[#This Row],[COEFICIENTE]]</f>
        <v>1</v>
      </c>
      <c r="R9" s="12">
        <f>Tabla1[[#This Row],[Precio Caja2]]</f>
        <v>2003.2894736842106</v>
      </c>
      <c r="S9" s="14">
        <f>Tabla1[[#This Row],[VALOR GANADO]]</f>
        <v>23045.454545454544</v>
      </c>
      <c r="T9" s="32">
        <f>Tabla1[[#This Row],[VALOR  A PAGAR]]</f>
        <v>30000</v>
      </c>
      <c r="U9" s="41">
        <f>Tabla1[[#This Row],[Columna1]]</f>
        <v>6954.5454545454559</v>
      </c>
    </row>
    <row r="10" spans="2:21" ht="20.100000000000001" customHeight="1" x14ac:dyDescent="0.25">
      <c r="B10" s="30">
        <f>Tabla1[[#This Row],[FECHA]]</f>
        <v>44292</v>
      </c>
      <c r="C10" s="15">
        <f>_xlfn.ISOWEEKNUM('CAJAS ELABORADAS'!$C10)</f>
        <v>14</v>
      </c>
      <c r="D10" s="16" t="str">
        <f>Tabla1[[#This Row],[FINCA]]</f>
        <v>SAN PEDRO</v>
      </c>
      <c r="E10" s="17">
        <f>Tabla1[[#This Row],[Cajas Elaboradas]]</f>
        <v>148</v>
      </c>
      <c r="F10" s="15">
        <f>Tabla1[[#This Row],[Bolsas Elaboradas]]</f>
        <v>56</v>
      </c>
      <c r="G10" s="15">
        <f>Tabla1[[#This Row],[N° DE PERSONAS EN EL EMBARQUE]]</f>
        <v>10</v>
      </c>
      <c r="H10" s="18">
        <f>Tabla1[[#This Row],[Rasimos Cosechados]]</f>
        <v>0</v>
      </c>
      <c r="I10" s="18">
        <f>Tabla1[[#This Row],[Rasimos Prosesados]]</f>
        <v>0</v>
      </c>
      <c r="J10" s="18">
        <f>Tabla1[[#This Row],[Rasimos Rechasados]]</f>
        <v>0</v>
      </c>
      <c r="K10" s="19">
        <f>Tabla1[[#This Row],[PRECIO CAJA]]</f>
        <v>1500</v>
      </c>
      <c r="L10" s="20">
        <f>Tabla1[[#This Row],[PRECIO BOLSA]]</f>
        <v>500</v>
      </c>
      <c r="M10" s="19">
        <f>Tabla1[[#This Row],[PRODUCIDO CAJA]]</f>
        <v>222000</v>
      </c>
      <c r="N10" s="20">
        <f>Tabla1[[#This Row],[PRODUCIDO BOLSAS]]</f>
        <v>28000</v>
      </c>
      <c r="O10" s="19">
        <f>Tabla1[[#This Row],[TOTAL PRODUCIDO]]</f>
        <v>250000</v>
      </c>
      <c r="P10" s="20">
        <f>Tabla1[[#This Row],[Valor Pagado]]</f>
        <v>300000</v>
      </c>
      <c r="Q10" s="21">
        <f>Tabla1[[#This Row],[COEFICIENTE]]</f>
        <v>1</v>
      </c>
      <c r="R10" s="20">
        <f>Tabla1[[#This Row],[Precio Caja2]]</f>
        <v>1837.8378378378379</v>
      </c>
      <c r="S10" s="14">
        <f>Tabla1[[#This Row],[VALOR GANADO]]</f>
        <v>25000</v>
      </c>
      <c r="T10" s="33">
        <f>Tabla1[[#This Row],[VALOR  A PAGAR]]</f>
        <v>30000</v>
      </c>
      <c r="U10" s="41">
        <f>Tabla1[[#This Row],[Columna1]]</f>
        <v>5000</v>
      </c>
    </row>
    <row r="11" spans="2:21" ht="20.100000000000001" customHeight="1" x14ac:dyDescent="0.25">
      <c r="B11" s="31">
        <f>Tabla1[[#This Row],[FECHA]]</f>
        <v>44293</v>
      </c>
      <c r="C11" s="22">
        <f>_xlfn.ISOWEEKNUM('CAJAS ELABORADAS'!$C11)</f>
        <v>14</v>
      </c>
      <c r="D11" s="23" t="str">
        <f>Tabla1[[#This Row],[FINCA]]</f>
        <v>SAN PEDRO</v>
      </c>
      <c r="E11" s="24">
        <f>Tabla1[[#This Row],[Cajas Elaboradas]]</f>
        <v>134</v>
      </c>
      <c r="F11" s="22">
        <f>Tabla1[[#This Row],[Bolsas Elaboradas]]</f>
        <v>62</v>
      </c>
      <c r="G11" s="22">
        <f>Tabla1[[#This Row],[N° DE PERSONAS EN EL EMBARQUE]]</f>
        <v>21</v>
      </c>
      <c r="H11" s="25">
        <f>Tabla1[[#This Row],[Rasimos Cosechados]]</f>
        <v>0</v>
      </c>
      <c r="I11" s="25">
        <f>Tabla1[[#This Row],[Rasimos Prosesados]]</f>
        <v>0</v>
      </c>
      <c r="J11" s="25">
        <f>Tabla1[[#This Row],[Rasimos Rechasados]]</f>
        <v>0</v>
      </c>
      <c r="K11" s="11">
        <f>Tabla1[[#This Row],[PRECIO CAJA]]</f>
        <v>1500</v>
      </c>
      <c r="L11" s="12">
        <f>Tabla1[[#This Row],[PRECIO BOLSA]]</f>
        <v>500</v>
      </c>
      <c r="M11" s="11">
        <f>Tabla1[[#This Row],[PRODUCIDO CAJA]]</f>
        <v>201000</v>
      </c>
      <c r="N11" s="12">
        <f>Tabla1[[#This Row],[PRODUCIDO BOLSAS]]</f>
        <v>31000</v>
      </c>
      <c r="O11" s="11">
        <f>Tabla1[[#This Row],[TOTAL PRODUCIDO]]</f>
        <v>232000</v>
      </c>
      <c r="P11" s="12">
        <f>Tabla1[[#This Row],[Valor Pagado]]</f>
        <v>630000</v>
      </c>
      <c r="Q11" s="13">
        <f>Tabla1[[#This Row],[COEFICIENTE]]</f>
        <v>1</v>
      </c>
      <c r="R11" s="12">
        <f>Tabla1[[#This Row],[Precio Caja2]]</f>
        <v>4470.1492537313434</v>
      </c>
      <c r="S11" s="14">
        <f>Tabla1[[#This Row],[VALOR GANADO]]</f>
        <v>11047.619047619048</v>
      </c>
      <c r="T11" s="32">
        <f>Tabla1[[#This Row],[VALOR  A PAGAR]]</f>
        <v>30000</v>
      </c>
      <c r="U11" s="41">
        <f>Tabla1[[#This Row],[Columna1]]</f>
        <v>18952.380952380954</v>
      </c>
    </row>
    <row r="12" spans="2:21" ht="20.100000000000001" customHeight="1" x14ac:dyDescent="0.25">
      <c r="B12" s="30">
        <f>Tabla1[[#This Row],[FECHA]]</f>
        <v>44293</v>
      </c>
      <c r="C12" s="15">
        <f>_xlfn.ISOWEEKNUM('CAJAS ELABORADAS'!$C12)</f>
        <v>14</v>
      </c>
      <c r="D12" s="16" t="str">
        <f>Tabla1[[#This Row],[FINCA]]</f>
        <v>UVEROS</v>
      </c>
      <c r="E12" s="17">
        <f>Tabla1[[#This Row],[Cajas Elaboradas]]</f>
        <v>119</v>
      </c>
      <c r="F12" s="15">
        <f>Tabla1[[#This Row],[Bolsas Elaboradas]]</f>
        <v>23</v>
      </c>
      <c r="G12" s="15">
        <f>Tabla1[[#This Row],[N° DE PERSONAS EN EL EMBARQUE]]</f>
        <v>6</v>
      </c>
      <c r="H12" s="18">
        <f>Tabla1[[#This Row],[Rasimos Cosechados]]</f>
        <v>0</v>
      </c>
      <c r="I12" s="18">
        <f>Tabla1[[#This Row],[Rasimos Prosesados]]</f>
        <v>0</v>
      </c>
      <c r="J12" s="18">
        <f>Tabla1[[#This Row],[Rasimos Rechasados]]</f>
        <v>0</v>
      </c>
      <c r="K12" s="19">
        <f>Tabla1[[#This Row],[PRECIO CAJA]]</f>
        <v>1500</v>
      </c>
      <c r="L12" s="20">
        <f>Tabla1[[#This Row],[PRECIO BOLSA]]</f>
        <v>500</v>
      </c>
      <c r="M12" s="19">
        <f>Tabla1[[#This Row],[PRODUCIDO CAJA]]</f>
        <v>178500</v>
      </c>
      <c r="N12" s="20">
        <f>Tabla1[[#This Row],[PRODUCIDO BOLSAS]]</f>
        <v>11500</v>
      </c>
      <c r="O12" s="19">
        <f>Tabla1[[#This Row],[TOTAL PRODUCIDO]]</f>
        <v>190000</v>
      </c>
      <c r="P12" s="20">
        <f>Tabla1[[#This Row],[Valor Pagado]]</f>
        <v>190000</v>
      </c>
      <c r="Q12" s="21">
        <f>Tabla1[[#This Row],[COEFICIENTE]]</f>
        <v>1.0555555555555556</v>
      </c>
      <c r="R12" s="20">
        <f>Tabla1[[#This Row],[Precio Caja2]]</f>
        <v>1500</v>
      </c>
      <c r="S12" s="14">
        <f>Tabla1[[#This Row],[VALOR GANADO]]</f>
        <v>31666.666666666668</v>
      </c>
      <c r="T12" s="33">
        <f>Tabla1[[#This Row],[VALOR  A PAGAR]]</f>
        <v>31666.666666666668</v>
      </c>
      <c r="U12" s="41">
        <f>Tabla1[[#This Row],[Columna1]]</f>
        <v>0</v>
      </c>
    </row>
    <row r="13" spans="2:21" ht="20.100000000000001" customHeight="1" x14ac:dyDescent="0.25">
      <c r="B13" s="31">
        <f>Tabla1[[#This Row],[FECHA]]</f>
        <v>44299</v>
      </c>
      <c r="C13" s="22">
        <f>_xlfn.ISOWEEKNUM('CAJAS ELABORADAS'!$C13)</f>
        <v>15</v>
      </c>
      <c r="D13" s="23" t="str">
        <f>Tabla1[[#This Row],[FINCA]]</f>
        <v>DAMAQUIEL</v>
      </c>
      <c r="E13" s="24">
        <f>Tabla1[[#This Row],[Cajas Elaboradas]]</f>
        <v>159</v>
      </c>
      <c r="F13" s="22">
        <f>Tabla1[[#This Row],[Bolsas Elaboradas]]</f>
        <v>70</v>
      </c>
      <c r="G13" s="22">
        <f>Tabla1[[#This Row],[N° DE PERSONAS EN EL EMBARQUE]]</f>
        <v>10</v>
      </c>
      <c r="H13" s="25">
        <f>Tabla1[[#This Row],[Rasimos Cosechados]]</f>
        <v>0</v>
      </c>
      <c r="I13" s="25">
        <f>Tabla1[[#This Row],[Rasimos Prosesados]]</f>
        <v>0</v>
      </c>
      <c r="J13" s="25">
        <f>Tabla1[[#This Row],[Rasimos Rechasados]]</f>
        <v>0</v>
      </c>
      <c r="K13" s="11">
        <f>Tabla1[[#This Row],[PRECIO CAJA]]</f>
        <v>1500</v>
      </c>
      <c r="L13" s="12">
        <f>Tabla1[[#This Row],[PRECIO BOLSA]]</f>
        <v>500</v>
      </c>
      <c r="M13" s="11">
        <f>Tabla1[[#This Row],[PRODUCIDO CAJA]]</f>
        <v>238500</v>
      </c>
      <c r="N13" s="12">
        <f>Tabla1[[#This Row],[PRODUCIDO BOLSAS]]</f>
        <v>35000</v>
      </c>
      <c r="O13" s="11">
        <f>Tabla1[[#This Row],[TOTAL PRODUCIDO]]</f>
        <v>273500</v>
      </c>
      <c r="P13" s="12">
        <f>Tabla1[[#This Row],[Valor Pagado]]</f>
        <v>300000</v>
      </c>
      <c r="Q13" s="13">
        <f>Tabla1[[#This Row],[COEFICIENTE]]</f>
        <v>1</v>
      </c>
      <c r="R13" s="12">
        <f>Tabla1[[#This Row],[Precio Caja2]]</f>
        <v>1666.6666666666667</v>
      </c>
      <c r="S13" s="14">
        <f>Tabla1[[#This Row],[VALOR GANADO]]</f>
        <v>27350</v>
      </c>
      <c r="T13" s="32">
        <f>Tabla1[[#This Row],[VALOR  A PAGAR]]</f>
        <v>30000</v>
      </c>
      <c r="U13" s="41">
        <f>Tabla1[[#This Row],[Columna1]]</f>
        <v>2650</v>
      </c>
    </row>
    <row r="14" spans="2:21" ht="20.100000000000001" customHeight="1" x14ac:dyDescent="0.25">
      <c r="B14" s="30">
        <f>Tabla1[[#This Row],[FECHA]]</f>
        <v>44299</v>
      </c>
      <c r="C14" s="15">
        <f>_xlfn.ISOWEEKNUM('CAJAS ELABORADAS'!$C14)</f>
        <v>15</v>
      </c>
      <c r="D14" s="16" t="str">
        <f>Tabla1[[#This Row],[FINCA]]</f>
        <v>PEDRITO</v>
      </c>
      <c r="E14" s="17">
        <f>Tabla1[[#This Row],[Cajas Elaboradas]]</f>
        <v>21</v>
      </c>
      <c r="F14" s="15">
        <f>Tabla1[[#This Row],[Bolsas Elaboradas]]</f>
        <v>20</v>
      </c>
      <c r="G14" s="15">
        <f>Tabla1[[#This Row],[N° DE PERSONAS EN EL EMBARQUE]]</f>
        <v>12</v>
      </c>
      <c r="H14" s="18">
        <f>Tabla1[[#This Row],[Rasimos Cosechados]]</f>
        <v>0</v>
      </c>
      <c r="I14" s="18">
        <f>Tabla1[[#This Row],[Rasimos Prosesados]]</f>
        <v>0</v>
      </c>
      <c r="J14" s="18">
        <f>Tabla1[[#This Row],[Rasimos Rechasados]]</f>
        <v>0</v>
      </c>
      <c r="K14" s="19">
        <f>Tabla1[[#This Row],[PRECIO CAJA]]</f>
        <v>3000</v>
      </c>
      <c r="L14" s="20">
        <f>Tabla1[[#This Row],[PRECIO BOLSA]]</f>
        <v>500</v>
      </c>
      <c r="M14" s="19">
        <f>Tabla1[[#This Row],[PRODUCIDO CAJA]]</f>
        <v>63000</v>
      </c>
      <c r="N14" s="20">
        <f>Tabla1[[#This Row],[PRODUCIDO BOLSAS]]</f>
        <v>10000</v>
      </c>
      <c r="O14" s="19">
        <f>Tabla1[[#This Row],[TOTAL PRODUCIDO]]</f>
        <v>73000</v>
      </c>
      <c r="P14" s="20">
        <f>Tabla1[[#This Row],[Valor Pagado]]</f>
        <v>360000</v>
      </c>
      <c r="Q14" s="21">
        <f>Tabla1[[#This Row],[COEFICIENTE]]</f>
        <v>1</v>
      </c>
      <c r="R14" s="20">
        <f>Tabla1[[#This Row],[Precio Caja2]]</f>
        <v>16666.666666666668</v>
      </c>
      <c r="S14" s="14">
        <f>Tabla1[[#This Row],[VALOR GANADO]]</f>
        <v>6083.333333333333</v>
      </c>
      <c r="T14" s="33">
        <f>Tabla1[[#This Row],[VALOR  A PAGAR]]</f>
        <v>30000</v>
      </c>
      <c r="U14" s="41">
        <f>Tabla1[[#This Row],[Columna1]]</f>
        <v>23916.666666666668</v>
      </c>
    </row>
    <row r="15" spans="2:21" ht="20.100000000000001" customHeight="1" x14ac:dyDescent="0.25">
      <c r="B15" s="31">
        <f>Tabla1[[#This Row],[FECHA]]</f>
        <v>44300</v>
      </c>
      <c r="C15" s="22">
        <f>_xlfn.ISOWEEKNUM('CAJAS ELABORADAS'!$C15)</f>
        <v>15</v>
      </c>
      <c r="D15" s="23" t="str">
        <f>Tabla1[[#This Row],[FINCA]]</f>
        <v xml:space="preserve">UVEROS </v>
      </c>
      <c r="E15" s="24">
        <f>Tabla1[[#This Row],[Cajas Elaboradas]]</f>
        <v>71</v>
      </c>
      <c r="F15" s="22">
        <f>Tabla1[[#This Row],[Bolsas Elaboradas]]</f>
        <v>28</v>
      </c>
      <c r="G15" s="22">
        <f>Tabla1[[#This Row],[N° DE PERSONAS EN EL EMBARQUE]]</f>
        <v>7</v>
      </c>
      <c r="H15" s="25">
        <f>Tabla1[[#This Row],[Rasimos Cosechados]]</f>
        <v>0</v>
      </c>
      <c r="I15" s="25">
        <f>Tabla1[[#This Row],[Rasimos Prosesados]]</f>
        <v>0</v>
      </c>
      <c r="J15" s="25">
        <f>Tabla1[[#This Row],[Rasimos Rechasados]]</f>
        <v>0</v>
      </c>
      <c r="K15" s="11">
        <f>Tabla1[[#This Row],[PRECIO CAJA]]</f>
        <v>1500</v>
      </c>
      <c r="L15" s="12">
        <f>Tabla1[[#This Row],[PRECIO BOLSA]]</f>
        <v>500</v>
      </c>
      <c r="M15" s="11">
        <f>Tabla1[[#This Row],[PRODUCIDO CAJA]]</f>
        <v>106500</v>
      </c>
      <c r="N15" s="12">
        <f>Tabla1[[#This Row],[PRODUCIDO BOLSAS]]</f>
        <v>14000</v>
      </c>
      <c r="O15" s="11">
        <f>Tabla1[[#This Row],[TOTAL PRODUCIDO]]</f>
        <v>120500</v>
      </c>
      <c r="P15" s="12">
        <f>Tabla1[[#This Row],[Valor Pagado]]</f>
        <v>210000</v>
      </c>
      <c r="Q15" s="13">
        <f>Tabla1[[#This Row],[COEFICIENTE]]</f>
        <v>1</v>
      </c>
      <c r="R15" s="12">
        <f>Tabla1[[#This Row],[Precio Caja2]]</f>
        <v>2760.5633802816901</v>
      </c>
      <c r="S15" s="14">
        <f>Tabla1[[#This Row],[VALOR GANADO]]</f>
        <v>17214.285714285714</v>
      </c>
      <c r="T15" s="32">
        <f>Tabla1[[#This Row],[VALOR  A PAGAR]]</f>
        <v>30000</v>
      </c>
      <c r="U15" s="41">
        <f>Tabla1[[#This Row],[Columna1]]</f>
        <v>12785.714285714286</v>
      </c>
    </row>
    <row r="16" spans="2:21" ht="20.100000000000001" customHeight="1" x14ac:dyDescent="0.25">
      <c r="B16" s="30">
        <f>Tabla1[[#This Row],[FECHA]]</f>
        <v>44300</v>
      </c>
      <c r="C16" s="15">
        <f>_xlfn.ISOWEEKNUM('CAJAS ELABORADAS'!$C16)</f>
        <v>15</v>
      </c>
      <c r="D16" s="16" t="str">
        <f>Tabla1[[#This Row],[FINCA]]</f>
        <v>SAN PEDRO</v>
      </c>
      <c r="E16" s="17">
        <f>Tabla1[[#This Row],[Cajas Elaboradas]]</f>
        <v>229</v>
      </c>
      <c r="F16" s="15">
        <f>Tabla1[[#This Row],[Bolsas Elaboradas]]</f>
        <v>210</v>
      </c>
      <c r="G16" s="15">
        <f>Tabla1[[#This Row],[N° DE PERSONAS EN EL EMBARQUE]]</f>
        <v>17</v>
      </c>
      <c r="H16" s="18">
        <f>Tabla1[[#This Row],[Rasimos Cosechados]]</f>
        <v>0</v>
      </c>
      <c r="I16" s="18">
        <f>Tabla1[[#This Row],[Rasimos Prosesados]]</f>
        <v>0</v>
      </c>
      <c r="J16" s="18">
        <f>Tabla1[[#This Row],[Rasimos Rechasados]]</f>
        <v>0</v>
      </c>
      <c r="K16" s="19">
        <f>Tabla1[[#This Row],[PRECIO CAJA]]</f>
        <v>1500</v>
      </c>
      <c r="L16" s="20">
        <f>Tabla1[[#This Row],[PRECIO BOLSA]]</f>
        <v>500</v>
      </c>
      <c r="M16" s="19">
        <f>Tabla1[[#This Row],[PRODUCIDO CAJA]]</f>
        <v>343500</v>
      </c>
      <c r="N16" s="20">
        <f>Tabla1[[#This Row],[PRODUCIDO BOLSAS]]</f>
        <v>105000</v>
      </c>
      <c r="O16" s="19">
        <f>Tabla1[[#This Row],[TOTAL PRODUCIDO]]</f>
        <v>448500</v>
      </c>
      <c r="P16" s="20">
        <f>Tabla1[[#This Row],[Valor Pagado]]</f>
        <v>510000</v>
      </c>
      <c r="Q16" s="21">
        <f>Tabla1[[#This Row],[COEFICIENTE]]</f>
        <v>1</v>
      </c>
      <c r="R16" s="20">
        <f>Tabla1[[#This Row],[Precio Caja2]]</f>
        <v>1768.5589519650655</v>
      </c>
      <c r="S16" s="14">
        <f>Tabla1[[#This Row],[VALOR GANADO]]</f>
        <v>26382.352941176472</v>
      </c>
      <c r="T16" s="33">
        <f>Tabla1[[#This Row],[VALOR  A PAGAR]]</f>
        <v>30000</v>
      </c>
      <c r="U16" s="41">
        <f>Tabla1[[#This Row],[Columna1]]</f>
        <v>3617.6470588235279</v>
      </c>
    </row>
    <row r="17" spans="2:21" ht="20.100000000000001" customHeight="1" x14ac:dyDescent="0.25">
      <c r="B17" s="31">
        <f>Tabla1[[#This Row],[FECHA]]</f>
        <v>44306</v>
      </c>
      <c r="C17" s="22">
        <f>_xlfn.ISOWEEKNUM('CAJAS ELABORADAS'!$C17)</f>
        <v>16</v>
      </c>
      <c r="D17" s="23" t="str">
        <f>Tabla1[[#This Row],[FINCA]]</f>
        <v>DAMAQUIEL</v>
      </c>
      <c r="E17" s="24">
        <f>Tabla1[[#This Row],[Cajas Elaboradas]]</f>
        <v>101</v>
      </c>
      <c r="F17" s="22">
        <f>Tabla1[[#This Row],[Bolsas Elaboradas]]</f>
        <v>54</v>
      </c>
      <c r="G17" s="22">
        <f>Tabla1[[#This Row],[N° DE PERSONAS EN EL EMBARQUE]]</f>
        <v>14</v>
      </c>
      <c r="H17" s="25">
        <f>Tabla1[[#This Row],[Rasimos Cosechados]]</f>
        <v>0</v>
      </c>
      <c r="I17" s="25">
        <f>Tabla1[[#This Row],[Rasimos Prosesados]]</f>
        <v>0</v>
      </c>
      <c r="J17" s="25">
        <f>Tabla1[[#This Row],[Rasimos Rechasados]]</f>
        <v>0</v>
      </c>
      <c r="K17" s="11">
        <f>Tabla1[[#This Row],[PRECIO CAJA]]</f>
        <v>1500</v>
      </c>
      <c r="L17" s="12">
        <f>Tabla1[[#This Row],[PRECIO BOLSA]]</f>
        <v>500</v>
      </c>
      <c r="M17" s="11">
        <f>Tabla1[[#This Row],[PRODUCIDO CAJA]]</f>
        <v>151500</v>
      </c>
      <c r="N17" s="12">
        <f>Tabla1[[#This Row],[PRODUCIDO BOLSAS]]</f>
        <v>27000</v>
      </c>
      <c r="O17" s="11">
        <f>Tabla1[[#This Row],[TOTAL PRODUCIDO]]</f>
        <v>178500</v>
      </c>
      <c r="P17" s="12">
        <f>Tabla1[[#This Row],[Valor Pagado]]</f>
        <v>420000</v>
      </c>
      <c r="Q17" s="13">
        <f>Tabla1[[#This Row],[COEFICIENTE]]</f>
        <v>1</v>
      </c>
      <c r="R17" s="12">
        <f>Tabla1[[#This Row],[Precio Caja2]]</f>
        <v>3891.0891089108909</v>
      </c>
      <c r="S17" s="14">
        <f>Tabla1[[#This Row],[VALOR GANADO]]</f>
        <v>12750</v>
      </c>
      <c r="T17" s="32">
        <f>Tabla1[[#This Row],[VALOR  A PAGAR]]</f>
        <v>30000</v>
      </c>
      <c r="U17" s="41">
        <f>Tabla1[[#This Row],[Columna1]]</f>
        <v>17250</v>
      </c>
    </row>
    <row r="18" spans="2:21" ht="20.100000000000001" customHeight="1" x14ac:dyDescent="0.25">
      <c r="B18" s="30">
        <f>Tabla1[[#This Row],[FECHA]]</f>
        <v>44306</v>
      </c>
      <c r="C18" s="15">
        <f>_xlfn.ISOWEEKNUM('CAJAS ELABORADAS'!$C18)</f>
        <v>16</v>
      </c>
      <c r="D18" s="16" t="str">
        <f>Tabla1[[#This Row],[FINCA]]</f>
        <v>PEDRITO</v>
      </c>
      <c r="E18" s="17">
        <f>Tabla1[[#This Row],[Cajas Elaboradas]]</f>
        <v>16</v>
      </c>
      <c r="F18" s="15">
        <f>Tabla1[[#This Row],[Bolsas Elaboradas]]</f>
        <v>14</v>
      </c>
      <c r="G18" s="15">
        <f>Tabla1[[#This Row],[N° DE PERSONAS EN EL EMBARQUE]]</f>
        <v>12</v>
      </c>
      <c r="H18" s="18">
        <f>Tabla1[[#This Row],[Rasimos Cosechados]]</f>
        <v>0</v>
      </c>
      <c r="I18" s="18">
        <f>Tabla1[[#This Row],[Rasimos Prosesados]]</f>
        <v>0</v>
      </c>
      <c r="J18" s="18">
        <f>Tabla1[[#This Row],[Rasimos Rechasados]]</f>
        <v>0</v>
      </c>
      <c r="K18" s="19">
        <f>Tabla1[[#This Row],[PRECIO CAJA]]</f>
        <v>3000</v>
      </c>
      <c r="L18" s="20">
        <f>Tabla1[[#This Row],[PRECIO BOLSA]]</f>
        <v>500</v>
      </c>
      <c r="M18" s="19">
        <f>Tabla1[[#This Row],[PRODUCIDO CAJA]]</f>
        <v>48000</v>
      </c>
      <c r="N18" s="20">
        <f>Tabla1[[#This Row],[PRODUCIDO BOLSAS]]</f>
        <v>7000</v>
      </c>
      <c r="O18" s="19">
        <f>Tabla1[[#This Row],[TOTAL PRODUCIDO]]</f>
        <v>55000</v>
      </c>
      <c r="P18" s="20">
        <f>Tabla1[[#This Row],[Valor Pagado]]</f>
        <v>360000</v>
      </c>
      <c r="Q18" s="21">
        <f>Tabla1[[#This Row],[COEFICIENTE]]</f>
        <v>1</v>
      </c>
      <c r="R18" s="20">
        <f>Tabla1[[#This Row],[Precio Caja2]]</f>
        <v>22062.5</v>
      </c>
      <c r="S18" s="14">
        <f>Tabla1[[#This Row],[VALOR GANADO]]</f>
        <v>4583.333333333333</v>
      </c>
      <c r="T18" s="33">
        <f>Tabla1[[#This Row],[VALOR  A PAGAR]]</f>
        <v>30000</v>
      </c>
      <c r="U18" s="41">
        <f>Tabla1[[#This Row],[Columna1]]</f>
        <v>25416.666666666668</v>
      </c>
    </row>
    <row r="19" spans="2:21" ht="20.100000000000001" customHeight="1" x14ac:dyDescent="0.25">
      <c r="B19" s="31">
        <f>Tabla1[[#This Row],[FECHA]]</f>
        <v>44306</v>
      </c>
      <c r="C19" s="22">
        <f>_xlfn.ISOWEEKNUM('CAJAS ELABORADAS'!$C19)</f>
        <v>16</v>
      </c>
      <c r="D19" s="23" t="str">
        <f>Tabla1[[#This Row],[FINCA]]</f>
        <v>SAN PEDRO</v>
      </c>
      <c r="E19" s="24">
        <f>Tabla1[[#This Row],[Cajas Elaboradas]]</f>
        <v>180</v>
      </c>
      <c r="F19" s="22">
        <f>Tabla1[[#This Row],[Bolsas Elaboradas]]</f>
        <v>60</v>
      </c>
      <c r="G19" s="22">
        <f>Tabla1[[#This Row],[N° DE PERSONAS EN EL EMBARQUE]]</f>
        <v>13</v>
      </c>
      <c r="H19" s="25">
        <f>Tabla1[[#This Row],[Rasimos Cosechados]]</f>
        <v>0</v>
      </c>
      <c r="I19" s="25">
        <f>Tabla1[[#This Row],[Rasimos Prosesados]]</f>
        <v>0</v>
      </c>
      <c r="J19" s="25">
        <f>Tabla1[[#This Row],[Rasimos Rechasados]]</f>
        <v>0</v>
      </c>
      <c r="K19" s="11">
        <f>Tabla1[[#This Row],[PRECIO CAJA]]</f>
        <v>1500</v>
      </c>
      <c r="L19" s="12">
        <f>Tabla1[[#This Row],[PRECIO BOLSA]]</f>
        <v>500</v>
      </c>
      <c r="M19" s="11">
        <f>Tabla1[[#This Row],[PRODUCIDO CAJA]]</f>
        <v>270000</v>
      </c>
      <c r="N19" s="12">
        <f>Tabla1[[#This Row],[PRODUCIDO BOLSAS]]</f>
        <v>30000</v>
      </c>
      <c r="O19" s="11">
        <f>Tabla1[[#This Row],[TOTAL PRODUCIDO]]</f>
        <v>300000</v>
      </c>
      <c r="P19" s="12">
        <f>Tabla1[[#This Row],[Valor Pagado]]</f>
        <v>390000</v>
      </c>
      <c r="Q19" s="13">
        <f>Tabla1[[#This Row],[COEFICIENTE]]</f>
        <v>1</v>
      </c>
      <c r="R19" s="12">
        <f>Tabla1[[#This Row],[Precio Caja2]]</f>
        <v>2000</v>
      </c>
      <c r="S19" s="14">
        <f>Tabla1[[#This Row],[VALOR GANADO]]</f>
        <v>23076.923076923078</v>
      </c>
      <c r="T19" s="32">
        <f>Tabla1[[#This Row],[VALOR  A PAGAR]]</f>
        <v>30000</v>
      </c>
      <c r="U19" s="41">
        <f>Tabla1[[#This Row],[Columna1]]</f>
        <v>6923.076923076922</v>
      </c>
    </row>
    <row r="20" spans="2:21" ht="20.100000000000001" customHeight="1" x14ac:dyDescent="0.25">
      <c r="B20" s="30">
        <f>Tabla1[[#This Row],[FECHA]]</f>
        <v>44307</v>
      </c>
      <c r="C20" s="15">
        <f>_xlfn.ISOWEEKNUM('CAJAS ELABORADAS'!$C20)</f>
        <v>16</v>
      </c>
      <c r="D20" s="16" t="str">
        <f>Tabla1[[#This Row],[FINCA]]</f>
        <v>UVEROS</v>
      </c>
      <c r="E20" s="17">
        <f>Tabla1[[#This Row],[Cajas Elaboradas]]</f>
        <v>71</v>
      </c>
      <c r="F20" s="15">
        <f>Tabla1[[#This Row],[Bolsas Elaboradas]]</f>
        <v>34</v>
      </c>
      <c r="G20" s="15">
        <f>Tabla1[[#This Row],[N° DE PERSONAS EN EL EMBARQUE]]</f>
        <v>7</v>
      </c>
      <c r="H20" s="18">
        <f>Tabla1[[#This Row],[Rasimos Cosechados]]</f>
        <v>0</v>
      </c>
      <c r="I20" s="18">
        <f>Tabla1[[#This Row],[Rasimos Prosesados]]</f>
        <v>0</v>
      </c>
      <c r="J20" s="18">
        <f>Tabla1[[#This Row],[Rasimos Rechasados]]</f>
        <v>0</v>
      </c>
      <c r="K20" s="19">
        <f>Tabla1[[#This Row],[PRECIO CAJA]]</f>
        <v>1500</v>
      </c>
      <c r="L20" s="20">
        <f>Tabla1[[#This Row],[PRECIO BOLSA]]</f>
        <v>500</v>
      </c>
      <c r="M20" s="19">
        <f>Tabla1[[#This Row],[PRODUCIDO CAJA]]</f>
        <v>106500</v>
      </c>
      <c r="N20" s="20">
        <f>Tabla1[[#This Row],[PRODUCIDO BOLSAS]]</f>
        <v>17000</v>
      </c>
      <c r="O20" s="19">
        <f>Tabla1[[#This Row],[TOTAL PRODUCIDO]]</f>
        <v>123500</v>
      </c>
      <c r="P20" s="20">
        <f>Tabla1[[#This Row],[Valor Pagado]]</f>
        <v>210000</v>
      </c>
      <c r="Q20" s="21">
        <f>Tabla1[[#This Row],[COEFICIENTE]]</f>
        <v>1</v>
      </c>
      <c r="R20" s="20">
        <f>Tabla1[[#This Row],[Precio Caja2]]</f>
        <v>2718.3098591549297</v>
      </c>
      <c r="S20" s="14">
        <f>Tabla1[[#This Row],[VALOR GANADO]]</f>
        <v>17642.857142857141</v>
      </c>
      <c r="T20" s="33">
        <f>Tabla1[[#This Row],[VALOR  A PAGAR]]</f>
        <v>30000</v>
      </c>
      <c r="U20" s="41">
        <f>Tabla1[[#This Row],[Columna1]]</f>
        <v>12357.142857142859</v>
      </c>
    </row>
    <row r="21" spans="2:21" ht="20.100000000000001" customHeight="1" x14ac:dyDescent="0.25">
      <c r="B21" s="31">
        <f>Tabla1[[#This Row],[FECHA]]</f>
        <v>44307</v>
      </c>
      <c r="C21" s="22">
        <f>_xlfn.ISOWEEKNUM('CAJAS ELABORADAS'!$C21)</f>
        <v>16</v>
      </c>
      <c r="D21" s="23" t="str">
        <f>Tabla1[[#This Row],[FINCA]]</f>
        <v>SAN PEDRO</v>
      </c>
      <c r="E21" s="24">
        <f>Tabla1[[#This Row],[Cajas Elaboradas]]</f>
        <v>189</v>
      </c>
      <c r="F21" s="22">
        <f>Tabla1[[#This Row],[Bolsas Elaboradas]]</f>
        <v>234</v>
      </c>
      <c r="G21" s="22">
        <f>Tabla1[[#This Row],[N° DE PERSONAS EN EL EMBARQUE]]</f>
        <v>15</v>
      </c>
      <c r="H21" s="25">
        <f>Tabla1[[#This Row],[Rasimos Cosechados]]</f>
        <v>0</v>
      </c>
      <c r="I21" s="25">
        <f>Tabla1[[#This Row],[Rasimos Prosesados]]</f>
        <v>0</v>
      </c>
      <c r="J21" s="25">
        <f>Tabla1[[#This Row],[Rasimos Rechasados]]</f>
        <v>0</v>
      </c>
      <c r="K21" s="11">
        <f>Tabla1[[#This Row],[PRECIO CAJA]]</f>
        <v>1500</v>
      </c>
      <c r="L21" s="12">
        <f>Tabla1[[#This Row],[PRECIO BOLSA]]</f>
        <v>500</v>
      </c>
      <c r="M21" s="11">
        <f>Tabla1[[#This Row],[PRODUCIDO CAJA]]</f>
        <v>283500</v>
      </c>
      <c r="N21" s="12">
        <f>Tabla1[[#This Row],[PRODUCIDO BOLSAS]]</f>
        <v>117000</v>
      </c>
      <c r="O21" s="11">
        <f>Tabla1[[#This Row],[TOTAL PRODUCIDO]]</f>
        <v>400500</v>
      </c>
      <c r="P21" s="12">
        <f>Tabla1[[#This Row],[Valor Pagado]]</f>
        <v>450000</v>
      </c>
      <c r="Q21" s="13">
        <f>Tabla1[[#This Row],[COEFICIENTE]]</f>
        <v>1</v>
      </c>
      <c r="R21" s="12">
        <f>Tabla1[[#This Row],[Precio Caja2]]</f>
        <v>1761.9047619047619</v>
      </c>
      <c r="S21" s="14">
        <f>Tabla1[[#This Row],[VALOR GANADO]]</f>
        <v>26700</v>
      </c>
      <c r="T21" s="32">
        <f>Tabla1[[#This Row],[VALOR  A PAGAR]]</f>
        <v>30000</v>
      </c>
      <c r="U21" s="41">
        <f>Tabla1[[#This Row],[Columna1]]</f>
        <v>3300</v>
      </c>
    </row>
    <row r="22" spans="2:21" ht="20.100000000000001" customHeight="1" x14ac:dyDescent="0.25">
      <c r="B22" s="30">
        <f>Tabla1[[#This Row],[FECHA]]</f>
        <v>44313</v>
      </c>
      <c r="C22" s="15">
        <f>_xlfn.ISOWEEKNUM('CAJAS ELABORADAS'!$C22)</f>
        <v>17</v>
      </c>
      <c r="D22" s="16" t="str">
        <f>Tabla1[[#This Row],[FINCA]]</f>
        <v>SAN PEDRO</v>
      </c>
      <c r="E22" s="17">
        <f>Tabla1[[#This Row],[Cajas Elaboradas]]</f>
        <v>212</v>
      </c>
      <c r="F22" s="15">
        <f>Tabla1[[#This Row],[Bolsas Elaboradas]]</f>
        <v>165</v>
      </c>
      <c r="G22" s="15">
        <f>Tabla1[[#This Row],[N° DE PERSONAS EN EL EMBARQUE]]</f>
        <v>22</v>
      </c>
      <c r="H22" s="18">
        <f>Tabla1[[#This Row],[Rasimos Cosechados]]</f>
        <v>0</v>
      </c>
      <c r="I22" s="18">
        <f>Tabla1[[#This Row],[Rasimos Prosesados]]</f>
        <v>0</v>
      </c>
      <c r="J22" s="18">
        <f>Tabla1[[#This Row],[Rasimos Rechasados]]</f>
        <v>0</v>
      </c>
      <c r="K22" s="19">
        <f>Tabla1[[#This Row],[PRECIO CAJA]]</f>
        <v>1500</v>
      </c>
      <c r="L22" s="20">
        <f>Tabla1[[#This Row],[PRECIO BOLSA]]</f>
        <v>500</v>
      </c>
      <c r="M22" s="19">
        <f>Tabla1[[#This Row],[PRODUCIDO CAJA]]</f>
        <v>318000</v>
      </c>
      <c r="N22" s="20">
        <f>Tabla1[[#This Row],[PRODUCIDO BOLSAS]]</f>
        <v>82500</v>
      </c>
      <c r="O22" s="19">
        <f>Tabla1[[#This Row],[TOTAL PRODUCIDO]]</f>
        <v>400500</v>
      </c>
      <c r="P22" s="20">
        <f>Tabla1[[#This Row],[Valor Pagado]]</f>
        <v>660000</v>
      </c>
      <c r="Q22" s="21">
        <f>Tabla1[[#This Row],[COEFICIENTE]]</f>
        <v>1</v>
      </c>
      <c r="R22" s="20">
        <f>Tabla1[[#This Row],[Precio Caja2]]</f>
        <v>2724.0566037735848</v>
      </c>
      <c r="S22" s="14">
        <f>Tabla1[[#This Row],[VALOR GANADO]]</f>
        <v>18204.545454545456</v>
      </c>
      <c r="T22" s="33">
        <f>Tabla1[[#This Row],[VALOR  A PAGAR]]</f>
        <v>30000</v>
      </c>
      <c r="U22" s="41">
        <f>Tabla1[[#This Row],[Columna1]]</f>
        <v>11795.454545454544</v>
      </c>
    </row>
    <row r="23" spans="2:21" ht="20.100000000000001" customHeight="1" x14ac:dyDescent="0.25">
      <c r="B23" s="31">
        <f>Tabla1[[#This Row],[FECHA]]</f>
        <v>44313</v>
      </c>
      <c r="C23" s="22">
        <f>_xlfn.ISOWEEKNUM('CAJAS ELABORADAS'!$C23)</f>
        <v>17</v>
      </c>
      <c r="D23" s="23" t="str">
        <f>Tabla1[[#This Row],[FINCA]]</f>
        <v>DAMAQUIEL</v>
      </c>
      <c r="E23" s="24">
        <f>Tabla1[[#This Row],[Cajas Elaboradas]]</f>
        <v>83</v>
      </c>
      <c r="F23" s="22">
        <f>Tabla1[[#This Row],[Bolsas Elaboradas]]</f>
        <v>35</v>
      </c>
      <c r="G23" s="22">
        <f>Tabla1[[#This Row],[N° DE PERSONAS EN EL EMBARQUE]]</f>
        <v>8</v>
      </c>
      <c r="H23" s="25">
        <f>Tabla1[[#This Row],[Rasimos Cosechados]]</f>
        <v>0</v>
      </c>
      <c r="I23" s="25">
        <f>Tabla1[[#This Row],[Rasimos Prosesados]]</f>
        <v>0</v>
      </c>
      <c r="J23" s="25">
        <f>Tabla1[[#This Row],[Rasimos Rechasados]]</f>
        <v>0</v>
      </c>
      <c r="K23" s="11">
        <f>Tabla1[[#This Row],[PRECIO CAJA]]</f>
        <v>1500</v>
      </c>
      <c r="L23" s="12">
        <f>Tabla1[[#This Row],[PRECIO BOLSA]]</f>
        <v>500</v>
      </c>
      <c r="M23" s="11">
        <f>Tabla1[[#This Row],[PRODUCIDO CAJA]]</f>
        <v>124500</v>
      </c>
      <c r="N23" s="12">
        <f>Tabla1[[#This Row],[PRODUCIDO BOLSAS]]</f>
        <v>17500</v>
      </c>
      <c r="O23" s="11">
        <f>Tabla1[[#This Row],[TOTAL PRODUCIDO]]</f>
        <v>142000</v>
      </c>
      <c r="P23" s="12">
        <f>Tabla1[[#This Row],[Valor Pagado]]</f>
        <v>240000</v>
      </c>
      <c r="Q23" s="13">
        <f>Tabla1[[#This Row],[COEFICIENTE]]</f>
        <v>1</v>
      </c>
      <c r="R23" s="12">
        <f>Tabla1[[#This Row],[Precio Caja2]]</f>
        <v>2680.7228915662649</v>
      </c>
      <c r="S23" s="14">
        <f>Tabla1[[#This Row],[VALOR GANADO]]</f>
        <v>17750</v>
      </c>
      <c r="T23" s="32">
        <f>Tabla1[[#This Row],[VALOR  A PAGAR]]</f>
        <v>30000</v>
      </c>
      <c r="U23" s="41">
        <f>Tabla1[[#This Row],[Columna1]]</f>
        <v>12250</v>
      </c>
    </row>
    <row r="24" spans="2:21" ht="20.100000000000001" customHeight="1" x14ac:dyDescent="0.25">
      <c r="B24" s="30">
        <f>Tabla1[[#This Row],[FECHA]]</f>
        <v>44320</v>
      </c>
      <c r="C24" s="15">
        <f>_xlfn.ISOWEEKNUM('CAJAS ELABORADAS'!$C24)</f>
        <v>18</v>
      </c>
      <c r="D24" s="16" t="str">
        <f>Tabla1[[#This Row],[FINCA]]</f>
        <v>SAN PEDRO</v>
      </c>
      <c r="E24" s="17">
        <f>Tabla1[[#This Row],[Cajas Elaboradas]]</f>
        <v>66</v>
      </c>
      <c r="F24" s="15">
        <f>Tabla1[[#This Row],[Bolsas Elaboradas]]</f>
        <v>19</v>
      </c>
      <c r="G24" s="15">
        <f>Tabla1[[#This Row],[N° DE PERSONAS EN EL EMBARQUE]]</f>
        <v>11</v>
      </c>
      <c r="H24" s="18">
        <f>Tabla1[[#This Row],[Rasimos Cosechados]]</f>
        <v>0</v>
      </c>
      <c r="I24" s="18">
        <f>Tabla1[[#This Row],[Rasimos Prosesados]]</f>
        <v>0</v>
      </c>
      <c r="J24" s="18">
        <f>Tabla1[[#This Row],[Rasimos Rechasados]]</f>
        <v>0</v>
      </c>
      <c r="K24" s="19">
        <f>Tabla1[[#This Row],[PRECIO CAJA]]</f>
        <v>1500</v>
      </c>
      <c r="L24" s="20">
        <f>Tabla1[[#This Row],[PRECIO BOLSA]]</f>
        <v>500</v>
      </c>
      <c r="M24" s="19">
        <f>Tabla1[[#This Row],[PRODUCIDO CAJA]]</f>
        <v>99000</v>
      </c>
      <c r="N24" s="20">
        <f>Tabla1[[#This Row],[PRODUCIDO BOLSAS]]</f>
        <v>9500</v>
      </c>
      <c r="O24" s="19">
        <f>Tabla1[[#This Row],[TOTAL PRODUCIDO]]</f>
        <v>108500</v>
      </c>
      <c r="P24" s="20">
        <f>Tabla1[[#This Row],[Valor Pagado]]</f>
        <v>330000</v>
      </c>
      <c r="Q24" s="21">
        <f>Tabla1[[#This Row],[COEFICIENTE]]</f>
        <v>1</v>
      </c>
      <c r="R24" s="20">
        <f>Tabla1[[#This Row],[Precio Caja2]]</f>
        <v>4856.060606060606</v>
      </c>
      <c r="S24" s="14">
        <f>Tabla1[[#This Row],[VALOR GANADO]]</f>
        <v>9863.636363636364</v>
      </c>
      <c r="T24" s="33">
        <f>Tabla1[[#This Row],[VALOR  A PAGAR]]</f>
        <v>30000</v>
      </c>
      <c r="U24" s="41">
        <f>Tabla1[[#This Row],[Columna1]]</f>
        <v>20136.363636363636</v>
      </c>
    </row>
    <row r="25" spans="2:21" ht="20.100000000000001" customHeight="1" x14ac:dyDescent="0.25">
      <c r="B25" s="31">
        <f>Tabla1[[#This Row],[FECHA]]</f>
        <v>44320</v>
      </c>
      <c r="C25" s="22">
        <f>_xlfn.ISOWEEKNUM('CAJAS ELABORADAS'!$C25)</f>
        <v>18</v>
      </c>
      <c r="D25" s="23" t="str">
        <f>Tabla1[[#This Row],[FINCA]]</f>
        <v>DAMAQUIEL</v>
      </c>
      <c r="E25" s="24">
        <f>Tabla1[[#This Row],[Cajas Elaboradas]]</f>
        <v>125</v>
      </c>
      <c r="F25" s="22">
        <f>Tabla1[[#This Row],[Bolsas Elaboradas]]</f>
        <v>70</v>
      </c>
      <c r="G25" s="22">
        <f>Tabla1[[#This Row],[N° DE PERSONAS EN EL EMBARQUE]]</f>
        <v>10</v>
      </c>
      <c r="H25" s="25">
        <f>Tabla1[[#This Row],[Rasimos Cosechados]]</f>
        <v>0</v>
      </c>
      <c r="I25" s="25">
        <f>Tabla1[[#This Row],[Rasimos Prosesados]]</f>
        <v>0</v>
      </c>
      <c r="J25" s="25">
        <f>Tabla1[[#This Row],[Rasimos Rechasados]]</f>
        <v>0</v>
      </c>
      <c r="K25" s="11">
        <f>Tabla1[[#This Row],[PRECIO CAJA]]</f>
        <v>1500</v>
      </c>
      <c r="L25" s="12">
        <f>Tabla1[[#This Row],[PRECIO BOLSA]]</f>
        <v>500</v>
      </c>
      <c r="M25" s="11">
        <f>Tabla1[[#This Row],[PRODUCIDO CAJA]]</f>
        <v>187500</v>
      </c>
      <c r="N25" s="12">
        <f>Tabla1[[#This Row],[PRODUCIDO BOLSAS]]</f>
        <v>35000</v>
      </c>
      <c r="O25" s="11">
        <f>Tabla1[[#This Row],[TOTAL PRODUCIDO]]</f>
        <v>222500</v>
      </c>
      <c r="P25" s="12">
        <f>Tabla1[[#This Row],[Valor Pagado]]</f>
        <v>300000</v>
      </c>
      <c r="Q25" s="13">
        <f>Tabla1[[#This Row],[COEFICIENTE]]</f>
        <v>1</v>
      </c>
      <c r="R25" s="12">
        <f>Tabla1[[#This Row],[Precio Caja2]]</f>
        <v>2120</v>
      </c>
      <c r="S25" s="14">
        <f>Tabla1[[#This Row],[VALOR GANADO]]</f>
        <v>22250</v>
      </c>
      <c r="T25" s="32">
        <f>Tabla1[[#This Row],[VALOR  A PAGAR]]</f>
        <v>30000</v>
      </c>
      <c r="U25" s="41">
        <f>Tabla1[[#This Row],[Columna1]]</f>
        <v>7750</v>
      </c>
    </row>
    <row r="26" spans="2:21" ht="20.100000000000001" customHeight="1" x14ac:dyDescent="0.25">
      <c r="B26" s="30">
        <f>Tabla1[[#This Row],[FECHA]]</f>
        <v>44320</v>
      </c>
      <c r="C26" s="15">
        <f>_xlfn.ISOWEEKNUM('CAJAS ELABORADAS'!$C26)</f>
        <v>18</v>
      </c>
      <c r="D26" s="16" t="str">
        <f>Tabla1[[#This Row],[FINCA]]</f>
        <v>PEDRITO</v>
      </c>
      <c r="E26" s="17">
        <f>Tabla1[[#This Row],[Cajas Elaboradas]]</f>
        <v>54</v>
      </c>
      <c r="F26" s="15">
        <f>Tabla1[[#This Row],[Bolsas Elaboradas]]</f>
        <v>75</v>
      </c>
      <c r="G26" s="15">
        <f>Tabla1[[#This Row],[N° DE PERSONAS EN EL EMBARQUE]]</f>
        <v>11</v>
      </c>
      <c r="H26" s="18">
        <f>Tabla1[[#This Row],[Rasimos Cosechados]]</f>
        <v>0</v>
      </c>
      <c r="I26" s="18">
        <f>Tabla1[[#This Row],[Rasimos Prosesados]]</f>
        <v>0</v>
      </c>
      <c r="J26" s="18">
        <f>Tabla1[[#This Row],[Rasimos Rechasados]]</f>
        <v>0</v>
      </c>
      <c r="K26" s="19">
        <f>Tabla1[[#This Row],[PRECIO CAJA]]</f>
        <v>3000</v>
      </c>
      <c r="L26" s="20">
        <f>Tabla1[[#This Row],[PRECIO BOLSA]]</f>
        <v>500</v>
      </c>
      <c r="M26" s="19">
        <f>Tabla1[[#This Row],[PRODUCIDO CAJA]]</f>
        <v>162000</v>
      </c>
      <c r="N26" s="20">
        <f>Tabla1[[#This Row],[PRODUCIDO BOLSAS]]</f>
        <v>37500</v>
      </c>
      <c r="O26" s="19">
        <f>Tabla1[[#This Row],[TOTAL PRODUCIDO]]</f>
        <v>199500</v>
      </c>
      <c r="P26" s="20">
        <f>Tabla1[[#This Row],[Valor Pagado]]</f>
        <v>330000</v>
      </c>
      <c r="Q26" s="21">
        <f>Tabla1[[#This Row],[COEFICIENTE]]</f>
        <v>1</v>
      </c>
      <c r="R26" s="20">
        <f>Tabla1[[#This Row],[Precio Caja2]]</f>
        <v>5416.666666666667</v>
      </c>
      <c r="S26" s="14">
        <f>Tabla1[[#This Row],[VALOR GANADO]]</f>
        <v>18136.363636363636</v>
      </c>
      <c r="T26" s="33">
        <f>Tabla1[[#This Row],[VALOR  A PAGAR]]</f>
        <v>30000</v>
      </c>
      <c r="U26" s="41">
        <f>Tabla1[[#This Row],[Columna1]]</f>
        <v>11863.636363636364</v>
      </c>
    </row>
    <row r="27" spans="2:21" ht="20.100000000000001" customHeight="1" x14ac:dyDescent="0.25">
      <c r="B27" s="31">
        <f>Tabla1[[#This Row],[FECHA]]</f>
        <v>44321</v>
      </c>
      <c r="C27" s="22">
        <f>_xlfn.ISOWEEKNUM('CAJAS ELABORADAS'!$C27)</f>
        <v>18</v>
      </c>
      <c r="D27" s="23" t="str">
        <f>Tabla1[[#This Row],[FINCA]]</f>
        <v>SAN PEDRO</v>
      </c>
      <c r="E27" s="24">
        <f>Tabla1[[#This Row],[Cajas Elaboradas]]</f>
        <v>175</v>
      </c>
      <c r="F27" s="22">
        <f>Tabla1[[#This Row],[Bolsas Elaboradas]]</f>
        <v>103</v>
      </c>
      <c r="G27" s="22">
        <f>Tabla1[[#This Row],[N° DE PERSONAS EN EL EMBARQUE]]</f>
        <v>17</v>
      </c>
      <c r="H27" s="25">
        <f>Tabla1[[#This Row],[Rasimos Cosechados]]</f>
        <v>0</v>
      </c>
      <c r="I27" s="25">
        <f>Tabla1[[#This Row],[Rasimos Prosesados]]</f>
        <v>0</v>
      </c>
      <c r="J27" s="25">
        <f>Tabla1[[#This Row],[Rasimos Rechasados]]</f>
        <v>0</v>
      </c>
      <c r="K27" s="11">
        <f>Tabla1[[#This Row],[PRECIO CAJA]]</f>
        <v>1500</v>
      </c>
      <c r="L27" s="12">
        <f>Tabla1[[#This Row],[PRECIO BOLSA]]</f>
        <v>500</v>
      </c>
      <c r="M27" s="11">
        <f>Tabla1[[#This Row],[PRODUCIDO CAJA]]</f>
        <v>262500</v>
      </c>
      <c r="N27" s="12">
        <f>Tabla1[[#This Row],[PRODUCIDO BOLSAS]]</f>
        <v>51500</v>
      </c>
      <c r="O27" s="11">
        <f>Tabla1[[#This Row],[TOTAL PRODUCIDO]]</f>
        <v>314000</v>
      </c>
      <c r="P27" s="12">
        <f>Tabla1[[#This Row],[Valor Pagado]]</f>
        <v>510000</v>
      </c>
      <c r="Q27" s="13">
        <f>Tabla1[[#This Row],[COEFICIENTE]]</f>
        <v>1</v>
      </c>
      <c r="R27" s="12">
        <f>Tabla1[[#This Row],[Precio Caja2]]</f>
        <v>2620</v>
      </c>
      <c r="S27" s="14">
        <f>Tabla1[[#This Row],[VALOR GANADO]]</f>
        <v>18470.588235294119</v>
      </c>
      <c r="T27" s="32">
        <f>Tabla1[[#This Row],[VALOR  A PAGAR]]</f>
        <v>30000</v>
      </c>
      <c r="U27" s="41">
        <f>Tabla1[[#This Row],[Columna1]]</f>
        <v>11529.411764705881</v>
      </c>
    </row>
    <row r="28" spans="2:21" ht="20.100000000000001" customHeight="1" x14ac:dyDescent="0.25">
      <c r="B28" s="30">
        <f>Tabla1[[#This Row],[FECHA]]</f>
        <v>44321</v>
      </c>
      <c r="C28" s="15">
        <f>_xlfn.ISOWEEKNUM('CAJAS ELABORADAS'!$C28)</f>
        <v>18</v>
      </c>
      <c r="D28" s="16" t="str">
        <f>Tabla1[[#This Row],[FINCA]]</f>
        <v>UVEROS</v>
      </c>
      <c r="E28" s="17">
        <f>Tabla1[[#This Row],[Cajas Elaboradas]]</f>
        <v>80</v>
      </c>
      <c r="F28" s="15">
        <f>Tabla1[[#This Row],[Bolsas Elaboradas]]</f>
        <v>34</v>
      </c>
      <c r="G28" s="15">
        <f>Tabla1[[#This Row],[N° DE PERSONAS EN EL EMBARQUE]]</f>
        <v>7</v>
      </c>
      <c r="H28" s="18">
        <f>Tabla1[[#This Row],[Rasimos Cosechados]]</f>
        <v>0</v>
      </c>
      <c r="I28" s="18">
        <f>Tabla1[[#This Row],[Rasimos Prosesados]]</f>
        <v>0</v>
      </c>
      <c r="J28" s="18">
        <f>Tabla1[[#This Row],[Rasimos Rechasados]]</f>
        <v>0</v>
      </c>
      <c r="K28" s="19">
        <f>Tabla1[[#This Row],[PRECIO CAJA]]</f>
        <v>1500</v>
      </c>
      <c r="L28" s="20">
        <f>Tabla1[[#This Row],[PRECIO BOLSA]]</f>
        <v>500</v>
      </c>
      <c r="M28" s="19">
        <f>Tabla1[[#This Row],[PRODUCIDO CAJA]]</f>
        <v>120000</v>
      </c>
      <c r="N28" s="20">
        <f>Tabla1[[#This Row],[PRODUCIDO BOLSAS]]</f>
        <v>17000</v>
      </c>
      <c r="O28" s="19">
        <f>Tabla1[[#This Row],[TOTAL PRODUCIDO]]</f>
        <v>137000</v>
      </c>
      <c r="P28" s="20">
        <f>Tabla1[[#This Row],[Valor Pagado]]</f>
        <v>210000</v>
      </c>
      <c r="Q28" s="21">
        <f>Tabla1[[#This Row],[COEFICIENTE]]</f>
        <v>1</v>
      </c>
      <c r="R28" s="20">
        <f>Tabla1[[#This Row],[Precio Caja2]]</f>
        <v>2412.5</v>
      </c>
      <c r="S28" s="14">
        <f>Tabla1[[#This Row],[VALOR GANADO]]</f>
        <v>19571.428571428572</v>
      </c>
      <c r="T28" s="33">
        <f>Tabla1[[#This Row],[VALOR  A PAGAR]]</f>
        <v>30000</v>
      </c>
      <c r="U28" s="41">
        <f>Tabla1[[#This Row],[Columna1]]</f>
        <v>10428.571428571428</v>
      </c>
    </row>
    <row r="29" spans="2:21" ht="20.100000000000001" customHeight="1" x14ac:dyDescent="0.25">
      <c r="B29" s="31">
        <f>Tabla1[[#This Row],[FECHA]]</f>
        <v>44327</v>
      </c>
      <c r="C29" s="22">
        <f>_xlfn.ISOWEEKNUM('CAJAS ELABORADAS'!$C29)</f>
        <v>19</v>
      </c>
      <c r="D29" s="23" t="str">
        <f>Tabla1[[#This Row],[FINCA]]</f>
        <v>SAN PEDRO</v>
      </c>
      <c r="E29" s="24">
        <f>Tabla1[[#This Row],[Cajas Elaboradas]]</f>
        <v>141</v>
      </c>
      <c r="F29" s="22">
        <f>Tabla1[[#This Row],[Bolsas Elaboradas]]</f>
        <v>76</v>
      </c>
      <c r="G29" s="22">
        <f>Tabla1[[#This Row],[N° DE PERSONAS EN EL EMBARQUE]]</f>
        <v>12</v>
      </c>
      <c r="H29" s="25">
        <f>Tabla1[[#This Row],[Rasimos Cosechados]]</f>
        <v>0</v>
      </c>
      <c r="I29" s="25">
        <f>Tabla1[[#This Row],[Rasimos Prosesados]]</f>
        <v>0</v>
      </c>
      <c r="J29" s="25">
        <f>Tabla1[[#This Row],[Rasimos Rechasados]]</f>
        <v>0</v>
      </c>
      <c r="K29" s="11">
        <f>Tabla1[[#This Row],[PRECIO CAJA]]</f>
        <v>1500</v>
      </c>
      <c r="L29" s="12">
        <f>Tabla1[[#This Row],[PRECIO BOLSA]]</f>
        <v>500</v>
      </c>
      <c r="M29" s="11">
        <f>Tabla1[[#This Row],[PRODUCIDO CAJA]]</f>
        <v>211500</v>
      </c>
      <c r="N29" s="12">
        <f>Tabla1[[#This Row],[PRODUCIDO BOLSAS]]</f>
        <v>38000</v>
      </c>
      <c r="O29" s="11">
        <f>Tabla1[[#This Row],[TOTAL PRODUCIDO]]</f>
        <v>249500</v>
      </c>
      <c r="P29" s="12">
        <f>Tabla1[[#This Row],[Valor Pagado]]</f>
        <v>360000</v>
      </c>
      <c r="Q29" s="13">
        <f>Tabla1[[#This Row],[COEFICIENTE]]</f>
        <v>1</v>
      </c>
      <c r="R29" s="12">
        <f>Tabla1[[#This Row],[Precio Caja2]]</f>
        <v>2283.6879432624114</v>
      </c>
      <c r="S29" s="14">
        <f>Tabla1[[#This Row],[VALOR GANADO]]</f>
        <v>20791.666666666668</v>
      </c>
      <c r="T29" s="32">
        <f>Tabla1[[#This Row],[VALOR  A PAGAR]]</f>
        <v>30000</v>
      </c>
      <c r="U29" s="41">
        <f>Tabla1[[#This Row],[Columna1]]</f>
        <v>9208.3333333333321</v>
      </c>
    </row>
    <row r="30" spans="2:21" ht="20.100000000000001" customHeight="1" x14ac:dyDescent="0.25">
      <c r="B30" s="30">
        <f>Tabla1[[#This Row],[FECHA]]</f>
        <v>44327</v>
      </c>
      <c r="C30" s="15">
        <f>_xlfn.ISOWEEKNUM('CAJAS ELABORADAS'!$C30)</f>
        <v>19</v>
      </c>
      <c r="D30" s="16" t="str">
        <f>Tabla1[[#This Row],[FINCA]]</f>
        <v>UVEROS</v>
      </c>
      <c r="E30" s="17">
        <f>Tabla1[[#This Row],[Cajas Elaboradas]]</f>
        <v>50</v>
      </c>
      <c r="F30" s="15">
        <f>Tabla1[[#This Row],[Bolsas Elaboradas]]</f>
        <v>24</v>
      </c>
      <c r="G30" s="15">
        <f>Tabla1[[#This Row],[N° DE PERSONAS EN EL EMBARQUE]]</f>
        <v>7</v>
      </c>
      <c r="H30" s="18">
        <f>Tabla1[[#This Row],[Rasimos Cosechados]]</f>
        <v>0</v>
      </c>
      <c r="I30" s="18">
        <f>Tabla1[[#This Row],[Rasimos Prosesados]]</f>
        <v>0</v>
      </c>
      <c r="J30" s="18">
        <f>Tabla1[[#This Row],[Rasimos Rechasados]]</f>
        <v>0</v>
      </c>
      <c r="K30" s="19">
        <f>Tabla1[[#This Row],[PRECIO CAJA]]</f>
        <v>1500</v>
      </c>
      <c r="L30" s="20">
        <f>Tabla1[[#This Row],[PRECIO BOLSA]]</f>
        <v>500</v>
      </c>
      <c r="M30" s="19">
        <f>Tabla1[[#This Row],[PRODUCIDO CAJA]]</f>
        <v>75000</v>
      </c>
      <c r="N30" s="20">
        <f>Tabla1[[#This Row],[PRODUCIDO BOLSAS]]</f>
        <v>12000</v>
      </c>
      <c r="O30" s="19">
        <f>Tabla1[[#This Row],[TOTAL PRODUCIDO]]</f>
        <v>87000</v>
      </c>
      <c r="P30" s="20">
        <f>Tabla1[[#This Row],[Valor Pagado]]</f>
        <v>210000</v>
      </c>
      <c r="Q30" s="21">
        <f>Tabla1[[#This Row],[COEFICIENTE]]</f>
        <v>1</v>
      </c>
      <c r="R30" s="20">
        <f>Tabla1[[#This Row],[Precio Caja2]]</f>
        <v>3960</v>
      </c>
      <c r="S30" s="14">
        <f>Tabla1[[#This Row],[VALOR GANADO]]</f>
        <v>12428.571428571429</v>
      </c>
      <c r="T30" s="33">
        <f>Tabla1[[#This Row],[VALOR  A PAGAR]]</f>
        <v>30000</v>
      </c>
      <c r="U30" s="41">
        <f>Tabla1[[#This Row],[Columna1]]</f>
        <v>17571.428571428572</v>
      </c>
    </row>
    <row r="31" spans="2:21" ht="20.100000000000001" customHeight="1" x14ac:dyDescent="0.25">
      <c r="B31" s="31">
        <f>Tabla1[[#This Row],[FECHA]]</f>
        <v>44327</v>
      </c>
      <c r="C31" s="22">
        <f>_xlfn.ISOWEEKNUM('CAJAS ELABORADAS'!$C31)</f>
        <v>19</v>
      </c>
      <c r="D31" s="23" t="str">
        <f>Tabla1[[#This Row],[FINCA]]</f>
        <v>PEDRITO</v>
      </c>
      <c r="E31" s="24">
        <f>Tabla1[[#This Row],[Cajas Elaboradas]]</f>
        <v>31</v>
      </c>
      <c r="F31" s="22">
        <f>Tabla1[[#This Row],[Bolsas Elaboradas]]</f>
        <v>70</v>
      </c>
      <c r="G31" s="22">
        <f>Tabla1[[#This Row],[N° DE PERSONAS EN EL EMBARQUE]]</f>
        <v>12</v>
      </c>
      <c r="H31" s="25">
        <f>Tabla1[[#This Row],[Rasimos Cosechados]]</f>
        <v>0</v>
      </c>
      <c r="I31" s="25">
        <f>Tabla1[[#This Row],[Rasimos Prosesados]]</f>
        <v>0</v>
      </c>
      <c r="J31" s="25">
        <f>Tabla1[[#This Row],[Rasimos Rechasados]]</f>
        <v>0</v>
      </c>
      <c r="K31" s="11">
        <f>Tabla1[[#This Row],[PRECIO CAJA]]</f>
        <v>3000</v>
      </c>
      <c r="L31" s="12">
        <f>Tabla1[[#This Row],[PRECIO BOLSA]]</f>
        <v>500</v>
      </c>
      <c r="M31" s="11">
        <f>Tabla1[[#This Row],[PRODUCIDO CAJA]]</f>
        <v>93000</v>
      </c>
      <c r="N31" s="12">
        <f>Tabla1[[#This Row],[PRODUCIDO BOLSAS]]</f>
        <v>35000</v>
      </c>
      <c r="O31" s="11">
        <f>Tabla1[[#This Row],[TOTAL PRODUCIDO]]</f>
        <v>128000</v>
      </c>
      <c r="P31" s="12">
        <f>Tabla1[[#This Row],[Valor Pagado]]</f>
        <v>360000</v>
      </c>
      <c r="Q31" s="13">
        <f>Tabla1[[#This Row],[COEFICIENTE]]</f>
        <v>1</v>
      </c>
      <c r="R31" s="12">
        <f>Tabla1[[#This Row],[Precio Caja2]]</f>
        <v>10483.870967741936</v>
      </c>
      <c r="S31" s="14">
        <f>Tabla1[[#This Row],[VALOR GANADO]]</f>
        <v>10666.666666666666</v>
      </c>
      <c r="T31" s="32">
        <f>Tabla1[[#This Row],[VALOR  A PAGAR]]</f>
        <v>30000</v>
      </c>
      <c r="U31" s="41">
        <f>Tabla1[[#This Row],[Columna1]]</f>
        <v>19333.333333333336</v>
      </c>
    </row>
    <row r="32" spans="2:21" ht="20.100000000000001" customHeight="1" x14ac:dyDescent="0.25">
      <c r="B32" s="30">
        <f>Tabla1[[#This Row],[FECHA]]</f>
        <v>44328</v>
      </c>
      <c r="C32" s="15">
        <f>_xlfn.ISOWEEKNUM('CAJAS ELABORADAS'!$C32)</f>
        <v>19</v>
      </c>
      <c r="D32" s="16" t="str">
        <f>Tabla1[[#This Row],[FINCA]]</f>
        <v>SAN PEDRO</v>
      </c>
      <c r="E32" s="17">
        <f>Tabla1[[#This Row],[Cajas Elaboradas]]</f>
        <v>226</v>
      </c>
      <c r="F32" s="15">
        <f>Tabla1[[#This Row],[Bolsas Elaboradas]]</f>
        <v>192</v>
      </c>
      <c r="G32" s="15">
        <f>Tabla1[[#This Row],[N° DE PERSONAS EN EL EMBARQUE]]</f>
        <v>20</v>
      </c>
      <c r="H32" s="18">
        <f>Tabla1[[#This Row],[Rasimos Cosechados]]</f>
        <v>0</v>
      </c>
      <c r="I32" s="18">
        <f>Tabla1[[#This Row],[Rasimos Prosesados]]</f>
        <v>0</v>
      </c>
      <c r="J32" s="18">
        <f>Tabla1[[#This Row],[Rasimos Rechasados]]</f>
        <v>0</v>
      </c>
      <c r="K32" s="19">
        <f>Tabla1[[#This Row],[PRECIO CAJA]]</f>
        <v>1500</v>
      </c>
      <c r="L32" s="20">
        <f>Tabla1[[#This Row],[PRECIO BOLSA]]</f>
        <v>500</v>
      </c>
      <c r="M32" s="19">
        <f>Tabla1[[#This Row],[PRODUCIDO CAJA]]</f>
        <v>339000</v>
      </c>
      <c r="N32" s="20">
        <f>Tabla1[[#This Row],[PRODUCIDO BOLSAS]]</f>
        <v>96000</v>
      </c>
      <c r="O32" s="19">
        <f>Tabla1[[#This Row],[TOTAL PRODUCIDO]]</f>
        <v>435000</v>
      </c>
      <c r="P32" s="20">
        <f>Tabla1[[#This Row],[Valor Pagado]]</f>
        <v>600000</v>
      </c>
      <c r="Q32" s="21">
        <f>Tabla1[[#This Row],[COEFICIENTE]]</f>
        <v>1</v>
      </c>
      <c r="R32" s="20">
        <f>Tabla1[[#This Row],[Precio Caja2]]</f>
        <v>2230.0884955752213</v>
      </c>
      <c r="S32" s="14">
        <f>Tabla1[[#This Row],[VALOR GANADO]]</f>
        <v>21750</v>
      </c>
      <c r="T32" s="33">
        <f>Tabla1[[#This Row],[VALOR  A PAGAR]]</f>
        <v>30000</v>
      </c>
      <c r="U32" s="41">
        <f>Tabla1[[#This Row],[Columna1]]</f>
        <v>8250</v>
      </c>
    </row>
    <row r="33" spans="2:21" ht="20.100000000000001" customHeight="1" x14ac:dyDescent="0.25">
      <c r="B33" s="31">
        <f>Tabla1[[#This Row],[FECHA]]</f>
        <v>44328</v>
      </c>
      <c r="C33" s="22">
        <f>_xlfn.ISOWEEKNUM('CAJAS ELABORADAS'!$C33)</f>
        <v>19</v>
      </c>
      <c r="D33" s="23" t="str">
        <f>Tabla1[[#This Row],[FINCA]]</f>
        <v>DAMAQUIEL</v>
      </c>
      <c r="E33" s="24">
        <f>Tabla1[[#This Row],[Cajas Elaboradas]]</f>
        <v>74</v>
      </c>
      <c r="F33" s="22">
        <f>Tabla1[[#This Row],[Bolsas Elaboradas]]</f>
        <v>40</v>
      </c>
      <c r="G33" s="22">
        <f>Tabla1[[#This Row],[N° DE PERSONAS EN EL EMBARQUE]]</f>
        <v>9</v>
      </c>
      <c r="H33" s="25">
        <f>Tabla1[[#This Row],[Rasimos Cosechados]]</f>
        <v>0</v>
      </c>
      <c r="I33" s="25">
        <f>Tabla1[[#This Row],[Rasimos Prosesados]]</f>
        <v>0</v>
      </c>
      <c r="J33" s="25">
        <f>Tabla1[[#This Row],[Rasimos Rechasados]]</f>
        <v>0</v>
      </c>
      <c r="K33" s="11">
        <f>Tabla1[[#This Row],[PRECIO CAJA]]</f>
        <v>1500</v>
      </c>
      <c r="L33" s="12">
        <f>Tabla1[[#This Row],[PRECIO BOLSA]]</f>
        <v>500</v>
      </c>
      <c r="M33" s="11">
        <f>Tabla1[[#This Row],[PRODUCIDO CAJA]]</f>
        <v>111000</v>
      </c>
      <c r="N33" s="12">
        <f>Tabla1[[#This Row],[PRODUCIDO BOLSAS]]</f>
        <v>20000</v>
      </c>
      <c r="O33" s="11">
        <f>Tabla1[[#This Row],[TOTAL PRODUCIDO]]</f>
        <v>131000</v>
      </c>
      <c r="P33" s="12">
        <f>Tabla1[[#This Row],[Valor Pagado]]</f>
        <v>270000</v>
      </c>
      <c r="Q33" s="13">
        <f>Tabla1[[#This Row],[COEFICIENTE]]</f>
        <v>1</v>
      </c>
      <c r="R33" s="12">
        <f>Tabla1[[#This Row],[Precio Caja2]]</f>
        <v>3378.3783783783783</v>
      </c>
      <c r="S33" s="14">
        <f>Tabla1[[#This Row],[VALOR GANADO]]</f>
        <v>14555.555555555555</v>
      </c>
      <c r="T33" s="32">
        <f>Tabla1[[#This Row],[VALOR  A PAGAR]]</f>
        <v>30000</v>
      </c>
      <c r="U33" s="41">
        <f>Tabla1[[#This Row],[Columna1]]</f>
        <v>15444.444444444445</v>
      </c>
    </row>
    <row r="34" spans="2:21" ht="20.100000000000001" customHeight="1" x14ac:dyDescent="0.25">
      <c r="B34" s="30">
        <f>Tabla1[[#This Row],[FECHA]]</f>
        <v>44334</v>
      </c>
      <c r="C34" s="15">
        <f>_xlfn.ISOWEEKNUM('CAJAS ELABORADAS'!$C34)</f>
        <v>20</v>
      </c>
      <c r="D34" s="16" t="str">
        <f>Tabla1[[#This Row],[FINCA]]</f>
        <v>SAN PEDRO</v>
      </c>
      <c r="E34" s="17">
        <f>Tabla1[[#This Row],[Cajas Elaboradas]]</f>
        <v>160</v>
      </c>
      <c r="F34" s="15">
        <f>Tabla1[[#This Row],[Bolsas Elaboradas]]</f>
        <v>118</v>
      </c>
      <c r="G34" s="15">
        <f>Tabla1[[#This Row],[N° DE PERSONAS EN EL EMBARQUE]]</f>
        <v>12</v>
      </c>
      <c r="H34" s="18">
        <f>Tabla1[[#This Row],[Rasimos Cosechados]]</f>
        <v>0</v>
      </c>
      <c r="I34" s="18">
        <f>Tabla1[[#This Row],[Rasimos Prosesados]]</f>
        <v>0</v>
      </c>
      <c r="J34" s="18">
        <f>Tabla1[[#This Row],[Rasimos Rechasados]]</f>
        <v>0</v>
      </c>
      <c r="K34" s="19">
        <f>Tabla1[[#This Row],[PRECIO CAJA]]</f>
        <v>1500</v>
      </c>
      <c r="L34" s="20">
        <f>Tabla1[[#This Row],[PRECIO BOLSA]]</f>
        <v>500</v>
      </c>
      <c r="M34" s="19">
        <f>Tabla1[[#This Row],[PRODUCIDO CAJA]]</f>
        <v>240000</v>
      </c>
      <c r="N34" s="20">
        <f>Tabla1[[#This Row],[PRODUCIDO BOLSAS]]</f>
        <v>59000</v>
      </c>
      <c r="O34" s="19">
        <f>Tabla1[[#This Row],[TOTAL PRODUCIDO]]</f>
        <v>299000</v>
      </c>
      <c r="P34" s="20">
        <f>Tabla1[[#This Row],[Valor Pagado]]</f>
        <v>360000</v>
      </c>
      <c r="Q34" s="21">
        <f>Tabla1[[#This Row],[COEFICIENTE]]</f>
        <v>1</v>
      </c>
      <c r="R34" s="20">
        <f>Tabla1[[#This Row],[Precio Caja2]]</f>
        <v>1881.25</v>
      </c>
      <c r="S34" s="14">
        <f>Tabla1[[#This Row],[VALOR GANADO]]</f>
        <v>24916.666666666668</v>
      </c>
      <c r="T34" s="33">
        <f>Tabla1[[#This Row],[VALOR  A PAGAR]]</f>
        <v>30000</v>
      </c>
      <c r="U34" s="41">
        <f>Tabla1[[#This Row],[Columna1]]</f>
        <v>5083.3333333333321</v>
      </c>
    </row>
    <row r="35" spans="2:21" ht="20.100000000000001" customHeight="1" x14ac:dyDescent="0.25">
      <c r="B35" s="31">
        <f>Tabla1[[#This Row],[FECHA]]</f>
        <v>44334</v>
      </c>
      <c r="C35" s="22">
        <f>_xlfn.ISOWEEKNUM('CAJAS ELABORADAS'!$C35)</f>
        <v>20</v>
      </c>
      <c r="D35" s="23" t="str">
        <f>Tabla1[[#This Row],[FINCA]]</f>
        <v>DAMAQUIEL</v>
      </c>
      <c r="E35" s="24">
        <f>Tabla1[[#This Row],[Cajas Elaboradas]]</f>
        <v>140</v>
      </c>
      <c r="F35" s="22">
        <f>Tabla1[[#This Row],[Bolsas Elaboradas]]</f>
        <v>55</v>
      </c>
      <c r="G35" s="22">
        <f>Tabla1[[#This Row],[N° DE PERSONAS EN EL EMBARQUE]]</f>
        <v>12</v>
      </c>
      <c r="H35" s="25">
        <f>Tabla1[[#This Row],[Rasimos Cosechados]]</f>
        <v>0</v>
      </c>
      <c r="I35" s="25">
        <f>Tabla1[[#This Row],[Rasimos Prosesados]]</f>
        <v>0</v>
      </c>
      <c r="J35" s="25">
        <f>Tabla1[[#This Row],[Rasimos Rechasados]]</f>
        <v>0</v>
      </c>
      <c r="K35" s="11">
        <f>Tabla1[[#This Row],[PRECIO CAJA]]</f>
        <v>1500</v>
      </c>
      <c r="L35" s="12">
        <f>Tabla1[[#This Row],[PRECIO BOLSA]]</f>
        <v>500</v>
      </c>
      <c r="M35" s="11">
        <f>Tabla1[[#This Row],[PRODUCIDO CAJA]]</f>
        <v>210000</v>
      </c>
      <c r="N35" s="12">
        <f>Tabla1[[#This Row],[PRODUCIDO BOLSAS]]</f>
        <v>27500</v>
      </c>
      <c r="O35" s="11">
        <f>Tabla1[[#This Row],[TOTAL PRODUCIDO]]</f>
        <v>237500</v>
      </c>
      <c r="P35" s="12">
        <f>Tabla1[[#This Row],[Valor Pagado]]</f>
        <v>360000</v>
      </c>
      <c r="Q35" s="13">
        <f>Tabla1[[#This Row],[COEFICIENTE]]</f>
        <v>1</v>
      </c>
      <c r="R35" s="12">
        <f>Tabla1[[#This Row],[Precio Caja2]]</f>
        <v>2375</v>
      </c>
      <c r="S35" s="14">
        <f>Tabla1[[#This Row],[VALOR GANADO]]</f>
        <v>19791.666666666668</v>
      </c>
      <c r="T35" s="32">
        <f>Tabla1[[#This Row],[VALOR  A PAGAR]]</f>
        <v>30000</v>
      </c>
      <c r="U35" s="41">
        <f>Tabla1[[#This Row],[Columna1]]</f>
        <v>10208.333333333332</v>
      </c>
    </row>
    <row r="36" spans="2:21" ht="20.100000000000001" customHeight="1" x14ac:dyDescent="0.25">
      <c r="B36" s="30">
        <f>Tabla1[[#This Row],[FECHA]]</f>
        <v>44335</v>
      </c>
      <c r="C36" s="15">
        <f>_xlfn.ISOWEEKNUM('CAJAS ELABORADAS'!$C36)</f>
        <v>20</v>
      </c>
      <c r="D36" s="16" t="str">
        <f>Tabla1[[#This Row],[FINCA]]</f>
        <v>SAN PEDRO</v>
      </c>
      <c r="E36" s="17">
        <f>Tabla1[[#This Row],[Cajas Elaboradas]]</f>
        <v>238</v>
      </c>
      <c r="F36" s="15">
        <f>Tabla1[[#This Row],[Bolsas Elaboradas]]</f>
        <v>157</v>
      </c>
      <c r="G36" s="15">
        <f>Tabla1[[#This Row],[N° DE PERSONAS EN EL EMBARQUE]]</f>
        <v>18</v>
      </c>
      <c r="H36" s="18">
        <f>Tabla1[[#This Row],[Rasimos Cosechados]]</f>
        <v>0</v>
      </c>
      <c r="I36" s="18">
        <f>Tabla1[[#This Row],[Rasimos Prosesados]]</f>
        <v>0</v>
      </c>
      <c r="J36" s="18">
        <f>Tabla1[[#This Row],[Rasimos Rechasados]]</f>
        <v>0</v>
      </c>
      <c r="K36" s="19">
        <f>Tabla1[[#This Row],[PRECIO CAJA]]</f>
        <v>1500</v>
      </c>
      <c r="L36" s="20">
        <f>Tabla1[[#This Row],[PRECIO BOLSA]]</f>
        <v>500</v>
      </c>
      <c r="M36" s="19">
        <f>Tabla1[[#This Row],[PRODUCIDO CAJA]]</f>
        <v>357000</v>
      </c>
      <c r="N36" s="20">
        <f>Tabla1[[#This Row],[PRODUCIDO BOLSAS]]</f>
        <v>78500</v>
      </c>
      <c r="O36" s="19">
        <f>Tabla1[[#This Row],[TOTAL PRODUCIDO]]</f>
        <v>435500</v>
      </c>
      <c r="P36" s="20">
        <f>Tabla1[[#This Row],[Valor Pagado]]</f>
        <v>540000</v>
      </c>
      <c r="Q36" s="21">
        <f>Tabla1[[#This Row],[COEFICIENTE]]</f>
        <v>1</v>
      </c>
      <c r="R36" s="20">
        <f>Tabla1[[#This Row],[Precio Caja2]]</f>
        <v>1939.0756302521008</v>
      </c>
      <c r="S36" s="14">
        <f>Tabla1[[#This Row],[VALOR GANADO]]</f>
        <v>24194.444444444445</v>
      </c>
      <c r="T36" s="33">
        <f>Tabla1[[#This Row],[VALOR  A PAGAR]]</f>
        <v>30000</v>
      </c>
      <c r="U36" s="41">
        <f>Tabla1[[#This Row],[Columna1]]</f>
        <v>5805.5555555555547</v>
      </c>
    </row>
    <row r="37" spans="2:21" ht="20.100000000000001" customHeight="1" x14ac:dyDescent="0.25">
      <c r="B37" s="31">
        <f>Tabla1[[#This Row],[FECHA]]</f>
        <v>44335</v>
      </c>
      <c r="C37" s="22">
        <f>_xlfn.ISOWEEKNUM('CAJAS ELABORADAS'!$C37)</f>
        <v>20</v>
      </c>
      <c r="D37" s="23" t="str">
        <f>Tabla1[[#This Row],[FINCA]]</f>
        <v>PEDRITO</v>
      </c>
      <c r="E37" s="24">
        <f>Tabla1[[#This Row],[Cajas Elaboradas]]</f>
        <v>64</v>
      </c>
      <c r="F37" s="22">
        <f>Tabla1[[#This Row],[Bolsas Elaboradas]]</f>
        <v>25</v>
      </c>
      <c r="G37" s="22">
        <f>Tabla1[[#This Row],[N° DE PERSONAS EN EL EMBARQUE]]</f>
        <v>7</v>
      </c>
      <c r="H37" s="25">
        <f>Tabla1[[#This Row],[Rasimos Cosechados]]</f>
        <v>0</v>
      </c>
      <c r="I37" s="25">
        <f>Tabla1[[#This Row],[Rasimos Prosesados]]</f>
        <v>0</v>
      </c>
      <c r="J37" s="25">
        <f>Tabla1[[#This Row],[Rasimos Rechasados]]</f>
        <v>0</v>
      </c>
      <c r="K37" s="11">
        <f>Tabla1[[#This Row],[PRECIO CAJA]]</f>
        <v>3000</v>
      </c>
      <c r="L37" s="12">
        <f>Tabla1[[#This Row],[PRECIO BOLSA]]</f>
        <v>500</v>
      </c>
      <c r="M37" s="11">
        <f>Tabla1[[#This Row],[PRODUCIDO CAJA]]</f>
        <v>192000</v>
      </c>
      <c r="N37" s="12">
        <f>Tabla1[[#This Row],[PRODUCIDO BOLSAS]]</f>
        <v>12500</v>
      </c>
      <c r="O37" s="11">
        <f>Tabla1[[#This Row],[TOTAL PRODUCIDO]]</f>
        <v>204500</v>
      </c>
      <c r="P37" s="12">
        <f>Tabla1[[#This Row],[Valor Pagado]]</f>
        <v>210000</v>
      </c>
      <c r="Q37" s="13">
        <f>Tabla1[[#This Row],[COEFICIENTE]]</f>
        <v>1</v>
      </c>
      <c r="R37" s="12">
        <f>Tabla1[[#This Row],[Precio Caja2]]</f>
        <v>3085.9375</v>
      </c>
      <c r="S37" s="14">
        <f>Tabla1[[#This Row],[VALOR GANADO]]</f>
        <v>29214.285714285714</v>
      </c>
      <c r="T37" s="32">
        <f>Tabla1[[#This Row],[VALOR  A PAGAR]]</f>
        <v>30000</v>
      </c>
      <c r="U37" s="41">
        <f>Tabla1[[#This Row],[Columna1]]</f>
        <v>785.71428571428623</v>
      </c>
    </row>
    <row r="38" spans="2:21" ht="20.100000000000001" customHeight="1" x14ac:dyDescent="0.25">
      <c r="B38" s="30">
        <f>Tabla1[[#This Row],[FECHA]]</f>
        <v>44341</v>
      </c>
      <c r="C38" s="15">
        <f>_xlfn.ISOWEEKNUM('CAJAS ELABORADAS'!$C38)</f>
        <v>21</v>
      </c>
      <c r="D38" s="16" t="str">
        <f>Tabla1[[#This Row],[FINCA]]</f>
        <v>PEDRITO</v>
      </c>
      <c r="E38" s="17">
        <f>Tabla1[[#This Row],[Cajas Elaboradas]]</f>
        <v>10</v>
      </c>
      <c r="F38" s="15">
        <f>Tabla1[[#This Row],[Bolsas Elaboradas]]</f>
        <v>11</v>
      </c>
      <c r="G38" s="15">
        <f>Tabla1[[#This Row],[N° DE PERSONAS EN EL EMBARQUE]]</f>
        <v>3</v>
      </c>
      <c r="H38" s="18">
        <f>Tabla1[[#This Row],[Rasimos Cosechados]]</f>
        <v>0</v>
      </c>
      <c r="I38" s="18">
        <f>Tabla1[[#This Row],[Rasimos Prosesados]]</f>
        <v>0</v>
      </c>
      <c r="J38" s="18">
        <f>Tabla1[[#This Row],[Rasimos Rechasados]]</f>
        <v>0</v>
      </c>
      <c r="K38" s="19">
        <f>Tabla1[[#This Row],[PRECIO CAJA]]</f>
        <v>3000</v>
      </c>
      <c r="L38" s="20">
        <f>Tabla1[[#This Row],[PRECIO BOLSA]]</f>
        <v>500</v>
      </c>
      <c r="M38" s="19">
        <f>Tabla1[[#This Row],[PRODUCIDO CAJA]]</f>
        <v>30000</v>
      </c>
      <c r="N38" s="20">
        <f>Tabla1[[#This Row],[PRODUCIDO BOLSAS]]</f>
        <v>5500</v>
      </c>
      <c r="O38" s="19">
        <f>Tabla1[[#This Row],[TOTAL PRODUCIDO]]</f>
        <v>35500</v>
      </c>
      <c r="P38" s="20">
        <f>Tabla1[[#This Row],[Valor Pagado]]</f>
        <v>90000</v>
      </c>
      <c r="Q38" s="21">
        <f>Tabla1[[#This Row],[COEFICIENTE]]</f>
        <v>1</v>
      </c>
      <c r="R38" s="20">
        <f>Tabla1[[#This Row],[Precio Caja2]]</f>
        <v>8450</v>
      </c>
      <c r="S38" s="14">
        <f>Tabla1[[#This Row],[VALOR GANADO]]</f>
        <v>11833.333333333334</v>
      </c>
      <c r="T38" s="33">
        <f>Tabla1[[#This Row],[VALOR  A PAGAR]]</f>
        <v>30000</v>
      </c>
      <c r="U38" s="41">
        <f>Tabla1[[#This Row],[Columna1]]</f>
        <v>18166.666666666664</v>
      </c>
    </row>
    <row r="39" spans="2:21" ht="20.100000000000001" customHeight="1" x14ac:dyDescent="0.25">
      <c r="B39" s="31">
        <f>Tabla1[[#This Row],[FECHA]]</f>
        <v>44341</v>
      </c>
      <c r="C39" s="22">
        <f>_xlfn.ISOWEEKNUM('CAJAS ELABORADAS'!$C39)</f>
        <v>21</v>
      </c>
      <c r="D39" s="23" t="str">
        <f>Tabla1[[#This Row],[FINCA]]</f>
        <v>SAN PEDRO</v>
      </c>
      <c r="E39" s="24">
        <f>Tabla1[[#This Row],[Cajas Elaboradas]]</f>
        <v>154</v>
      </c>
      <c r="F39" s="22">
        <f>Tabla1[[#This Row],[Bolsas Elaboradas]]</f>
        <v>67</v>
      </c>
      <c r="G39" s="22">
        <f>Tabla1[[#This Row],[N° DE PERSONAS EN EL EMBARQUE]]</f>
        <v>11</v>
      </c>
      <c r="H39" s="25">
        <f>Tabla1[[#This Row],[Rasimos Cosechados]]</f>
        <v>524</v>
      </c>
      <c r="I39" s="25">
        <f>Tabla1[[#This Row],[Rasimos Prosesados]]</f>
        <v>417</v>
      </c>
      <c r="J39" s="25">
        <f>Tabla1[[#This Row],[Rasimos Rechasados]]</f>
        <v>107</v>
      </c>
      <c r="K39" s="11">
        <f>Tabla1[[#This Row],[PRECIO CAJA]]</f>
        <v>1500</v>
      </c>
      <c r="L39" s="12">
        <f>Tabla1[[#This Row],[PRECIO BOLSA]]</f>
        <v>500</v>
      </c>
      <c r="M39" s="11">
        <f>Tabla1[[#This Row],[PRODUCIDO CAJA]]</f>
        <v>231000</v>
      </c>
      <c r="N39" s="12">
        <f>Tabla1[[#This Row],[PRODUCIDO BOLSAS]]</f>
        <v>33500</v>
      </c>
      <c r="O39" s="11">
        <f>Tabla1[[#This Row],[TOTAL PRODUCIDO]]</f>
        <v>264500</v>
      </c>
      <c r="P39" s="12">
        <f>Tabla1[[#This Row],[Valor Pagado]]</f>
        <v>330000</v>
      </c>
      <c r="Q39" s="13">
        <f>Tabla1[[#This Row],[COEFICIENTE]]</f>
        <v>1</v>
      </c>
      <c r="R39" s="12">
        <f>Tabla1[[#This Row],[Precio Caja2]]</f>
        <v>1925.3246753246754</v>
      </c>
      <c r="S39" s="14">
        <f>Tabla1[[#This Row],[VALOR GANADO]]</f>
        <v>24045.454545454544</v>
      </c>
      <c r="T39" s="32">
        <f>Tabla1[[#This Row],[VALOR  A PAGAR]]</f>
        <v>30000</v>
      </c>
      <c r="U39" s="41">
        <f>Tabla1[[#This Row],[Columna1]]</f>
        <v>5954.5454545454559</v>
      </c>
    </row>
    <row r="40" spans="2:21" ht="20.100000000000001" customHeight="1" x14ac:dyDescent="0.25">
      <c r="B40" s="30">
        <f>Tabla1[[#This Row],[FECHA]]</f>
        <v>44341</v>
      </c>
      <c r="C40" s="15">
        <f>_xlfn.ISOWEEKNUM('CAJAS ELABORADAS'!$C40)</f>
        <v>21</v>
      </c>
      <c r="D40" s="16" t="str">
        <f>Tabla1[[#This Row],[FINCA]]</f>
        <v>DAMAQUIEL</v>
      </c>
      <c r="E40" s="17">
        <f>Tabla1[[#This Row],[Cajas Elaboradas]]</f>
        <v>131</v>
      </c>
      <c r="F40" s="15">
        <f>Tabla1[[#This Row],[Bolsas Elaboradas]]</f>
        <v>57</v>
      </c>
      <c r="G40" s="15">
        <f>Tabla1[[#This Row],[N° DE PERSONAS EN EL EMBARQUE]]</f>
        <v>13</v>
      </c>
      <c r="H40" s="18">
        <f>Tabla1[[#This Row],[Rasimos Cosechados]]</f>
        <v>0</v>
      </c>
      <c r="I40" s="18">
        <f>Tabla1[[#This Row],[Rasimos Prosesados]]</f>
        <v>0</v>
      </c>
      <c r="J40" s="18">
        <f>Tabla1[[#This Row],[Rasimos Rechasados]]</f>
        <v>0</v>
      </c>
      <c r="K40" s="19">
        <f>Tabla1[[#This Row],[PRECIO CAJA]]</f>
        <v>1500</v>
      </c>
      <c r="L40" s="20">
        <f>Tabla1[[#This Row],[PRECIO BOLSA]]</f>
        <v>500</v>
      </c>
      <c r="M40" s="19">
        <f>Tabla1[[#This Row],[PRODUCIDO CAJA]]</f>
        <v>196500</v>
      </c>
      <c r="N40" s="20">
        <f>Tabla1[[#This Row],[PRODUCIDO BOLSAS]]</f>
        <v>28500</v>
      </c>
      <c r="O40" s="19">
        <f>Tabla1[[#This Row],[TOTAL PRODUCIDO]]</f>
        <v>225000</v>
      </c>
      <c r="P40" s="20">
        <f>Tabla1[[#This Row],[Valor Pagado]]</f>
        <v>390000</v>
      </c>
      <c r="Q40" s="21">
        <f>Tabla1[[#This Row],[COEFICIENTE]]</f>
        <v>1</v>
      </c>
      <c r="R40" s="20">
        <f>Tabla1[[#This Row],[Precio Caja2]]</f>
        <v>2759.5419847328244</v>
      </c>
      <c r="S40" s="14">
        <f>Tabla1[[#This Row],[VALOR GANADO]]</f>
        <v>17307.692307692309</v>
      </c>
      <c r="T40" s="33">
        <f>Tabla1[[#This Row],[VALOR  A PAGAR]]</f>
        <v>30000</v>
      </c>
      <c r="U40" s="41">
        <f>Tabla1[[#This Row],[Columna1]]</f>
        <v>12692.307692307691</v>
      </c>
    </row>
    <row r="41" spans="2:21" ht="20.100000000000001" customHeight="1" x14ac:dyDescent="0.25">
      <c r="B41" s="31">
        <f>Tabla1[[#This Row],[FECHA]]</f>
        <v>44342</v>
      </c>
      <c r="C41" s="22">
        <f>_xlfn.ISOWEEKNUM('CAJAS ELABORADAS'!$C41)</f>
        <v>21</v>
      </c>
      <c r="D41" s="23" t="str">
        <f>Tabla1[[#This Row],[FINCA]]</f>
        <v>UVEROS</v>
      </c>
      <c r="E41" s="24">
        <f>Tabla1[[#This Row],[Cajas Elaboradas]]</f>
        <v>90</v>
      </c>
      <c r="F41" s="22">
        <f>Tabla1[[#This Row],[Bolsas Elaboradas]]</f>
        <v>23</v>
      </c>
      <c r="G41" s="22">
        <f>Tabla1[[#This Row],[N° DE PERSONAS EN EL EMBARQUE]]</f>
        <v>7</v>
      </c>
      <c r="H41" s="25">
        <f>Tabla1[[#This Row],[Rasimos Cosechados]]</f>
        <v>0</v>
      </c>
      <c r="I41" s="25">
        <f>Tabla1[[#This Row],[Rasimos Prosesados]]</f>
        <v>0</v>
      </c>
      <c r="J41" s="25">
        <f>Tabla1[[#This Row],[Rasimos Rechasados]]</f>
        <v>0</v>
      </c>
      <c r="K41" s="11">
        <f>Tabla1[[#This Row],[PRECIO CAJA]]</f>
        <v>1500</v>
      </c>
      <c r="L41" s="12">
        <f>Tabla1[[#This Row],[PRECIO BOLSA]]</f>
        <v>500</v>
      </c>
      <c r="M41" s="11">
        <f>Tabla1[[#This Row],[PRODUCIDO CAJA]]</f>
        <v>135000</v>
      </c>
      <c r="N41" s="12">
        <f>Tabla1[[#This Row],[PRODUCIDO BOLSAS]]</f>
        <v>11500</v>
      </c>
      <c r="O41" s="11">
        <f>Tabla1[[#This Row],[TOTAL PRODUCIDO]]</f>
        <v>146500</v>
      </c>
      <c r="P41" s="12">
        <f>Tabla1[[#This Row],[Valor Pagado]]</f>
        <v>210000</v>
      </c>
      <c r="Q41" s="13">
        <f>Tabla1[[#This Row],[COEFICIENTE]]</f>
        <v>1</v>
      </c>
      <c r="R41" s="12">
        <f>Tabla1[[#This Row],[Precio Caja2]]</f>
        <v>2205.5555555555557</v>
      </c>
      <c r="S41" s="14">
        <f>Tabla1[[#This Row],[VALOR GANADO]]</f>
        <v>20928.571428571428</v>
      </c>
      <c r="T41" s="32">
        <f>Tabla1[[#This Row],[VALOR  A PAGAR]]</f>
        <v>30000</v>
      </c>
      <c r="U41" s="41">
        <f>Tabla1[[#This Row],[Columna1]]</f>
        <v>9071.4285714285725</v>
      </c>
    </row>
    <row r="42" spans="2:21" ht="20.100000000000001" customHeight="1" x14ac:dyDescent="0.25">
      <c r="B42" s="30">
        <f>Tabla1[[#This Row],[FECHA]]</f>
        <v>44342</v>
      </c>
      <c r="C42" s="15">
        <f>_xlfn.ISOWEEKNUM('CAJAS ELABORADAS'!$C42)</f>
        <v>21</v>
      </c>
      <c r="D42" s="16" t="str">
        <f>Tabla1[[#This Row],[FINCA]]</f>
        <v>SAN PEDRO</v>
      </c>
      <c r="E42" s="17">
        <f>Tabla1[[#This Row],[Cajas Elaboradas]]</f>
        <v>125</v>
      </c>
      <c r="F42" s="15">
        <f>Tabla1[[#This Row],[Bolsas Elaboradas]]</f>
        <v>37</v>
      </c>
      <c r="G42" s="15">
        <f>Tabla1[[#This Row],[N° DE PERSONAS EN EL EMBARQUE]]</f>
        <v>10</v>
      </c>
      <c r="H42" s="18">
        <f>Tabla1[[#This Row],[Rasimos Cosechados]]</f>
        <v>336</v>
      </c>
      <c r="I42" s="18">
        <f>Tabla1[[#This Row],[Rasimos Prosesados]]</f>
        <v>336</v>
      </c>
      <c r="J42" s="18">
        <f>Tabla1[[#This Row],[Rasimos Rechasados]]</f>
        <v>0</v>
      </c>
      <c r="K42" s="19">
        <f>Tabla1[[#This Row],[PRECIO CAJA]]</f>
        <v>1500</v>
      </c>
      <c r="L42" s="20">
        <f>Tabla1[[#This Row],[PRECIO BOLSA]]</f>
        <v>500</v>
      </c>
      <c r="M42" s="19">
        <f>Tabla1[[#This Row],[PRODUCIDO CAJA]]</f>
        <v>187500</v>
      </c>
      <c r="N42" s="20">
        <f>Tabla1[[#This Row],[PRODUCIDO BOLSAS]]</f>
        <v>18500</v>
      </c>
      <c r="O42" s="19">
        <f>Tabla1[[#This Row],[TOTAL PRODUCIDO]]</f>
        <v>206000</v>
      </c>
      <c r="P42" s="20">
        <f>Tabla1[[#This Row],[Valor Pagado]]</f>
        <v>300000</v>
      </c>
      <c r="Q42" s="21">
        <f>Tabla1[[#This Row],[COEFICIENTE]]</f>
        <v>1</v>
      </c>
      <c r="R42" s="20">
        <f>Tabla1[[#This Row],[Precio Caja2]]</f>
        <v>2252</v>
      </c>
      <c r="S42" s="14">
        <f>Tabla1[[#This Row],[VALOR GANADO]]</f>
        <v>20600</v>
      </c>
      <c r="T42" s="33">
        <f>Tabla1[[#This Row],[VALOR  A PAGAR]]</f>
        <v>30000</v>
      </c>
      <c r="U42" s="41">
        <f>Tabla1[[#This Row],[Columna1]]</f>
        <v>9400</v>
      </c>
    </row>
    <row r="43" spans="2:21" ht="20.100000000000001" customHeight="1" x14ac:dyDescent="0.25">
      <c r="B43" s="31">
        <f>Tabla1[[#This Row],[FECHA]]</f>
        <v>44342</v>
      </c>
      <c r="C43" s="22">
        <f>_xlfn.ISOWEEKNUM('CAJAS ELABORADAS'!$C43)</f>
        <v>21</v>
      </c>
      <c r="D43" s="23" t="str">
        <f>Tabla1[[#This Row],[FINCA]]</f>
        <v>PEDRITO</v>
      </c>
      <c r="E43" s="24">
        <f>Tabla1[[#This Row],[Cajas Elaboradas]]</f>
        <v>117</v>
      </c>
      <c r="F43" s="22">
        <f>Tabla1[[#This Row],[Bolsas Elaboradas]]</f>
        <v>100</v>
      </c>
      <c r="G43" s="22">
        <f>Tabla1[[#This Row],[N° DE PERSONAS EN EL EMBARQUE]]</f>
        <v>15</v>
      </c>
      <c r="H43" s="25">
        <f>Tabla1[[#This Row],[Rasimos Cosechados]]</f>
        <v>0</v>
      </c>
      <c r="I43" s="25">
        <f>Tabla1[[#This Row],[Rasimos Prosesados]]</f>
        <v>0</v>
      </c>
      <c r="J43" s="25">
        <f>Tabla1[[#This Row],[Rasimos Rechasados]]</f>
        <v>0</v>
      </c>
      <c r="K43" s="11">
        <f>Tabla1[[#This Row],[PRECIO CAJA]]</f>
        <v>3000</v>
      </c>
      <c r="L43" s="12">
        <f>Tabla1[[#This Row],[PRECIO BOLSA]]</f>
        <v>500</v>
      </c>
      <c r="M43" s="11">
        <f>Tabla1[[#This Row],[PRODUCIDO CAJA]]</f>
        <v>351000</v>
      </c>
      <c r="N43" s="12">
        <f>Tabla1[[#This Row],[PRODUCIDO BOLSAS]]</f>
        <v>50000</v>
      </c>
      <c r="O43" s="11">
        <f>Tabla1[[#This Row],[TOTAL PRODUCIDO]]</f>
        <v>401000</v>
      </c>
      <c r="P43" s="12">
        <f>Tabla1[[#This Row],[Valor Pagado]]</f>
        <v>450000</v>
      </c>
      <c r="Q43" s="13">
        <f>Tabla1[[#This Row],[COEFICIENTE]]</f>
        <v>1</v>
      </c>
      <c r="R43" s="12">
        <f>Tabla1[[#This Row],[Precio Caja2]]</f>
        <v>3418.8034188034189</v>
      </c>
      <c r="S43" s="14">
        <f>Tabla1[[#This Row],[VALOR GANADO]]</f>
        <v>26733.333333333332</v>
      </c>
      <c r="T43" s="32">
        <f>Tabla1[[#This Row],[VALOR  A PAGAR]]</f>
        <v>30000</v>
      </c>
      <c r="U43" s="41">
        <f>Tabla1[[#This Row],[Columna1]]</f>
        <v>3266.6666666666679</v>
      </c>
    </row>
    <row r="44" spans="2:21" ht="20.100000000000001" customHeight="1" x14ac:dyDescent="0.25">
      <c r="B44" s="30">
        <f>Tabla1[[#This Row],[FECHA]]</f>
        <v>44348</v>
      </c>
      <c r="C44" s="15">
        <f>_xlfn.ISOWEEKNUM('CAJAS ELABORADAS'!$C44)</f>
        <v>22</v>
      </c>
      <c r="D44" s="16" t="str">
        <f>Tabla1[[#This Row],[FINCA]]</f>
        <v>SAN PEDRO</v>
      </c>
      <c r="E44" s="17">
        <f>Tabla1[[#This Row],[Cajas Elaboradas]]</f>
        <v>154</v>
      </c>
      <c r="F44" s="15">
        <f>Tabla1[[#This Row],[Bolsas Elaboradas]]</f>
        <v>98</v>
      </c>
      <c r="G44" s="15">
        <f>Tabla1[[#This Row],[N° DE PERSONAS EN EL EMBARQUE]]</f>
        <v>11</v>
      </c>
      <c r="H44" s="18">
        <f>Tabla1[[#This Row],[Rasimos Cosechados]]</f>
        <v>792</v>
      </c>
      <c r="I44" s="18">
        <f>Tabla1[[#This Row],[Rasimos Prosesados]]</f>
        <v>792</v>
      </c>
      <c r="J44" s="18">
        <f>Tabla1[[#This Row],[Rasimos Rechasados]]</f>
        <v>0</v>
      </c>
      <c r="K44" s="19">
        <f>Tabla1[[#This Row],[PRECIO CAJA]]</f>
        <v>1500</v>
      </c>
      <c r="L44" s="20">
        <f>Tabla1[[#This Row],[PRECIO BOLSA]]</f>
        <v>500</v>
      </c>
      <c r="M44" s="19">
        <f>Tabla1[[#This Row],[PRODUCIDO CAJA]]</f>
        <v>231000</v>
      </c>
      <c r="N44" s="20">
        <f>Tabla1[[#This Row],[PRODUCIDO BOLSAS]]</f>
        <v>49000</v>
      </c>
      <c r="O44" s="19">
        <f>Tabla1[[#This Row],[TOTAL PRODUCIDO]]</f>
        <v>280000</v>
      </c>
      <c r="P44" s="20">
        <f>Tabla1[[#This Row],[Valor Pagado]]</f>
        <v>330000</v>
      </c>
      <c r="Q44" s="21">
        <f>Tabla1[[#This Row],[COEFICIENTE]]</f>
        <v>1</v>
      </c>
      <c r="R44" s="20">
        <f>Tabla1[[#This Row],[Precio Caja2]]</f>
        <v>1824.6753246753246</v>
      </c>
      <c r="S44" s="14">
        <f>Tabla1[[#This Row],[VALOR GANADO]]</f>
        <v>25454.545454545456</v>
      </c>
      <c r="T44" s="33">
        <f>Tabla1[[#This Row],[VALOR  A PAGAR]]</f>
        <v>30000</v>
      </c>
      <c r="U44" s="41">
        <f>Tabla1[[#This Row],[Columna1]]</f>
        <v>4545.4545454545441</v>
      </c>
    </row>
    <row r="45" spans="2:21" ht="20.100000000000001" customHeight="1" x14ac:dyDescent="0.25">
      <c r="B45" s="31">
        <f>Tabla1[[#This Row],[FECHA]]</f>
        <v>44348</v>
      </c>
      <c r="C45" s="22">
        <f>_xlfn.ISOWEEKNUM('CAJAS ELABORADAS'!$C45)</f>
        <v>22</v>
      </c>
      <c r="D45" s="23" t="str">
        <f>Tabla1[[#This Row],[FINCA]]</f>
        <v>DAMAQUIEL</v>
      </c>
      <c r="E45" s="24">
        <f>Tabla1[[#This Row],[Cajas Elaboradas]]</f>
        <v>140</v>
      </c>
      <c r="F45" s="22">
        <f>Tabla1[[#This Row],[Bolsas Elaboradas]]</f>
        <v>40</v>
      </c>
      <c r="G45" s="22">
        <f>Tabla1[[#This Row],[N° DE PERSONAS EN EL EMBARQUE]]</f>
        <v>12</v>
      </c>
      <c r="H45" s="25">
        <f>Tabla1[[#This Row],[Rasimos Cosechados]]</f>
        <v>0</v>
      </c>
      <c r="I45" s="25">
        <f>Tabla1[[#This Row],[Rasimos Prosesados]]</f>
        <v>0</v>
      </c>
      <c r="J45" s="25">
        <f>Tabla1[[#This Row],[Rasimos Rechasados]]</f>
        <v>0</v>
      </c>
      <c r="K45" s="11">
        <f>Tabla1[[#This Row],[PRECIO CAJA]]</f>
        <v>1500</v>
      </c>
      <c r="L45" s="12">
        <f>Tabla1[[#This Row],[PRECIO BOLSA]]</f>
        <v>500</v>
      </c>
      <c r="M45" s="11">
        <f>Tabla1[[#This Row],[PRODUCIDO CAJA]]</f>
        <v>210000</v>
      </c>
      <c r="N45" s="12">
        <f>Tabla1[[#This Row],[PRODUCIDO BOLSAS]]</f>
        <v>20000</v>
      </c>
      <c r="O45" s="11">
        <f>Tabla1[[#This Row],[TOTAL PRODUCIDO]]</f>
        <v>230000</v>
      </c>
      <c r="P45" s="12">
        <f>Tabla1[[#This Row],[Valor Pagado]]</f>
        <v>360000</v>
      </c>
      <c r="Q45" s="13">
        <f>Tabla1[[#This Row],[COEFICIENTE]]</f>
        <v>1</v>
      </c>
      <c r="R45" s="12">
        <f>Tabla1[[#This Row],[Precio Caja2]]</f>
        <v>2428.5714285714284</v>
      </c>
      <c r="S45" s="14">
        <f>Tabla1[[#This Row],[VALOR GANADO]]</f>
        <v>19166.666666666668</v>
      </c>
      <c r="T45" s="32">
        <f>Tabla1[[#This Row],[VALOR  A PAGAR]]</f>
        <v>30000</v>
      </c>
      <c r="U45" s="41">
        <f>Tabla1[[#This Row],[Columna1]]</f>
        <v>10833.333333333332</v>
      </c>
    </row>
    <row r="46" spans="2:21" ht="20.100000000000001" customHeight="1" x14ac:dyDescent="0.25">
      <c r="B46" s="30">
        <f>Tabla1[[#This Row],[FECHA]]</f>
        <v>44349</v>
      </c>
      <c r="C46" s="15">
        <f>_xlfn.ISOWEEKNUM('CAJAS ELABORADAS'!$C46)</f>
        <v>22</v>
      </c>
      <c r="D46" s="16" t="str">
        <f>Tabla1[[#This Row],[FINCA]]</f>
        <v>PEDRITO</v>
      </c>
      <c r="E46" s="17">
        <f>Tabla1[[#This Row],[Cajas Elaboradas]]</f>
        <v>117</v>
      </c>
      <c r="F46" s="15">
        <f>Tabla1[[#This Row],[Bolsas Elaboradas]]</f>
        <v>75</v>
      </c>
      <c r="G46" s="15">
        <f>Tabla1[[#This Row],[N° DE PERSONAS EN EL EMBARQUE]]</f>
        <v>16</v>
      </c>
      <c r="H46" s="18">
        <f>Tabla1[[#This Row],[Rasimos Cosechados]]</f>
        <v>0</v>
      </c>
      <c r="I46" s="18">
        <f>Tabla1[[#This Row],[Rasimos Prosesados]]</f>
        <v>0</v>
      </c>
      <c r="J46" s="18">
        <f>Tabla1[[#This Row],[Rasimos Rechasados]]</f>
        <v>0</v>
      </c>
      <c r="K46" s="19">
        <f>Tabla1[[#This Row],[PRECIO CAJA]]</f>
        <v>3000</v>
      </c>
      <c r="L46" s="20">
        <f>Tabla1[[#This Row],[PRECIO BOLSA]]</f>
        <v>500</v>
      </c>
      <c r="M46" s="19">
        <f>Tabla1[[#This Row],[PRODUCIDO CAJA]]</f>
        <v>351000</v>
      </c>
      <c r="N46" s="20">
        <f>Tabla1[[#This Row],[PRODUCIDO BOLSAS]]</f>
        <v>37500</v>
      </c>
      <c r="O46" s="19">
        <f>Tabla1[[#This Row],[TOTAL PRODUCIDO]]</f>
        <v>388500</v>
      </c>
      <c r="P46" s="20">
        <f>Tabla1[[#This Row],[Valor Pagado]]</f>
        <v>480000</v>
      </c>
      <c r="Q46" s="21">
        <f>Tabla1[[#This Row],[COEFICIENTE]]</f>
        <v>1</v>
      </c>
      <c r="R46" s="20">
        <f>Tabla1[[#This Row],[Precio Caja2]]</f>
        <v>3782.0512820512822</v>
      </c>
      <c r="S46" s="14">
        <f>Tabla1[[#This Row],[VALOR GANADO]]</f>
        <v>24281.25</v>
      </c>
      <c r="T46" s="33">
        <f>Tabla1[[#This Row],[VALOR  A PAGAR]]</f>
        <v>30000</v>
      </c>
      <c r="U46" s="41">
        <f>Tabla1[[#This Row],[Columna1]]</f>
        <v>5718.75</v>
      </c>
    </row>
    <row r="47" spans="2:21" ht="20.100000000000001" customHeight="1" x14ac:dyDescent="0.25">
      <c r="B47" s="31">
        <f>Tabla1[[#This Row],[FECHA]]</f>
        <v>44349</v>
      </c>
      <c r="C47" s="22">
        <f>_xlfn.ISOWEEKNUM('CAJAS ELABORADAS'!$C47)</f>
        <v>22</v>
      </c>
      <c r="D47" s="23" t="str">
        <f>Tabla1[[#This Row],[FINCA]]</f>
        <v>SAN PEDRO</v>
      </c>
      <c r="E47" s="24">
        <f>Tabla1[[#This Row],[Cajas Elaboradas]]</f>
        <v>56</v>
      </c>
      <c r="F47" s="22">
        <f>Tabla1[[#This Row],[Bolsas Elaboradas]]</f>
        <v>33</v>
      </c>
      <c r="G47" s="22">
        <f>Tabla1[[#This Row],[N° DE PERSONAS EN EL EMBARQUE]]</f>
        <v>5</v>
      </c>
      <c r="H47" s="25">
        <f>Tabla1[[#This Row],[Rasimos Cosechados]]</f>
        <v>205</v>
      </c>
      <c r="I47" s="25">
        <f>Tabla1[[#This Row],[Rasimos Prosesados]]</f>
        <v>205</v>
      </c>
      <c r="J47" s="25">
        <f>Tabla1[[#This Row],[Rasimos Rechasados]]</f>
        <v>0</v>
      </c>
      <c r="K47" s="11">
        <f>Tabla1[[#This Row],[PRECIO CAJA]]</f>
        <v>1500</v>
      </c>
      <c r="L47" s="12">
        <f>Tabla1[[#This Row],[PRECIO BOLSA]]</f>
        <v>500</v>
      </c>
      <c r="M47" s="11">
        <f>Tabla1[[#This Row],[PRODUCIDO CAJA]]</f>
        <v>84000</v>
      </c>
      <c r="N47" s="12">
        <f>Tabla1[[#This Row],[PRODUCIDO BOLSAS]]</f>
        <v>16500</v>
      </c>
      <c r="O47" s="11">
        <f>Tabla1[[#This Row],[TOTAL PRODUCIDO]]</f>
        <v>100500</v>
      </c>
      <c r="P47" s="12">
        <f>Tabla1[[#This Row],[Valor Pagado]]</f>
        <v>150000</v>
      </c>
      <c r="Q47" s="13">
        <f>Tabla1[[#This Row],[COEFICIENTE]]</f>
        <v>1</v>
      </c>
      <c r="R47" s="12">
        <f>Tabla1[[#This Row],[Precio Caja2]]</f>
        <v>2383.9285714285716</v>
      </c>
      <c r="S47" s="14">
        <f>Tabla1[[#This Row],[VALOR GANADO]]</f>
        <v>20100</v>
      </c>
      <c r="T47" s="32">
        <f>Tabla1[[#This Row],[VALOR  A PAGAR]]</f>
        <v>30000</v>
      </c>
      <c r="U47" s="41">
        <f>Tabla1[[#This Row],[Columna1]]</f>
        <v>9900</v>
      </c>
    </row>
    <row r="48" spans="2:21" ht="20.100000000000001" customHeight="1" x14ac:dyDescent="0.25">
      <c r="B48" s="30">
        <f>Tabla1[[#This Row],[FECHA]]</f>
        <v>44349</v>
      </c>
      <c r="C48" s="15">
        <f>_xlfn.ISOWEEKNUM('CAJAS ELABORADAS'!$C48)</f>
        <v>22</v>
      </c>
      <c r="D48" s="16" t="str">
        <f>Tabla1[[#This Row],[FINCA]]</f>
        <v>UVEROS</v>
      </c>
      <c r="E48" s="17">
        <f>Tabla1[[#This Row],[Cajas Elaboradas]]</f>
        <v>73</v>
      </c>
      <c r="F48" s="15">
        <f>Tabla1[[#This Row],[Bolsas Elaboradas]]</f>
        <v>25</v>
      </c>
      <c r="G48" s="15">
        <f>Tabla1[[#This Row],[N° DE PERSONAS EN EL EMBARQUE]]</f>
        <v>7</v>
      </c>
      <c r="H48" s="18">
        <f>Tabla1[[#This Row],[Rasimos Cosechados]]</f>
        <v>0</v>
      </c>
      <c r="I48" s="18">
        <f>Tabla1[[#This Row],[Rasimos Prosesados]]</f>
        <v>0</v>
      </c>
      <c r="J48" s="18">
        <f>Tabla1[[#This Row],[Rasimos Rechasados]]</f>
        <v>0</v>
      </c>
      <c r="K48" s="19">
        <f>Tabla1[[#This Row],[PRECIO CAJA]]</f>
        <v>1500</v>
      </c>
      <c r="L48" s="20">
        <f>Tabla1[[#This Row],[PRECIO BOLSA]]</f>
        <v>500</v>
      </c>
      <c r="M48" s="19">
        <f>Tabla1[[#This Row],[PRODUCIDO CAJA]]</f>
        <v>109500</v>
      </c>
      <c r="N48" s="20">
        <f>Tabla1[[#This Row],[PRODUCIDO BOLSAS]]</f>
        <v>12500</v>
      </c>
      <c r="O48" s="19">
        <f>Tabla1[[#This Row],[TOTAL PRODUCIDO]]</f>
        <v>122000</v>
      </c>
      <c r="P48" s="20">
        <f>Tabla1[[#This Row],[Valor Pagado]]</f>
        <v>210000</v>
      </c>
      <c r="Q48" s="21">
        <f>Tabla1[[#This Row],[COEFICIENTE]]</f>
        <v>1</v>
      </c>
      <c r="R48" s="20">
        <f>Tabla1[[#This Row],[Precio Caja2]]</f>
        <v>2705.4794520547944</v>
      </c>
      <c r="S48" s="14">
        <f>Tabla1[[#This Row],[VALOR GANADO]]</f>
        <v>17428.571428571428</v>
      </c>
      <c r="T48" s="33">
        <f>Tabla1[[#This Row],[VALOR  A PAGAR]]</f>
        <v>30000</v>
      </c>
      <c r="U48" s="41">
        <f>Tabla1[[#This Row],[Columna1]]</f>
        <v>12571.428571428572</v>
      </c>
    </row>
    <row r="49" spans="2:21" ht="15.75" x14ac:dyDescent="0.25">
      <c r="B49" s="31">
        <f>Tabla1[[#This Row],[FECHA]]</f>
        <v>44355</v>
      </c>
      <c r="C49" s="22">
        <f>_xlfn.ISOWEEKNUM('CAJAS ELABORADAS'!$C49)</f>
        <v>23</v>
      </c>
      <c r="D49" s="23" t="str">
        <f>Tabla1[[#This Row],[FINCA]]</f>
        <v>PEDRITO</v>
      </c>
      <c r="E49" s="24">
        <f>Tabla1[[#This Row],[Cajas Elaboradas]]</f>
        <v>111</v>
      </c>
      <c r="F49" s="22">
        <f>Tabla1[[#This Row],[Bolsas Elaboradas]]</f>
        <v>95</v>
      </c>
      <c r="G49" s="22">
        <f>Tabla1[[#This Row],[N° DE PERSONAS EN EL EMBARQUE]]</f>
        <v>19</v>
      </c>
      <c r="H49" s="25">
        <f>Tabla1[[#This Row],[Rasimos Cosechados]]</f>
        <v>0</v>
      </c>
      <c r="I49" s="25">
        <f>Tabla1[[#This Row],[Rasimos Prosesados]]</f>
        <v>0</v>
      </c>
      <c r="J49" s="25">
        <f>Tabla1[[#This Row],[Rasimos Rechasados]]</f>
        <v>0</v>
      </c>
      <c r="K49" s="11">
        <f>Tabla1[[#This Row],[PRECIO CAJA]]</f>
        <v>3000</v>
      </c>
      <c r="L49" s="12">
        <f>Tabla1[[#This Row],[PRECIO BOLSA]]</f>
        <v>500</v>
      </c>
      <c r="M49" s="11">
        <f>Tabla1[[#This Row],[PRODUCIDO CAJA]]</f>
        <v>333000</v>
      </c>
      <c r="N49" s="12">
        <f>Tabla1[[#This Row],[PRODUCIDO BOLSAS]]</f>
        <v>47500</v>
      </c>
      <c r="O49" s="11">
        <f>Tabla1[[#This Row],[TOTAL PRODUCIDO]]</f>
        <v>380500</v>
      </c>
      <c r="P49" s="12">
        <f>Tabla1[[#This Row],[Valor Pagado]]</f>
        <v>570000</v>
      </c>
      <c r="Q49" s="13">
        <f>Tabla1[[#This Row],[COEFICIENTE]]</f>
        <v>1</v>
      </c>
      <c r="R49" s="12">
        <f>Tabla1[[#This Row],[Precio Caja2]]</f>
        <v>4707.2072072072069</v>
      </c>
      <c r="S49" s="14">
        <f>Tabla1[[#This Row],[VALOR GANADO]]</f>
        <v>20026.315789473683</v>
      </c>
      <c r="T49" s="32">
        <f>Tabla1[[#This Row],[VALOR  A PAGAR]]</f>
        <v>30000</v>
      </c>
      <c r="U49" s="41">
        <f>Tabla1[[#This Row],[Columna1]]</f>
        <v>9973.6842105263167</v>
      </c>
    </row>
    <row r="50" spans="2:21" ht="15.75" x14ac:dyDescent="0.25">
      <c r="B50" s="29">
        <f>Tabla1[[#This Row],[FECHA]]</f>
        <v>44355</v>
      </c>
      <c r="C50" s="26">
        <f>_xlfn.ISOWEEKNUM('CAJAS ELABORADAS'!$C50)</f>
        <v>23</v>
      </c>
      <c r="D50" s="27" t="str">
        <f>Tabla1[[#This Row],[FINCA]]</f>
        <v>DAMAQUIEL</v>
      </c>
      <c r="E50" s="531">
        <f>Tabla1[[#This Row],[Cajas Elaboradas]]</f>
        <v>139</v>
      </c>
      <c r="F50" s="26">
        <f>Tabla1[[#This Row],[Bolsas Elaboradas]]</f>
        <v>50</v>
      </c>
      <c r="G50" s="26">
        <f>Tabla1[[#This Row],[N° DE PERSONAS EN EL EMBARQUE]]</f>
        <v>9</v>
      </c>
      <c r="H50" s="532">
        <f>Tabla1[[#This Row],[Rasimos Cosechados]]</f>
        <v>0</v>
      </c>
      <c r="I50" s="532">
        <f>Tabla1[[#This Row],[Rasimos Prosesados]]</f>
        <v>0</v>
      </c>
      <c r="J50" s="532">
        <f>Tabla1[[#This Row],[Rasimos Rechasados]]</f>
        <v>0</v>
      </c>
      <c r="K50" s="533">
        <f>Tabla1[[#This Row],[PRECIO CAJA]]</f>
        <v>1500</v>
      </c>
      <c r="L50" s="534">
        <f>Tabla1[[#This Row],[PRECIO BOLSA]]</f>
        <v>500</v>
      </c>
      <c r="M50" s="533">
        <f>Tabla1[[#This Row],[PRODUCIDO CAJA]]</f>
        <v>208500</v>
      </c>
      <c r="N50" s="534">
        <f>Tabla1[[#This Row],[PRODUCIDO BOLSAS]]</f>
        <v>25000</v>
      </c>
      <c r="O50" s="533">
        <f>Tabla1[[#This Row],[TOTAL PRODUCIDO]]</f>
        <v>233500</v>
      </c>
      <c r="P50" s="534">
        <f>Tabla1[[#This Row],[Valor Pagado]]</f>
        <v>270000</v>
      </c>
      <c r="Q50" s="535">
        <f>Tabla1[[#This Row],[COEFICIENTE]]</f>
        <v>1</v>
      </c>
      <c r="R50" s="534">
        <f>Tabla1[[#This Row],[Precio Caja2]]</f>
        <v>1762.5899280575541</v>
      </c>
      <c r="S50" s="536">
        <f>Tabla1[[#This Row],[VALOR GANADO]]</f>
        <v>25944.444444444445</v>
      </c>
      <c r="T50" s="537">
        <f>Tabla1[[#This Row],[VALOR  A PAGAR]]</f>
        <v>30000</v>
      </c>
      <c r="U50" s="41">
        <f>Tabla1[[#This Row],[Columna1]]</f>
        <v>4055.5555555555547</v>
      </c>
    </row>
    <row r="51" spans="2:21" ht="15.75" x14ac:dyDescent="0.25">
      <c r="B51" s="29">
        <f>Tabla1[[#This Row],[FECHA]]</f>
        <v>44356</v>
      </c>
      <c r="C51" s="26">
        <f>_xlfn.ISOWEEKNUM('CAJAS ELABORADAS'!$C51)</f>
        <v>23</v>
      </c>
      <c r="D51" s="27" t="str">
        <f>Tabla1[[#This Row],[FINCA]]</f>
        <v>SAN PEDRO</v>
      </c>
      <c r="E51" s="531">
        <f>Tabla1[[#This Row],[Cajas Elaboradas]]</f>
        <v>144</v>
      </c>
      <c r="F51" s="26">
        <f>Tabla1[[#This Row],[Bolsas Elaboradas]]</f>
        <v>30</v>
      </c>
      <c r="G51" s="26">
        <f>Tabla1[[#This Row],[N° DE PERSONAS EN EL EMBARQUE]]</f>
        <v>6</v>
      </c>
      <c r="H51" s="532">
        <f>Tabla1[[#This Row],[Rasimos Cosechados]]</f>
        <v>496</v>
      </c>
      <c r="I51" s="532">
        <f>Tabla1[[#This Row],[Rasimos Prosesados]]</f>
        <v>458</v>
      </c>
      <c r="J51" s="532">
        <f>Tabla1[[#This Row],[Rasimos Rechasados]]</f>
        <v>38</v>
      </c>
      <c r="K51" s="533">
        <f>Tabla1[[#This Row],[PRECIO CAJA]]</f>
        <v>1500</v>
      </c>
      <c r="L51" s="534">
        <f>Tabla1[[#This Row],[PRECIO BOLSA]]</f>
        <v>500</v>
      </c>
      <c r="M51" s="533">
        <f>Tabla1[[#This Row],[PRODUCIDO CAJA]]</f>
        <v>216000</v>
      </c>
      <c r="N51" s="534">
        <f>Tabla1[[#This Row],[PRODUCIDO BOLSAS]]</f>
        <v>15000</v>
      </c>
      <c r="O51" s="533">
        <f>Tabla1[[#This Row],[TOTAL PRODUCIDO]]</f>
        <v>231000</v>
      </c>
      <c r="P51" s="534">
        <f>Tabla1[[#This Row],[Valor Pagado]]</f>
        <v>231000</v>
      </c>
      <c r="Q51" s="535">
        <f>Tabla1[[#This Row],[COEFICIENTE]]</f>
        <v>1.2833333333333334</v>
      </c>
      <c r="R51" s="534">
        <f>Tabla1[[#This Row],[Precio Caja2]]</f>
        <v>1500</v>
      </c>
      <c r="S51" s="536">
        <f>Tabla1[[#This Row],[VALOR GANADO]]</f>
        <v>38500</v>
      </c>
      <c r="T51" s="537">
        <f>Tabla1[[#This Row],[VALOR  A PAGAR]]</f>
        <v>38500</v>
      </c>
      <c r="U51" s="41">
        <f>Tabla1[[#This Row],[Columna1]]</f>
        <v>0</v>
      </c>
    </row>
    <row r="52" spans="2:21" ht="15.75" x14ac:dyDescent="0.25">
      <c r="B52" s="29">
        <f>Tabla1[[#This Row],[FECHA]]</f>
        <v>44356</v>
      </c>
      <c r="C52" s="26">
        <f>_xlfn.ISOWEEKNUM('CAJAS ELABORADAS'!$C52)</f>
        <v>23</v>
      </c>
      <c r="D52" s="27" t="str">
        <f>Tabla1[[#This Row],[FINCA]]</f>
        <v>PEDRITO</v>
      </c>
      <c r="E52" s="531">
        <f>Tabla1[[#This Row],[Cajas Elaboradas]]</f>
        <v>38</v>
      </c>
      <c r="F52" s="26">
        <f>Tabla1[[#This Row],[Bolsas Elaboradas]]</f>
        <v>20</v>
      </c>
      <c r="G52" s="26">
        <f>Tabla1[[#This Row],[N° DE PERSONAS EN EL EMBARQUE]]</f>
        <v>5</v>
      </c>
      <c r="H52" s="532">
        <f>Tabla1[[#This Row],[Rasimos Cosechados]]</f>
        <v>0</v>
      </c>
      <c r="I52" s="532">
        <f>Tabla1[[#This Row],[Rasimos Prosesados]]</f>
        <v>0</v>
      </c>
      <c r="J52" s="532">
        <f>Tabla1[[#This Row],[Rasimos Rechasados]]</f>
        <v>0</v>
      </c>
      <c r="K52" s="533">
        <f>Tabla1[[#This Row],[PRECIO CAJA]]</f>
        <v>3000</v>
      </c>
      <c r="L52" s="534">
        <f>Tabla1[[#This Row],[PRECIO BOLSA]]</f>
        <v>500</v>
      </c>
      <c r="M52" s="533">
        <f>Tabla1[[#This Row],[PRODUCIDO CAJA]]</f>
        <v>114000</v>
      </c>
      <c r="N52" s="534">
        <f>Tabla1[[#This Row],[PRODUCIDO BOLSAS]]</f>
        <v>10000</v>
      </c>
      <c r="O52" s="533">
        <f>Tabla1[[#This Row],[TOTAL PRODUCIDO]]</f>
        <v>124000</v>
      </c>
      <c r="P52" s="534">
        <f>Tabla1[[#This Row],[Valor Pagado]]</f>
        <v>150000</v>
      </c>
      <c r="Q52" s="535">
        <f>Tabla1[[#This Row],[COEFICIENTE]]</f>
        <v>1</v>
      </c>
      <c r="R52" s="534">
        <f>Tabla1[[#This Row],[Precio Caja2]]</f>
        <v>3684.2105263157896</v>
      </c>
      <c r="S52" s="536">
        <f>Tabla1[[#This Row],[VALOR GANADO]]</f>
        <v>24800</v>
      </c>
      <c r="T52" s="537">
        <f>Tabla1[[#This Row],[VALOR  A PAGAR]]</f>
        <v>30000</v>
      </c>
      <c r="U52" s="41">
        <f>Tabla1[[#This Row],[Columna1]]</f>
        <v>5200</v>
      </c>
    </row>
    <row r="53" spans="2:21" ht="15.75" x14ac:dyDescent="0.25">
      <c r="B53" s="29">
        <f>Tabla1[[#This Row],[FECHA]]</f>
        <v>44356</v>
      </c>
      <c r="C53" s="26">
        <f>_xlfn.ISOWEEKNUM('CAJAS ELABORADAS'!$C53)</f>
        <v>23</v>
      </c>
      <c r="D53" s="27" t="str">
        <f>Tabla1[[#This Row],[FINCA]]</f>
        <v>UVEROS</v>
      </c>
      <c r="E53" s="531">
        <f>Tabla1[[#This Row],[Cajas Elaboradas]]</f>
        <v>71</v>
      </c>
      <c r="F53" s="26">
        <f>Tabla1[[#This Row],[Bolsas Elaboradas]]</f>
        <v>14</v>
      </c>
      <c r="G53" s="26">
        <f>Tabla1[[#This Row],[N° DE PERSONAS EN EL EMBARQUE]]</f>
        <v>7</v>
      </c>
      <c r="H53" s="532">
        <f>Tabla1[[#This Row],[Rasimos Cosechados]]</f>
        <v>0</v>
      </c>
      <c r="I53" s="532">
        <f>Tabla1[[#This Row],[Rasimos Prosesados]]</f>
        <v>0</v>
      </c>
      <c r="J53" s="532">
        <f>Tabla1[[#This Row],[Rasimos Rechasados]]</f>
        <v>0</v>
      </c>
      <c r="K53" s="533">
        <f>Tabla1[[#This Row],[PRECIO CAJA]]</f>
        <v>1500</v>
      </c>
      <c r="L53" s="534">
        <f>Tabla1[[#This Row],[PRECIO BOLSA]]</f>
        <v>500</v>
      </c>
      <c r="M53" s="533">
        <f>Tabla1[[#This Row],[PRODUCIDO CAJA]]</f>
        <v>106500</v>
      </c>
      <c r="N53" s="534">
        <f>Tabla1[[#This Row],[PRODUCIDO BOLSAS]]</f>
        <v>7000</v>
      </c>
      <c r="O53" s="533">
        <f>Tabla1[[#This Row],[TOTAL PRODUCIDO]]</f>
        <v>113500</v>
      </c>
      <c r="P53" s="534">
        <f>Tabla1[[#This Row],[Valor Pagado]]</f>
        <v>210000</v>
      </c>
      <c r="Q53" s="535">
        <f>Tabla1[[#This Row],[COEFICIENTE]]</f>
        <v>1</v>
      </c>
      <c r="R53" s="534">
        <f>Tabla1[[#This Row],[Precio Caja2]]</f>
        <v>2859.1549295774648</v>
      </c>
      <c r="S53" s="536">
        <f>Tabla1[[#This Row],[VALOR GANADO]]</f>
        <v>16214.285714285714</v>
      </c>
      <c r="T53" s="537">
        <f>Tabla1[[#This Row],[VALOR  A PAGAR]]</f>
        <v>30000</v>
      </c>
      <c r="U53" s="41">
        <f>Tabla1[[#This Row],[Columna1]]</f>
        <v>13785.714285714286</v>
      </c>
    </row>
    <row r="54" spans="2:21" ht="15.75" x14ac:dyDescent="0.25">
      <c r="B54" s="29">
        <f>Tabla1[[#This Row],[FECHA]]</f>
        <v>44362</v>
      </c>
      <c r="C54" s="26">
        <f>_xlfn.ISOWEEKNUM('CAJAS ELABORADAS'!$C54)</f>
        <v>24</v>
      </c>
      <c r="D54" s="27" t="str">
        <f>Tabla1[[#This Row],[FINCA]]</f>
        <v>SAN PEDRO</v>
      </c>
      <c r="E54" s="531">
        <f>Tabla1[[#This Row],[Cajas Elaboradas]]</f>
        <v>300</v>
      </c>
      <c r="F54" s="26">
        <f>Tabla1[[#This Row],[Bolsas Elaboradas]]</f>
        <v>120</v>
      </c>
      <c r="G54" s="26">
        <f>Tabla1[[#This Row],[N° DE PERSONAS EN EL EMBARQUE]]</f>
        <v>14</v>
      </c>
      <c r="H54" s="532">
        <f>Tabla1[[#This Row],[Rasimos Cosechados]]</f>
        <v>1080</v>
      </c>
      <c r="I54" s="532">
        <f>Tabla1[[#This Row],[Rasimos Prosesados]]</f>
        <v>896</v>
      </c>
      <c r="J54" s="532">
        <f>Tabla1[[#This Row],[Rasimos Rechasados]]</f>
        <v>184</v>
      </c>
      <c r="K54" s="533">
        <f>Tabla1[[#This Row],[PRECIO CAJA]]</f>
        <v>1500</v>
      </c>
      <c r="L54" s="534">
        <f>Tabla1[[#This Row],[PRECIO BOLSA]]</f>
        <v>500</v>
      </c>
      <c r="M54" s="533">
        <f>Tabla1[[#This Row],[PRODUCIDO CAJA]]</f>
        <v>450000</v>
      </c>
      <c r="N54" s="534">
        <f>Tabla1[[#This Row],[PRODUCIDO BOLSAS]]</f>
        <v>60000</v>
      </c>
      <c r="O54" s="533">
        <f>Tabla1[[#This Row],[TOTAL PRODUCIDO]]</f>
        <v>510000</v>
      </c>
      <c r="P54" s="534">
        <f>Tabla1[[#This Row],[Valor Pagado]]</f>
        <v>510000</v>
      </c>
      <c r="Q54" s="535">
        <f>Tabla1[[#This Row],[COEFICIENTE]]</f>
        <v>1.2142857142857142</v>
      </c>
      <c r="R54" s="534">
        <f>Tabla1[[#This Row],[Precio Caja2]]</f>
        <v>1500</v>
      </c>
      <c r="S54" s="536">
        <f>Tabla1[[#This Row],[VALOR GANADO]]</f>
        <v>36428.571428571428</v>
      </c>
      <c r="T54" s="537">
        <f>Tabla1[[#This Row],[VALOR  A PAGAR]]</f>
        <v>36428.571428571428</v>
      </c>
      <c r="U54" s="41">
        <f>Tabla1[[#This Row],[Columna1]]</f>
        <v>0</v>
      </c>
    </row>
    <row r="55" spans="2:21" ht="15.75" x14ac:dyDescent="0.25">
      <c r="B55" s="29">
        <f>Tabla1[[#This Row],[FECHA]]</f>
        <v>44362</v>
      </c>
      <c r="C55" s="26">
        <f>_xlfn.ISOWEEKNUM('CAJAS ELABORADAS'!$C55)</f>
        <v>24</v>
      </c>
      <c r="D55" s="27" t="str">
        <f>Tabla1[[#This Row],[FINCA]]</f>
        <v>UVEROS</v>
      </c>
      <c r="E55" s="531">
        <f>Tabla1[[#This Row],[Cajas Elaboradas]]</f>
        <v>100</v>
      </c>
      <c r="F55" s="26">
        <f>Tabla1[[#This Row],[Bolsas Elaboradas]]</f>
        <v>32</v>
      </c>
      <c r="G55" s="26">
        <f>Tabla1[[#This Row],[N° DE PERSONAS EN EL EMBARQUE]]</f>
        <v>7</v>
      </c>
      <c r="H55" s="532">
        <f>Tabla1[[#This Row],[Rasimos Cosechados]]</f>
        <v>0</v>
      </c>
      <c r="I55" s="532">
        <f>Tabla1[[#This Row],[Rasimos Prosesados]]</f>
        <v>0</v>
      </c>
      <c r="J55" s="532">
        <f>Tabla1[[#This Row],[Rasimos Rechasados]]</f>
        <v>0</v>
      </c>
      <c r="K55" s="533">
        <f>Tabla1[[#This Row],[PRECIO CAJA]]</f>
        <v>1500</v>
      </c>
      <c r="L55" s="534">
        <f>Tabla1[[#This Row],[PRECIO BOLSA]]</f>
        <v>500</v>
      </c>
      <c r="M55" s="533">
        <f>Tabla1[[#This Row],[PRODUCIDO CAJA]]</f>
        <v>150000</v>
      </c>
      <c r="N55" s="534">
        <f>Tabla1[[#This Row],[PRODUCIDO BOLSAS]]</f>
        <v>16000</v>
      </c>
      <c r="O55" s="533">
        <f>Tabla1[[#This Row],[TOTAL PRODUCIDO]]</f>
        <v>166000</v>
      </c>
      <c r="P55" s="534">
        <f>Tabla1[[#This Row],[Valor Pagado]]</f>
        <v>210000</v>
      </c>
      <c r="Q55" s="535">
        <f>Tabla1[[#This Row],[COEFICIENTE]]</f>
        <v>1</v>
      </c>
      <c r="R55" s="534">
        <f>Tabla1[[#This Row],[Precio Caja2]]</f>
        <v>1940</v>
      </c>
      <c r="S55" s="536">
        <f>Tabla1[[#This Row],[VALOR GANADO]]</f>
        <v>23714.285714285714</v>
      </c>
      <c r="T55" s="537">
        <f>Tabla1[[#This Row],[VALOR  A PAGAR]]</f>
        <v>30000</v>
      </c>
      <c r="U55" s="41">
        <f>Tabla1[[#This Row],[Columna1]]</f>
        <v>6285.7142857142862</v>
      </c>
    </row>
    <row r="56" spans="2:21" ht="15.75" x14ac:dyDescent="0.25">
      <c r="B56" s="29">
        <f>Tabla1[[#This Row],[FECHA]]</f>
        <v>44363</v>
      </c>
      <c r="C56" s="26">
        <f>_xlfn.ISOWEEKNUM('CAJAS ELABORADAS'!$C56)</f>
        <v>24</v>
      </c>
      <c r="D56" s="27" t="str">
        <f>Tabla1[[#This Row],[FINCA]]</f>
        <v>SAN PEDRO</v>
      </c>
      <c r="E56" s="531">
        <f>Tabla1[[#This Row],[Cajas Elaboradas]]</f>
        <v>230</v>
      </c>
      <c r="F56" s="26">
        <f>Tabla1[[#This Row],[Bolsas Elaboradas]]</f>
        <v>97</v>
      </c>
      <c r="G56" s="26">
        <f>Tabla1[[#This Row],[N° DE PERSONAS EN EL EMBARQUE]]</f>
        <v>13</v>
      </c>
      <c r="H56" s="532">
        <f>Tabla1[[#This Row],[Rasimos Cosechados]]</f>
        <v>832</v>
      </c>
      <c r="I56" s="532">
        <f>Tabla1[[#This Row],[Rasimos Prosesados]]</f>
        <v>738</v>
      </c>
      <c r="J56" s="532">
        <f>Tabla1[[#This Row],[Rasimos Rechasados]]</f>
        <v>94</v>
      </c>
      <c r="K56" s="533">
        <f>Tabla1[[#This Row],[PRECIO CAJA]]</f>
        <v>1500</v>
      </c>
      <c r="L56" s="534">
        <f>Tabla1[[#This Row],[PRECIO BOLSA]]</f>
        <v>500</v>
      </c>
      <c r="M56" s="533">
        <f>Tabla1[[#This Row],[PRODUCIDO CAJA]]</f>
        <v>345000</v>
      </c>
      <c r="N56" s="534">
        <f>Tabla1[[#This Row],[PRODUCIDO BOLSAS]]</f>
        <v>48500</v>
      </c>
      <c r="O56" s="533">
        <f>Tabla1[[#This Row],[TOTAL PRODUCIDO]]</f>
        <v>393500</v>
      </c>
      <c r="P56" s="534">
        <f>Tabla1[[#This Row],[Valor Pagado]]</f>
        <v>393500</v>
      </c>
      <c r="Q56" s="535">
        <f>Tabla1[[#This Row],[COEFICIENTE]]</f>
        <v>1.0089743589743589</v>
      </c>
      <c r="R56" s="534">
        <f>Tabla1[[#This Row],[Precio Caja2]]</f>
        <v>1500</v>
      </c>
      <c r="S56" s="536">
        <f>Tabla1[[#This Row],[VALOR GANADO]]</f>
        <v>30269.23076923077</v>
      </c>
      <c r="T56" s="537">
        <f>Tabla1[[#This Row],[VALOR  A PAGAR]]</f>
        <v>30269.23076923077</v>
      </c>
      <c r="U56" s="41">
        <f>Tabla1[[#This Row],[Columna1]]</f>
        <v>0</v>
      </c>
    </row>
    <row r="57" spans="2:21" ht="15.75" x14ac:dyDescent="0.25">
      <c r="B57" s="29">
        <f>Tabla1[[#This Row],[FECHA]]</f>
        <v>44363</v>
      </c>
      <c r="C57" s="26">
        <f>_xlfn.ISOWEEKNUM('CAJAS ELABORADAS'!$C57)</f>
        <v>24</v>
      </c>
      <c r="D57" s="27" t="str">
        <f>Tabla1[[#This Row],[FINCA]]</f>
        <v>DAMAQUIEL</v>
      </c>
      <c r="E57" s="531">
        <f>Tabla1[[#This Row],[Cajas Elaboradas]]</f>
        <v>163</v>
      </c>
      <c r="F57" s="26">
        <f>Tabla1[[#This Row],[Bolsas Elaboradas]]</f>
        <v>66</v>
      </c>
      <c r="G57" s="26">
        <f>Tabla1[[#This Row],[N° DE PERSONAS EN EL EMBARQUE]]</f>
        <v>9</v>
      </c>
      <c r="H57" s="532">
        <f>Tabla1[[#This Row],[Rasimos Cosechados]]</f>
        <v>0</v>
      </c>
      <c r="I57" s="532">
        <f>Tabla1[[#This Row],[Rasimos Prosesados]]</f>
        <v>0</v>
      </c>
      <c r="J57" s="532">
        <f>Tabla1[[#This Row],[Rasimos Rechasados]]</f>
        <v>0</v>
      </c>
      <c r="K57" s="533">
        <f>Tabla1[[#This Row],[PRECIO CAJA]]</f>
        <v>1500</v>
      </c>
      <c r="L57" s="534">
        <f>Tabla1[[#This Row],[PRECIO BOLSA]]</f>
        <v>500</v>
      </c>
      <c r="M57" s="533">
        <f>Tabla1[[#This Row],[PRODUCIDO CAJA]]</f>
        <v>244500</v>
      </c>
      <c r="N57" s="534">
        <f>Tabla1[[#This Row],[PRODUCIDO BOLSAS]]</f>
        <v>33000</v>
      </c>
      <c r="O57" s="533">
        <f>Tabla1[[#This Row],[TOTAL PRODUCIDO]]</f>
        <v>277500</v>
      </c>
      <c r="P57" s="534">
        <f>Tabla1[[#This Row],[Valor Pagado]]</f>
        <v>277500</v>
      </c>
      <c r="Q57" s="535">
        <f>Tabla1[[#This Row],[COEFICIENTE]]</f>
        <v>1.0277777777777777</v>
      </c>
      <c r="R57" s="534">
        <f>Tabla1[[#This Row],[Precio Caja2]]</f>
        <v>1500</v>
      </c>
      <c r="S57" s="536">
        <f>Tabla1[[#This Row],[VALOR GANADO]]</f>
        <v>30833.333333333332</v>
      </c>
      <c r="T57" s="537">
        <f>Tabla1[[#This Row],[VALOR  A PAGAR]]</f>
        <v>30833.333333333332</v>
      </c>
      <c r="U57" s="41">
        <f>Tabla1[[#This Row],[Columna1]]</f>
        <v>0</v>
      </c>
    </row>
    <row r="58" spans="2:21" ht="15.75" x14ac:dyDescent="0.25">
      <c r="B58" s="29">
        <f>Tabla1[[#This Row],[FECHA]]</f>
        <v>44363</v>
      </c>
      <c r="C58" s="26">
        <f>_xlfn.ISOWEEKNUM('CAJAS ELABORADAS'!$C58)</f>
        <v>24</v>
      </c>
      <c r="D58" s="27" t="str">
        <f>Tabla1[[#This Row],[FINCA]]</f>
        <v>PEDRITO</v>
      </c>
      <c r="E58" s="531">
        <f>Tabla1[[#This Row],[Cajas Elaboradas]]</f>
        <v>84</v>
      </c>
      <c r="F58" s="26">
        <f>Tabla1[[#This Row],[Bolsas Elaboradas]]</f>
        <v>32</v>
      </c>
      <c r="G58" s="26">
        <f>Tabla1[[#This Row],[N° DE PERSONAS EN EL EMBARQUE]]</f>
        <v>17</v>
      </c>
      <c r="H58" s="532">
        <f>Tabla1[[#This Row],[Rasimos Cosechados]]</f>
        <v>339</v>
      </c>
      <c r="I58" s="532">
        <f>Tabla1[[#This Row],[Rasimos Prosesados]]</f>
        <v>0</v>
      </c>
      <c r="J58" s="532">
        <f>Tabla1[[#This Row],[Rasimos Rechasados]]</f>
        <v>339</v>
      </c>
      <c r="K58" s="533">
        <f>Tabla1[[#This Row],[PRECIO CAJA]]</f>
        <v>3000</v>
      </c>
      <c r="L58" s="534">
        <f>Tabla1[[#This Row],[PRECIO BOLSA]]</f>
        <v>500</v>
      </c>
      <c r="M58" s="533">
        <f>Tabla1[[#This Row],[PRODUCIDO CAJA]]</f>
        <v>252000</v>
      </c>
      <c r="N58" s="534">
        <f>Tabla1[[#This Row],[PRODUCIDO BOLSAS]]</f>
        <v>16000</v>
      </c>
      <c r="O58" s="533">
        <f>Tabla1[[#This Row],[TOTAL PRODUCIDO]]</f>
        <v>268000</v>
      </c>
      <c r="P58" s="534">
        <f>Tabla1[[#This Row],[Valor Pagado]]</f>
        <v>510000</v>
      </c>
      <c r="Q58" s="535">
        <f>Tabla1[[#This Row],[COEFICIENTE]]</f>
        <v>1</v>
      </c>
      <c r="R58" s="534">
        <f>Tabla1[[#This Row],[Precio Caja2]]</f>
        <v>5880.9523809523807</v>
      </c>
      <c r="S58" s="536">
        <f>Tabla1[[#This Row],[VALOR GANADO]]</f>
        <v>15764.705882352941</v>
      </c>
      <c r="T58" s="537">
        <f>Tabla1[[#This Row],[VALOR  A PAGAR]]</f>
        <v>30000</v>
      </c>
      <c r="U58" s="41">
        <f>Tabla1[[#This Row],[Columna1]]</f>
        <v>14235.294117647059</v>
      </c>
    </row>
    <row r="59" spans="2:21" ht="15.75" x14ac:dyDescent="0.25">
      <c r="B59" s="31">
        <f>Tabla1[[#This Row],[FECHA]]</f>
        <v>44369</v>
      </c>
      <c r="C59" s="22">
        <f>_xlfn.ISOWEEKNUM('CAJAS ELABORADAS'!$C59)</f>
        <v>25</v>
      </c>
      <c r="D59" s="23" t="str">
        <f>Tabla1[[#This Row],[FINCA]]</f>
        <v>SAN PEDRO</v>
      </c>
      <c r="E59" s="24">
        <f>Tabla1[[#This Row],[Cajas Elaboradas]]</f>
        <v>220</v>
      </c>
      <c r="F59" s="22">
        <f>Tabla1[[#This Row],[Bolsas Elaboradas]]</f>
        <v>53</v>
      </c>
      <c r="G59" s="22">
        <f>Tabla1[[#This Row],[N° DE PERSONAS EN EL EMBARQUE]]</f>
        <v>10</v>
      </c>
      <c r="H59" s="25">
        <f>Tabla1[[#This Row],[Rasimos Cosechados]]</f>
        <v>0</v>
      </c>
      <c r="I59" s="25">
        <f>Tabla1[[#This Row],[Rasimos Prosesados]]</f>
        <v>0</v>
      </c>
      <c r="J59" s="25">
        <f>Tabla1[[#This Row],[Rasimos Rechasados]]</f>
        <v>0</v>
      </c>
      <c r="K59" s="11">
        <f>Tabla1[[#This Row],[PRECIO CAJA]]</f>
        <v>1500</v>
      </c>
      <c r="L59" s="12">
        <f>Tabla1[[#This Row],[PRECIO BOLSA]]</f>
        <v>500</v>
      </c>
      <c r="M59" s="11">
        <f>Tabla1[[#This Row],[PRODUCIDO CAJA]]</f>
        <v>330000</v>
      </c>
      <c r="N59" s="12">
        <f>Tabla1[[#This Row],[PRODUCIDO BOLSAS]]</f>
        <v>26500</v>
      </c>
      <c r="O59" s="11">
        <f>Tabla1[[#This Row],[TOTAL PRODUCIDO]]</f>
        <v>356500</v>
      </c>
      <c r="P59" s="12">
        <f>Tabla1[[#This Row],[Valor Pagado]]</f>
        <v>356500</v>
      </c>
      <c r="Q59" s="13">
        <f>Tabla1[[#This Row],[COEFICIENTE]]</f>
        <v>1.1883333333333332</v>
      </c>
      <c r="R59" s="12">
        <f>Tabla1[[#This Row],[Precio Caja2]]</f>
        <v>1500</v>
      </c>
      <c r="S59" s="14">
        <f>Tabla1[[#This Row],[VALOR GANADO]]</f>
        <v>35650</v>
      </c>
      <c r="T59" s="32">
        <f>Tabla1[[#This Row],[VALOR  A PAGAR]]</f>
        <v>35650</v>
      </c>
      <c r="U59" s="41">
        <f>Tabla1[[#This Row],[Columna1]]</f>
        <v>0</v>
      </c>
    </row>
    <row r="60" spans="2:21" ht="15.75" x14ac:dyDescent="0.25">
      <c r="B60" s="29">
        <f>Tabla1[[#This Row],[FECHA]]</f>
        <v>44370</v>
      </c>
      <c r="C60" s="26">
        <f>_xlfn.ISOWEEKNUM('CAJAS ELABORADAS'!$C60)</f>
        <v>25</v>
      </c>
      <c r="D60" s="27" t="str">
        <f>Tabla1[[#This Row],[FINCA]]</f>
        <v>SAN PEDRO</v>
      </c>
      <c r="E60" s="531">
        <f>Tabla1[[#This Row],[Cajas Elaboradas]]</f>
        <v>285</v>
      </c>
      <c r="F60" s="26">
        <f>Tabla1[[#This Row],[Bolsas Elaboradas]]</f>
        <v>62</v>
      </c>
      <c r="G60" s="26">
        <f>Tabla1[[#This Row],[N° DE PERSONAS EN EL EMBARQUE]]</f>
        <v>15</v>
      </c>
      <c r="H60" s="532">
        <f>Tabla1[[#This Row],[Rasimos Cosechados]]</f>
        <v>0</v>
      </c>
      <c r="I60" s="532">
        <f>Tabla1[[#This Row],[Rasimos Prosesados]]</f>
        <v>0</v>
      </c>
      <c r="J60" s="532">
        <f>Tabla1[[#This Row],[Rasimos Rechasados]]</f>
        <v>0</v>
      </c>
      <c r="K60" s="533">
        <f>Tabla1[[#This Row],[PRECIO CAJA]]</f>
        <v>1500</v>
      </c>
      <c r="L60" s="534">
        <f>Tabla1[[#This Row],[PRECIO BOLSA]]</f>
        <v>500</v>
      </c>
      <c r="M60" s="533">
        <f>Tabla1[[#This Row],[PRODUCIDO CAJA]]</f>
        <v>427500</v>
      </c>
      <c r="N60" s="534">
        <f>Tabla1[[#This Row],[PRODUCIDO BOLSAS]]</f>
        <v>31000</v>
      </c>
      <c r="O60" s="533">
        <f>Tabla1[[#This Row],[TOTAL PRODUCIDO]]</f>
        <v>458500</v>
      </c>
      <c r="P60" s="534">
        <f>Tabla1[[#This Row],[Valor Pagado]]</f>
        <v>458500</v>
      </c>
      <c r="Q60" s="535">
        <f>Tabla1[[#This Row],[COEFICIENTE]]</f>
        <v>1.018888888888889</v>
      </c>
      <c r="R60" s="534">
        <f>Tabla1[[#This Row],[Precio Caja2]]</f>
        <v>1500</v>
      </c>
      <c r="S60" s="536">
        <f>Tabla1[[#This Row],[VALOR GANADO]]</f>
        <v>30566.666666666668</v>
      </c>
      <c r="T60" s="537">
        <f>Tabla1[[#This Row],[VALOR  A PAGAR]]</f>
        <v>30566.666666666668</v>
      </c>
      <c r="U60" s="41">
        <f>Tabla1[[#This Row],[Columna1]]</f>
        <v>0</v>
      </c>
    </row>
    <row r="61" spans="2:21" ht="15.75" x14ac:dyDescent="0.25">
      <c r="B61" s="29">
        <f>Tabla1[[#This Row],[FECHA]]</f>
        <v>44369</v>
      </c>
      <c r="C61" s="26">
        <f>_xlfn.ISOWEEKNUM('CAJAS ELABORADAS'!$C61)</f>
        <v>25</v>
      </c>
      <c r="D61" s="27" t="str">
        <f>Tabla1[[#This Row],[FINCA]]</f>
        <v>DAMAQUIEL</v>
      </c>
      <c r="E61" s="531">
        <f>Tabla1[[#This Row],[Cajas Elaboradas]]</f>
        <v>160</v>
      </c>
      <c r="F61" s="26">
        <f>Tabla1[[#This Row],[Bolsas Elaboradas]]</f>
        <v>87</v>
      </c>
      <c r="G61" s="26">
        <f>Tabla1[[#This Row],[N° DE PERSONAS EN EL EMBARQUE]]</f>
        <v>12</v>
      </c>
      <c r="H61" s="532">
        <f>Tabla1[[#This Row],[Rasimos Cosechados]]</f>
        <v>0</v>
      </c>
      <c r="I61" s="532">
        <f>Tabla1[[#This Row],[Rasimos Prosesados]]</f>
        <v>0</v>
      </c>
      <c r="J61" s="532">
        <f>Tabla1[[#This Row],[Rasimos Rechasados]]</f>
        <v>0</v>
      </c>
      <c r="K61" s="533">
        <f>Tabla1[[#This Row],[PRECIO CAJA]]</f>
        <v>1500</v>
      </c>
      <c r="L61" s="534">
        <f>Tabla1[[#This Row],[PRECIO BOLSA]]</f>
        <v>500</v>
      </c>
      <c r="M61" s="533">
        <f>Tabla1[[#This Row],[PRODUCIDO CAJA]]</f>
        <v>240000</v>
      </c>
      <c r="N61" s="534">
        <f>Tabla1[[#This Row],[PRODUCIDO BOLSAS]]</f>
        <v>43500</v>
      </c>
      <c r="O61" s="533">
        <f>Tabla1[[#This Row],[TOTAL PRODUCIDO]]</f>
        <v>283500</v>
      </c>
      <c r="P61" s="534">
        <f>Tabla1[[#This Row],[Valor Pagado]]</f>
        <v>360000</v>
      </c>
      <c r="Q61" s="535">
        <f>Tabla1[[#This Row],[COEFICIENTE]]</f>
        <v>1</v>
      </c>
      <c r="R61" s="534">
        <f>Tabla1[[#This Row],[Precio Caja2]]</f>
        <v>1978.125</v>
      </c>
      <c r="S61" s="536">
        <f>Tabla1[[#This Row],[VALOR GANADO]]</f>
        <v>23625</v>
      </c>
      <c r="T61" s="537">
        <f>Tabla1[[#This Row],[VALOR  A PAGAR]]</f>
        <v>30000</v>
      </c>
      <c r="U61" s="41">
        <f>Tabla1[[#This Row],[Columna1]]</f>
        <v>6375</v>
      </c>
    </row>
    <row r="62" spans="2:21" ht="15.75" x14ac:dyDescent="0.25">
      <c r="B62" s="29">
        <f>Tabla1[[#This Row],[FECHA]]</f>
        <v>44370</v>
      </c>
      <c r="C62" s="26">
        <f>_xlfn.ISOWEEKNUM('CAJAS ELABORADAS'!$C62)</f>
        <v>25</v>
      </c>
      <c r="D62" s="27" t="str">
        <f>Tabla1[[#This Row],[FINCA]]</f>
        <v>UVEROS</v>
      </c>
      <c r="E62" s="531">
        <f>Tabla1[[#This Row],[Cajas Elaboradas]]</f>
        <v>45</v>
      </c>
      <c r="F62" s="26">
        <f>Tabla1[[#This Row],[Bolsas Elaboradas]]</f>
        <v>31</v>
      </c>
      <c r="G62" s="26">
        <f>Tabla1[[#This Row],[N° DE PERSONAS EN EL EMBARQUE]]</f>
        <v>3</v>
      </c>
      <c r="H62" s="532">
        <f>Tabla1[[#This Row],[Rasimos Cosechados]]</f>
        <v>0</v>
      </c>
      <c r="I62" s="532">
        <f>Tabla1[[#This Row],[Rasimos Prosesados]]</f>
        <v>0</v>
      </c>
      <c r="J62" s="532">
        <f>Tabla1[[#This Row],[Rasimos Rechasados]]</f>
        <v>0</v>
      </c>
      <c r="K62" s="533">
        <f>Tabla1[[#This Row],[PRECIO CAJA]]</f>
        <v>1500</v>
      </c>
      <c r="L62" s="534">
        <f>Tabla1[[#This Row],[PRECIO BOLSA]]</f>
        <v>500</v>
      </c>
      <c r="M62" s="533">
        <f>Tabla1[[#This Row],[PRODUCIDO CAJA]]</f>
        <v>67500</v>
      </c>
      <c r="N62" s="534">
        <f>Tabla1[[#This Row],[PRODUCIDO BOLSAS]]</f>
        <v>15500</v>
      </c>
      <c r="O62" s="533">
        <f>Tabla1[[#This Row],[TOTAL PRODUCIDO]]</f>
        <v>83000</v>
      </c>
      <c r="P62" s="534">
        <f>Tabla1[[#This Row],[Valor Pagado]]</f>
        <v>90000</v>
      </c>
      <c r="Q62" s="535">
        <f>Tabla1[[#This Row],[COEFICIENTE]]</f>
        <v>1</v>
      </c>
      <c r="R62" s="534">
        <f>Tabla1[[#This Row],[Precio Caja2]]</f>
        <v>1655.5555555555557</v>
      </c>
      <c r="S62" s="536">
        <f>Tabla1[[#This Row],[VALOR GANADO]]</f>
        <v>27666.666666666668</v>
      </c>
      <c r="T62" s="537">
        <f>Tabla1[[#This Row],[VALOR  A PAGAR]]</f>
        <v>30000</v>
      </c>
      <c r="U62" s="41">
        <f>Tabla1[[#This Row],[Columna1]]</f>
        <v>2333.3333333333321</v>
      </c>
    </row>
    <row r="63" spans="2:21" ht="15.75" x14ac:dyDescent="0.25">
      <c r="B63" s="29">
        <f>Tabla1[[#This Row],[FECHA]]</f>
        <v>44369</v>
      </c>
      <c r="C63" s="26">
        <f>_xlfn.ISOWEEKNUM('CAJAS ELABORADAS'!$C63)</f>
        <v>25</v>
      </c>
      <c r="D63" s="27" t="str">
        <f>Tabla1[[#This Row],[FINCA]]</f>
        <v>PEDRITO</v>
      </c>
      <c r="E63" s="531">
        <f>Tabla1[[#This Row],[Cajas Elaboradas]]</f>
        <v>158</v>
      </c>
      <c r="F63" s="26">
        <f>Tabla1[[#This Row],[Bolsas Elaboradas]]</f>
        <v>71</v>
      </c>
      <c r="G63" s="26">
        <f>Tabla1[[#This Row],[N° DE PERSONAS EN EL EMBARQUE]]</f>
        <v>17</v>
      </c>
      <c r="H63" s="532">
        <f>Tabla1[[#This Row],[Rasimos Cosechados]]</f>
        <v>0</v>
      </c>
      <c r="I63" s="532">
        <f>Tabla1[[#This Row],[Rasimos Prosesados]]</f>
        <v>0</v>
      </c>
      <c r="J63" s="532">
        <f>Tabla1[[#This Row],[Rasimos Rechasados]]</f>
        <v>0</v>
      </c>
      <c r="K63" s="533">
        <f>Tabla1[[#This Row],[PRECIO CAJA]]</f>
        <v>3000</v>
      </c>
      <c r="L63" s="534">
        <f>Tabla1[[#This Row],[PRECIO BOLSA]]</f>
        <v>500</v>
      </c>
      <c r="M63" s="533">
        <f>Tabla1[[#This Row],[PRODUCIDO CAJA]]</f>
        <v>474000</v>
      </c>
      <c r="N63" s="534">
        <f>Tabla1[[#This Row],[PRODUCIDO BOLSAS]]</f>
        <v>35500</v>
      </c>
      <c r="O63" s="533">
        <f>Tabla1[[#This Row],[TOTAL PRODUCIDO]]</f>
        <v>509500</v>
      </c>
      <c r="P63" s="534">
        <f>Tabla1[[#This Row],[Valor Pagado]]</f>
        <v>510000</v>
      </c>
      <c r="Q63" s="535">
        <f>Tabla1[[#This Row],[COEFICIENTE]]</f>
        <v>1</v>
      </c>
      <c r="R63" s="534">
        <f>Tabla1[[#This Row],[Precio Caja2]]</f>
        <v>3003.1645569620255</v>
      </c>
      <c r="S63" s="536">
        <f>Tabla1[[#This Row],[VALOR GANADO]]</f>
        <v>29970.588235294119</v>
      </c>
      <c r="T63" s="537">
        <f>Tabla1[[#This Row],[VALOR  A PAGAR]]</f>
        <v>30000</v>
      </c>
      <c r="U63" s="41">
        <f>Tabla1[[#This Row],[Columna1]]</f>
        <v>29.411764705881069</v>
      </c>
    </row>
    <row r="64" spans="2:21" ht="15.75" x14ac:dyDescent="0.25">
      <c r="B64" s="29">
        <f>Tabla1[[#This Row],[FECHA]]</f>
        <v>44376</v>
      </c>
      <c r="C64" s="26">
        <f>_xlfn.ISOWEEKNUM('CAJAS ELABORADAS'!$C64)</f>
        <v>26</v>
      </c>
      <c r="D64" s="27" t="str">
        <f>Tabla1[[#This Row],[FINCA]]</f>
        <v>SAN PEDRO</v>
      </c>
      <c r="E64" s="531">
        <f>Tabla1[[#This Row],[Cajas Elaboradas]]</f>
        <v>255</v>
      </c>
      <c r="F64" s="26">
        <f>Tabla1[[#This Row],[Bolsas Elaboradas]]</f>
        <v>61</v>
      </c>
      <c r="G64" s="26">
        <f>Tabla1[[#This Row],[N° DE PERSONAS EN EL EMBARQUE]]</f>
        <v>18</v>
      </c>
      <c r="H64" s="532">
        <f>Tabla1[[#This Row],[Rasimos Cosechados]]</f>
        <v>1552</v>
      </c>
      <c r="I64" s="532">
        <f>Tabla1[[#This Row],[Rasimos Prosesados]]</f>
        <v>1158</v>
      </c>
      <c r="J64" s="532">
        <f>Tabla1[[#This Row],[Rasimos Rechasados]]</f>
        <v>394</v>
      </c>
      <c r="K64" s="533">
        <f>Tabla1[[#This Row],[PRECIO CAJA]]</f>
        <v>1500</v>
      </c>
      <c r="L64" s="534">
        <f>Tabla1[[#This Row],[PRECIO BOLSA]]</f>
        <v>500</v>
      </c>
      <c r="M64" s="533">
        <f>Tabla1[[#This Row],[PRODUCIDO CAJA]]</f>
        <v>382500</v>
      </c>
      <c r="N64" s="534">
        <f>Tabla1[[#This Row],[PRODUCIDO BOLSAS]]</f>
        <v>30500</v>
      </c>
      <c r="O64" s="533">
        <f>Tabla1[[#This Row],[TOTAL PRODUCIDO]]</f>
        <v>413000</v>
      </c>
      <c r="P64" s="534">
        <f>Tabla1[[#This Row],[Valor Pagado]]</f>
        <v>540000</v>
      </c>
      <c r="Q64" s="535">
        <f>Tabla1[[#This Row],[COEFICIENTE]]</f>
        <v>1</v>
      </c>
      <c r="R64" s="534">
        <f>Tabla1[[#This Row],[Precio Caja2]]</f>
        <v>1998.0392156862745</v>
      </c>
      <c r="S64" s="536">
        <f>Tabla1[[#This Row],[VALOR GANADO]]</f>
        <v>22944.444444444445</v>
      </c>
      <c r="T64" s="537">
        <f>Tabla1[[#This Row],[VALOR  A PAGAR]]</f>
        <v>30000</v>
      </c>
      <c r="U64" s="41">
        <f>Tabla1[[#This Row],[Columna1]]</f>
        <v>7055.5555555555547</v>
      </c>
    </row>
    <row r="65" spans="2:21" ht="15.75" x14ac:dyDescent="0.25">
      <c r="B65" s="29">
        <f>Tabla1[[#This Row],[FECHA]]</f>
        <v>44377</v>
      </c>
      <c r="C65" s="26">
        <f>_xlfn.ISOWEEKNUM('CAJAS ELABORADAS'!$C65)</f>
        <v>26</v>
      </c>
      <c r="D65" s="27" t="str">
        <f>Tabla1[[#This Row],[FINCA]]</f>
        <v>SAN PEDRO</v>
      </c>
      <c r="E65" s="531">
        <f>Tabla1[[#This Row],[Cajas Elaboradas]]</f>
        <v>181</v>
      </c>
      <c r="F65" s="26">
        <f>Tabla1[[#This Row],[Bolsas Elaboradas]]</f>
        <v>39</v>
      </c>
      <c r="G65" s="26">
        <f>Tabla1[[#This Row],[N° DE PERSONAS EN EL EMBARQUE]]</f>
        <v>12</v>
      </c>
      <c r="H65" s="532">
        <f>Tabla1[[#This Row],[Rasimos Cosechados]]</f>
        <v>0</v>
      </c>
      <c r="I65" s="532">
        <f>Tabla1[[#This Row],[Rasimos Prosesados]]</f>
        <v>0</v>
      </c>
      <c r="J65" s="532">
        <f>Tabla1[[#This Row],[Rasimos Rechasados]]</f>
        <v>0</v>
      </c>
      <c r="K65" s="533">
        <f>Tabla1[[#This Row],[PRECIO CAJA]]</f>
        <v>1500</v>
      </c>
      <c r="L65" s="534">
        <f>Tabla1[[#This Row],[PRECIO BOLSA]]</f>
        <v>500</v>
      </c>
      <c r="M65" s="533">
        <f>Tabla1[[#This Row],[PRODUCIDO CAJA]]</f>
        <v>271500</v>
      </c>
      <c r="N65" s="534">
        <f>Tabla1[[#This Row],[PRODUCIDO BOLSAS]]</f>
        <v>19500</v>
      </c>
      <c r="O65" s="533">
        <f>Tabla1[[#This Row],[TOTAL PRODUCIDO]]</f>
        <v>291000</v>
      </c>
      <c r="P65" s="534">
        <f>Tabla1[[#This Row],[Valor Pagado]]</f>
        <v>360000</v>
      </c>
      <c r="Q65" s="535">
        <f>Tabla1[[#This Row],[COEFICIENTE]]</f>
        <v>1</v>
      </c>
      <c r="R65" s="534">
        <f>Tabla1[[#This Row],[Precio Caja2]]</f>
        <v>1881.2154696132598</v>
      </c>
      <c r="S65" s="536">
        <f>Tabla1[[#This Row],[VALOR GANADO]]</f>
        <v>24250</v>
      </c>
      <c r="T65" s="537">
        <f>Tabla1[[#This Row],[VALOR  A PAGAR]]</f>
        <v>30000</v>
      </c>
      <c r="U65" s="41">
        <f>Tabla1[[#This Row],[Columna1]]</f>
        <v>5750</v>
      </c>
    </row>
    <row r="66" spans="2:21" ht="15.75" x14ac:dyDescent="0.25">
      <c r="B66" s="29">
        <f>Tabla1[[#This Row],[FECHA]]</f>
        <v>44376</v>
      </c>
      <c r="C66" s="26">
        <f>_xlfn.ISOWEEKNUM('CAJAS ELABORADAS'!$C66)</f>
        <v>26</v>
      </c>
      <c r="D66" s="27" t="str">
        <f>Tabla1[[#This Row],[FINCA]]</f>
        <v>DAMAQUIEL</v>
      </c>
      <c r="E66" s="531">
        <f>Tabla1[[#This Row],[Cajas Elaboradas]]</f>
        <v>121</v>
      </c>
      <c r="F66" s="26">
        <f>Tabla1[[#This Row],[Bolsas Elaboradas]]</f>
        <v>68</v>
      </c>
      <c r="G66" s="26">
        <f>Tabla1[[#This Row],[N° DE PERSONAS EN EL EMBARQUE]]</f>
        <v>10</v>
      </c>
      <c r="H66" s="532">
        <f>Tabla1[[#This Row],[Rasimos Cosechados]]</f>
        <v>0</v>
      </c>
      <c r="I66" s="532">
        <f>Tabla1[[#This Row],[Rasimos Prosesados]]</f>
        <v>0</v>
      </c>
      <c r="J66" s="532">
        <f>Tabla1[[#This Row],[Rasimos Rechasados]]</f>
        <v>0</v>
      </c>
      <c r="K66" s="533">
        <f>Tabla1[[#This Row],[PRECIO CAJA]]</f>
        <v>1500</v>
      </c>
      <c r="L66" s="534">
        <f>Tabla1[[#This Row],[PRECIO BOLSA]]</f>
        <v>500</v>
      </c>
      <c r="M66" s="533">
        <f>Tabla1[[#This Row],[PRODUCIDO CAJA]]</f>
        <v>181500</v>
      </c>
      <c r="N66" s="534">
        <f>Tabla1[[#This Row],[PRODUCIDO BOLSAS]]</f>
        <v>34000</v>
      </c>
      <c r="O66" s="533">
        <f>Tabla1[[#This Row],[TOTAL PRODUCIDO]]</f>
        <v>215500</v>
      </c>
      <c r="P66" s="534">
        <f>Tabla1[[#This Row],[Valor Pagado]]</f>
        <v>300000</v>
      </c>
      <c r="Q66" s="535">
        <f>Tabla1[[#This Row],[COEFICIENTE]]</f>
        <v>1</v>
      </c>
      <c r="R66" s="534">
        <f>Tabla1[[#This Row],[Precio Caja2]]</f>
        <v>2198.3471074380163</v>
      </c>
      <c r="S66" s="536">
        <f>Tabla1[[#This Row],[VALOR GANADO]]</f>
        <v>21550</v>
      </c>
      <c r="T66" s="537">
        <f>Tabla1[[#This Row],[VALOR  A PAGAR]]</f>
        <v>30000</v>
      </c>
      <c r="U66" s="41">
        <f>Tabla1[[#This Row],[Columna1]]</f>
        <v>8450</v>
      </c>
    </row>
    <row r="67" spans="2:21" ht="15.75" x14ac:dyDescent="0.25">
      <c r="B67" s="29">
        <f>Tabla1[[#This Row],[FECHA]]</f>
        <v>44377</v>
      </c>
      <c r="C67" s="26">
        <f>_xlfn.ISOWEEKNUM('CAJAS ELABORADAS'!$C67)</f>
        <v>26</v>
      </c>
      <c r="D67" s="27" t="str">
        <f>Tabla1[[#This Row],[FINCA]]</f>
        <v>PEDRITO</v>
      </c>
      <c r="E67" s="531">
        <f>Tabla1[[#This Row],[Cajas Elaboradas]]</f>
        <v>156</v>
      </c>
      <c r="F67" s="26">
        <f>Tabla1[[#This Row],[Bolsas Elaboradas]]</f>
        <v>26</v>
      </c>
      <c r="G67" s="26">
        <f>Tabla1[[#This Row],[N° DE PERSONAS EN EL EMBARQUE]]</f>
        <v>0</v>
      </c>
      <c r="H67" s="532">
        <f>Tabla1[[#This Row],[Rasimos Cosechados]]</f>
        <v>550</v>
      </c>
      <c r="I67" s="532">
        <f>Tabla1[[#This Row],[Rasimos Prosesados]]</f>
        <v>550</v>
      </c>
      <c r="J67" s="532">
        <f>Tabla1[[#This Row],[Rasimos Rechasados]]</f>
        <v>0</v>
      </c>
      <c r="K67" s="533">
        <f>Tabla1[[#This Row],[PRECIO CAJA]]</f>
        <v>3000</v>
      </c>
      <c r="L67" s="534">
        <f>Tabla1[[#This Row],[PRECIO BOLSA]]</f>
        <v>500</v>
      </c>
      <c r="M67" s="533">
        <f>Tabla1[[#This Row],[PRODUCIDO CAJA]]</f>
        <v>468000</v>
      </c>
      <c r="N67" s="534">
        <f>Tabla1[[#This Row],[PRODUCIDO BOLSAS]]</f>
        <v>13000</v>
      </c>
      <c r="O67" s="533">
        <f>Tabla1[[#This Row],[TOTAL PRODUCIDO]]</f>
        <v>481000</v>
      </c>
      <c r="P67" s="534">
        <f>Tabla1[[#This Row],[Valor Pagado]]</f>
        <v>0</v>
      </c>
      <c r="Q67" s="535">
        <f>Tabla1[[#This Row],[COEFICIENTE]]</f>
        <v>1</v>
      </c>
      <c r="R67" s="534">
        <f>Tabla1[[#This Row],[Precio Caja2]]</f>
        <v>-83.333333333333329</v>
      </c>
      <c r="S67" s="536">
        <f>Tabla1[[#This Row],[VALOR GANADO]]</f>
        <v>0</v>
      </c>
      <c r="T67" s="537">
        <f>Tabla1[[#This Row],[VALOR  A PAGAR]]</f>
        <v>30000</v>
      </c>
      <c r="U67" s="41">
        <f>Tabla1[[#This Row],[Columna1]]</f>
        <v>30000</v>
      </c>
    </row>
    <row r="68" spans="2:21" ht="15.75" x14ac:dyDescent="0.25">
      <c r="B68" s="29">
        <f>Tabla1[[#This Row],[FECHA]]</f>
        <v>44377</v>
      </c>
      <c r="C68" s="26">
        <f>_xlfn.ISOWEEKNUM('CAJAS ELABORADAS'!$C68)</f>
        <v>26</v>
      </c>
      <c r="D68" s="27" t="str">
        <f>Tabla1[[#This Row],[FINCA]]</f>
        <v>UVEROS</v>
      </c>
      <c r="E68" s="531">
        <f>Tabla1[[#This Row],[Cajas Elaboradas]]</f>
        <v>113</v>
      </c>
      <c r="F68" s="26">
        <f>Tabla1[[#This Row],[Bolsas Elaboradas]]</f>
        <v>22</v>
      </c>
      <c r="G68" s="26">
        <f>Tabla1[[#This Row],[N° DE PERSONAS EN EL EMBARQUE]]</f>
        <v>6</v>
      </c>
      <c r="H68" s="532">
        <f>Tabla1[[#This Row],[Rasimos Cosechados]]</f>
        <v>0</v>
      </c>
      <c r="I68" s="532">
        <f>Tabla1[[#This Row],[Rasimos Prosesados]]</f>
        <v>0</v>
      </c>
      <c r="J68" s="532">
        <f>Tabla1[[#This Row],[Rasimos Rechasados]]</f>
        <v>0</v>
      </c>
      <c r="K68" s="533">
        <f>Tabla1[[#This Row],[PRECIO CAJA]]</f>
        <v>1500</v>
      </c>
      <c r="L68" s="534">
        <f>Tabla1[[#This Row],[PRECIO BOLSA]]</f>
        <v>500</v>
      </c>
      <c r="M68" s="533">
        <f>Tabla1[[#This Row],[PRODUCIDO CAJA]]</f>
        <v>169500</v>
      </c>
      <c r="N68" s="534">
        <f>Tabla1[[#This Row],[PRODUCIDO BOLSAS]]</f>
        <v>11000</v>
      </c>
      <c r="O68" s="533">
        <f>Tabla1[[#This Row],[TOTAL PRODUCIDO]]</f>
        <v>180500</v>
      </c>
      <c r="P68" s="534">
        <f>Tabla1[[#This Row],[Valor Pagado]]</f>
        <v>180500</v>
      </c>
      <c r="Q68" s="535">
        <f>Tabla1[[#This Row],[COEFICIENTE]]</f>
        <v>1.0027777777777778</v>
      </c>
      <c r="R68" s="534">
        <f>Tabla1[[#This Row],[Precio Caja2]]</f>
        <v>1500</v>
      </c>
      <c r="S68" s="536">
        <f>Tabla1[[#This Row],[VALOR GANADO]]</f>
        <v>30083.333333333332</v>
      </c>
      <c r="T68" s="537">
        <f>Tabla1[[#This Row],[VALOR  A PAGAR]]</f>
        <v>30083.333333333332</v>
      </c>
      <c r="U68" s="41">
        <f>Tabla1[[#This Row],[Columna1]]</f>
        <v>0</v>
      </c>
    </row>
    <row r="69" spans="2:21" ht="15.75" x14ac:dyDescent="0.25">
      <c r="B69" s="29">
        <f>Tabla1[[#This Row],[FECHA]]</f>
        <v>44384</v>
      </c>
      <c r="C69" s="26">
        <f>_xlfn.ISOWEEKNUM('CAJAS ELABORADAS'!$C69)</f>
        <v>27</v>
      </c>
      <c r="D69" s="27" t="str">
        <f>Tabla1[[#This Row],[FINCA]]</f>
        <v>DAMAQUIEL</v>
      </c>
      <c r="E69" s="531">
        <f>Tabla1[[#This Row],[Cajas Elaboradas]]</f>
        <v>100</v>
      </c>
      <c r="F69" s="26">
        <f>Tabla1[[#This Row],[Bolsas Elaboradas]]</f>
        <v>39</v>
      </c>
      <c r="G69" s="26">
        <f>Tabla1[[#This Row],[N° DE PERSONAS EN EL EMBARQUE]]</f>
        <v>9</v>
      </c>
      <c r="H69" s="532">
        <f>Tabla1[[#This Row],[Rasimos Cosechados]]</f>
        <v>0</v>
      </c>
      <c r="I69" s="532">
        <f>Tabla1[[#This Row],[Rasimos Prosesados]]</f>
        <v>0</v>
      </c>
      <c r="J69" s="532">
        <f>Tabla1[[#This Row],[Rasimos Rechasados]]</f>
        <v>0</v>
      </c>
      <c r="K69" s="533">
        <f>Tabla1[[#This Row],[PRECIO CAJA]]</f>
        <v>1500</v>
      </c>
      <c r="L69" s="534">
        <f>Tabla1[[#This Row],[PRECIO BOLSA]]</f>
        <v>500</v>
      </c>
      <c r="M69" s="533">
        <f>Tabla1[[#This Row],[PRODUCIDO CAJA]]</f>
        <v>150000</v>
      </c>
      <c r="N69" s="534">
        <f>Tabla1[[#This Row],[PRODUCIDO BOLSAS]]</f>
        <v>19500</v>
      </c>
      <c r="O69" s="533">
        <f>Tabla1[[#This Row],[TOTAL PRODUCIDO]]</f>
        <v>169500</v>
      </c>
      <c r="P69" s="534">
        <f>Tabla1[[#This Row],[Valor Pagado]]</f>
        <v>270000</v>
      </c>
      <c r="Q69" s="535">
        <f>Tabla1[[#This Row],[COEFICIENTE]]</f>
        <v>1</v>
      </c>
      <c r="R69" s="534">
        <f>Tabla1[[#This Row],[Precio Caja2]]</f>
        <v>2505</v>
      </c>
      <c r="S69" s="536">
        <f>Tabla1[[#This Row],[VALOR GANADO]]</f>
        <v>18833.333333333332</v>
      </c>
      <c r="T69" s="537">
        <f>Tabla1[[#This Row],[VALOR  A PAGAR]]</f>
        <v>30000</v>
      </c>
      <c r="U69" s="41">
        <f>Tabla1[[#This Row],[Columna1]]</f>
        <v>11166.666666666668</v>
      </c>
    </row>
    <row r="70" spans="2:21" ht="15.75" x14ac:dyDescent="0.25">
      <c r="B70" s="29">
        <f>Tabla1[[#This Row],[FECHA]]</f>
        <v>44383</v>
      </c>
      <c r="C70" s="26">
        <f>_xlfn.ISOWEEKNUM('CAJAS ELABORADAS'!$C70)</f>
        <v>27</v>
      </c>
      <c r="D70" s="27" t="str">
        <f>Tabla1[[#This Row],[FINCA]]</f>
        <v>PEDRITO</v>
      </c>
      <c r="E70" s="531">
        <f>Tabla1[[#This Row],[Cajas Elaboradas]]</f>
        <v>328</v>
      </c>
      <c r="F70" s="26">
        <f>Tabla1[[#This Row],[Bolsas Elaboradas]]</f>
        <v>117</v>
      </c>
      <c r="G70" s="26">
        <f>Tabla1[[#This Row],[N° DE PERSONAS EN EL EMBARQUE]]</f>
        <v>26</v>
      </c>
      <c r="H70" s="532">
        <f>Tabla1[[#This Row],[Rasimos Cosechados]]</f>
        <v>0</v>
      </c>
      <c r="I70" s="532">
        <f>Tabla1[[#This Row],[Rasimos Prosesados]]</f>
        <v>0</v>
      </c>
      <c r="J70" s="532">
        <f>Tabla1[[#This Row],[Rasimos Rechasados]]</f>
        <v>0</v>
      </c>
      <c r="K70" s="533">
        <f>Tabla1[[#This Row],[PRECIO CAJA]]</f>
        <v>3000</v>
      </c>
      <c r="L70" s="534">
        <f>Tabla1[[#This Row],[PRECIO BOLSA]]</f>
        <v>500</v>
      </c>
      <c r="M70" s="533">
        <f>Tabla1[[#This Row],[PRODUCIDO CAJA]]</f>
        <v>984000</v>
      </c>
      <c r="N70" s="534">
        <f>Tabla1[[#This Row],[PRODUCIDO BOLSAS]]</f>
        <v>58500</v>
      </c>
      <c r="O70" s="533">
        <f>Tabla1[[#This Row],[TOTAL PRODUCIDO]]</f>
        <v>1042500</v>
      </c>
      <c r="P70" s="534">
        <f>Tabla1[[#This Row],[Valor Pagado]]</f>
        <v>1042500</v>
      </c>
      <c r="Q70" s="535">
        <f>Tabla1[[#This Row],[COEFICIENTE]]</f>
        <v>1.3365384615384615</v>
      </c>
      <c r="R70" s="534">
        <f>Tabla1[[#This Row],[Precio Caja2]]</f>
        <v>3000</v>
      </c>
      <c r="S70" s="536">
        <f>Tabla1[[#This Row],[VALOR GANADO]]</f>
        <v>40096.153846153844</v>
      </c>
      <c r="T70" s="537">
        <f>Tabla1[[#This Row],[VALOR  A PAGAR]]</f>
        <v>40096.153846153844</v>
      </c>
      <c r="U70" s="41">
        <f>Tabla1[[#This Row],[Columna1]]</f>
        <v>0</v>
      </c>
    </row>
    <row r="71" spans="2:21" ht="15.75" x14ac:dyDescent="0.25">
      <c r="B71" s="29">
        <f>Tabla1[[#This Row],[FECHA]]</f>
        <v>44383</v>
      </c>
      <c r="C71" s="26">
        <f>_xlfn.ISOWEEKNUM('CAJAS ELABORADAS'!$C71)</f>
        <v>27</v>
      </c>
      <c r="D71" s="27" t="str">
        <f>Tabla1[[#This Row],[FINCA]]</f>
        <v>SAN PEDRO</v>
      </c>
      <c r="E71" s="531">
        <f>Tabla1[[#This Row],[Cajas Elaboradas]]</f>
        <v>31</v>
      </c>
      <c r="F71" s="26">
        <f>Tabla1[[#This Row],[Bolsas Elaboradas]]</f>
        <v>13</v>
      </c>
      <c r="G71" s="26">
        <f>Tabla1[[#This Row],[N° DE PERSONAS EN EL EMBARQUE]]</f>
        <v>8</v>
      </c>
      <c r="H71" s="532">
        <f>Tabla1[[#This Row],[Rasimos Cosechados]]</f>
        <v>0</v>
      </c>
      <c r="I71" s="532">
        <f>Tabla1[[#This Row],[Rasimos Prosesados]]</f>
        <v>0</v>
      </c>
      <c r="J71" s="532">
        <f>Tabla1[[#This Row],[Rasimos Rechasados]]</f>
        <v>0</v>
      </c>
      <c r="K71" s="533">
        <f>Tabla1[[#This Row],[PRECIO CAJA]]</f>
        <v>1500</v>
      </c>
      <c r="L71" s="534">
        <f>Tabla1[[#This Row],[PRECIO BOLSA]]</f>
        <v>500</v>
      </c>
      <c r="M71" s="533">
        <f>Tabla1[[#This Row],[PRODUCIDO CAJA]]</f>
        <v>46500</v>
      </c>
      <c r="N71" s="534">
        <f>Tabla1[[#This Row],[PRODUCIDO BOLSAS]]</f>
        <v>6500</v>
      </c>
      <c r="O71" s="533">
        <f>Tabla1[[#This Row],[TOTAL PRODUCIDO]]</f>
        <v>53000</v>
      </c>
      <c r="P71" s="534">
        <f>Tabla1[[#This Row],[Valor Pagado]]</f>
        <v>240000</v>
      </c>
      <c r="Q71" s="535">
        <f>Tabla1[[#This Row],[COEFICIENTE]]</f>
        <v>1</v>
      </c>
      <c r="R71" s="534">
        <f>Tabla1[[#This Row],[Precio Caja2]]</f>
        <v>7532.2580645161288</v>
      </c>
      <c r="S71" s="536">
        <f>Tabla1[[#This Row],[VALOR GANADO]]</f>
        <v>6625</v>
      </c>
      <c r="T71" s="537">
        <f>Tabla1[[#This Row],[VALOR  A PAGAR]]</f>
        <v>30000</v>
      </c>
      <c r="U71" s="41">
        <f>Tabla1[[#This Row],[Columna1]]</f>
        <v>23375</v>
      </c>
    </row>
    <row r="72" spans="2:21" ht="15.75" x14ac:dyDescent="0.25">
      <c r="B72" s="29">
        <f>Tabla1[[#This Row],[FECHA]]</f>
        <v>44390</v>
      </c>
      <c r="C72" s="26">
        <f>_xlfn.ISOWEEKNUM('CAJAS ELABORADAS'!$C72)</f>
        <v>28</v>
      </c>
      <c r="D72" s="27" t="str">
        <f>Tabla1[[#This Row],[FINCA]]</f>
        <v>SAN PEDRO</v>
      </c>
      <c r="E72" s="531">
        <f>Tabla1[[#This Row],[Cajas Elaboradas]]</f>
        <v>136</v>
      </c>
      <c r="F72" s="26">
        <f>Tabla1[[#This Row],[Bolsas Elaboradas]]</f>
        <v>29</v>
      </c>
      <c r="G72" s="26">
        <f>Tabla1[[#This Row],[N° DE PERSONAS EN EL EMBARQUE]]</f>
        <v>7</v>
      </c>
      <c r="H72" s="532">
        <f>Tabla1[[#This Row],[Rasimos Cosechados]]</f>
        <v>0</v>
      </c>
      <c r="I72" s="532">
        <f>Tabla1[[#This Row],[Rasimos Prosesados]]</f>
        <v>0</v>
      </c>
      <c r="J72" s="532">
        <f>Tabla1[[#This Row],[Rasimos Rechasados]]</f>
        <v>0</v>
      </c>
      <c r="K72" s="533">
        <f>Tabla1[[#This Row],[PRECIO CAJA]]</f>
        <v>1500</v>
      </c>
      <c r="L72" s="534">
        <f>Tabla1[[#This Row],[PRECIO BOLSA]]</f>
        <v>500</v>
      </c>
      <c r="M72" s="533">
        <f>Tabla1[[#This Row],[PRODUCIDO CAJA]]</f>
        <v>204000</v>
      </c>
      <c r="N72" s="534">
        <f>Tabla1[[#This Row],[PRODUCIDO BOLSAS]]</f>
        <v>14500</v>
      </c>
      <c r="O72" s="533">
        <f>Tabla1[[#This Row],[TOTAL PRODUCIDO]]</f>
        <v>218500</v>
      </c>
      <c r="P72" s="534">
        <f>Tabla1[[#This Row],[Valor Pagado]]</f>
        <v>218500</v>
      </c>
      <c r="Q72" s="535">
        <f>Tabla1[[#This Row],[COEFICIENTE]]</f>
        <v>1.0404761904761906</v>
      </c>
      <c r="R72" s="534">
        <f>Tabla1[[#This Row],[Precio Caja2]]</f>
        <v>1500</v>
      </c>
      <c r="S72" s="536">
        <f>Tabla1[[#This Row],[VALOR GANADO]]</f>
        <v>31214.285714285714</v>
      </c>
      <c r="T72" s="537">
        <f>Tabla1[[#This Row],[VALOR  A PAGAR]]</f>
        <v>31214.285714285714</v>
      </c>
      <c r="U72" s="41">
        <f>Tabla1[[#This Row],[Columna1]]</f>
        <v>0</v>
      </c>
    </row>
    <row r="73" spans="2:21" ht="15.75" x14ac:dyDescent="0.25">
      <c r="B73" s="29">
        <f>Tabla1[[#This Row],[FECHA]]</f>
        <v>44391</v>
      </c>
      <c r="C73" s="26">
        <f>_xlfn.ISOWEEKNUM('CAJAS ELABORADAS'!$C73)</f>
        <v>28</v>
      </c>
      <c r="D73" s="27" t="str">
        <f>Tabla1[[#This Row],[FINCA]]</f>
        <v>SAN PEDRO</v>
      </c>
      <c r="E73" s="531">
        <f>Tabla1[[#This Row],[Cajas Elaboradas]]</f>
        <v>258</v>
      </c>
      <c r="F73" s="26">
        <f>Tabla1[[#This Row],[Bolsas Elaboradas]]</f>
        <v>45</v>
      </c>
      <c r="G73" s="26">
        <f>Tabla1[[#This Row],[N° DE PERSONAS EN EL EMBARQUE]]</f>
        <v>14</v>
      </c>
      <c r="H73" s="532">
        <f>Tabla1[[#This Row],[Rasimos Cosechados]]</f>
        <v>1365</v>
      </c>
      <c r="I73" s="532">
        <f>Tabla1[[#This Row],[Rasimos Prosesados]]</f>
        <v>1287</v>
      </c>
      <c r="J73" s="532">
        <f>Tabla1[[#This Row],[Rasimos Rechasados]]</f>
        <v>78</v>
      </c>
      <c r="K73" s="533">
        <f>Tabla1[[#This Row],[PRECIO CAJA]]</f>
        <v>1500</v>
      </c>
      <c r="L73" s="534">
        <f>Tabla1[[#This Row],[PRECIO BOLSA]]</f>
        <v>500</v>
      </c>
      <c r="M73" s="533">
        <f>Tabla1[[#This Row],[PRODUCIDO CAJA]]</f>
        <v>387000</v>
      </c>
      <c r="N73" s="534">
        <f>Tabla1[[#This Row],[PRODUCIDO BOLSAS]]</f>
        <v>22500</v>
      </c>
      <c r="O73" s="533">
        <f>Tabla1[[#This Row],[TOTAL PRODUCIDO]]</f>
        <v>409500</v>
      </c>
      <c r="P73" s="534">
        <f>Tabla1[[#This Row],[Valor Pagado]]</f>
        <v>420000</v>
      </c>
      <c r="Q73" s="535">
        <f>Tabla1[[#This Row],[COEFICIENTE]]</f>
        <v>1</v>
      </c>
      <c r="R73" s="534">
        <f>Tabla1[[#This Row],[Precio Caja2]]</f>
        <v>1540.6976744186047</v>
      </c>
      <c r="S73" s="536">
        <f>Tabla1[[#This Row],[VALOR GANADO]]</f>
        <v>29250</v>
      </c>
      <c r="T73" s="537">
        <f>Tabla1[[#This Row],[VALOR  A PAGAR]]</f>
        <v>30000</v>
      </c>
      <c r="U73" s="41">
        <f>Tabla1[[#This Row],[Columna1]]</f>
        <v>750</v>
      </c>
    </row>
    <row r="74" spans="2:21" ht="15.75" x14ac:dyDescent="0.25">
      <c r="B74" s="29">
        <f>Tabla1[[#This Row],[FECHA]]</f>
        <v>44390</v>
      </c>
      <c r="C74" s="26">
        <f>_xlfn.ISOWEEKNUM('CAJAS ELABORADAS'!$C74)</f>
        <v>28</v>
      </c>
      <c r="D74" s="27" t="str">
        <f>Tabla1[[#This Row],[FINCA]]</f>
        <v>PEDRITO</v>
      </c>
      <c r="E74" s="531">
        <f>Tabla1[[#This Row],[Cajas Elaboradas]]</f>
        <v>71</v>
      </c>
      <c r="F74" s="26">
        <f>Tabla1[[#This Row],[Bolsas Elaboradas]]</f>
        <v>61</v>
      </c>
      <c r="G74" s="26">
        <f>Tabla1[[#This Row],[N° DE PERSONAS EN EL EMBARQUE]]</f>
        <v>12</v>
      </c>
      <c r="H74" s="532">
        <f>Tabla1[[#This Row],[Rasimos Cosechados]]</f>
        <v>0</v>
      </c>
      <c r="I74" s="532">
        <f>Tabla1[[#This Row],[Rasimos Prosesados]]</f>
        <v>0</v>
      </c>
      <c r="J74" s="532">
        <f>Tabla1[[#This Row],[Rasimos Rechasados]]</f>
        <v>0</v>
      </c>
      <c r="K74" s="533">
        <f>Tabla1[[#This Row],[PRECIO CAJA]]</f>
        <v>3000</v>
      </c>
      <c r="L74" s="534">
        <f>Tabla1[[#This Row],[PRECIO BOLSA]]</f>
        <v>500</v>
      </c>
      <c r="M74" s="533">
        <f>Tabla1[[#This Row],[PRODUCIDO CAJA]]</f>
        <v>213000</v>
      </c>
      <c r="N74" s="534">
        <f>Tabla1[[#This Row],[PRODUCIDO BOLSAS]]</f>
        <v>30500</v>
      </c>
      <c r="O74" s="533">
        <f>Tabla1[[#This Row],[TOTAL PRODUCIDO]]</f>
        <v>243500</v>
      </c>
      <c r="P74" s="534">
        <f>Tabla1[[#This Row],[Valor Pagado]]</f>
        <v>360000</v>
      </c>
      <c r="Q74" s="535">
        <f>Tabla1[[#This Row],[COEFICIENTE]]</f>
        <v>1</v>
      </c>
      <c r="R74" s="534">
        <f>Tabla1[[#This Row],[Precio Caja2]]</f>
        <v>4640.8450704225352</v>
      </c>
      <c r="S74" s="536">
        <f>Tabla1[[#This Row],[VALOR GANADO]]</f>
        <v>20291.666666666668</v>
      </c>
      <c r="T74" s="537">
        <f>Tabla1[[#This Row],[VALOR  A PAGAR]]</f>
        <v>30000</v>
      </c>
      <c r="U74" s="41">
        <f>Tabla1[[#This Row],[Columna1]]</f>
        <v>9708.3333333333321</v>
      </c>
    </row>
    <row r="75" spans="2:21" ht="15.75" x14ac:dyDescent="0.25">
      <c r="B75" s="29">
        <f>Tabla1[[#This Row],[FECHA]]</f>
        <v>44391</v>
      </c>
      <c r="C75" s="26">
        <f>_xlfn.ISOWEEKNUM('CAJAS ELABORADAS'!$C75)</f>
        <v>28</v>
      </c>
      <c r="D75" s="27" t="str">
        <f>Tabla1[[#This Row],[FINCA]]</f>
        <v>UVEROS</v>
      </c>
      <c r="E75" s="531">
        <f>Tabla1[[#This Row],[Cajas Elaboradas]]</f>
        <v>100</v>
      </c>
      <c r="F75" s="26">
        <f>Tabla1[[#This Row],[Bolsas Elaboradas]]</f>
        <v>13</v>
      </c>
      <c r="G75" s="26">
        <f>Tabla1[[#This Row],[N° DE PERSONAS EN EL EMBARQUE]]</f>
        <v>7</v>
      </c>
      <c r="H75" s="532">
        <f>Tabla1[[#This Row],[Rasimos Cosechados]]</f>
        <v>0</v>
      </c>
      <c r="I75" s="532">
        <f>Tabla1[[#This Row],[Rasimos Prosesados]]</f>
        <v>0</v>
      </c>
      <c r="J75" s="532">
        <f>Tabla1[[#This Row],[Rasimos Rechasados]]</f>
        <v>0</v>
      </c>
      <c r="K75" s="533">
        <f>Tabla1[[#This Row],[PRECIO CAJA]]</f>
        <v>1500</v>
      </c>
      <c r="L75" s="534">
        <f>Tabla1[[#This Row],[PRECIO BOLSA]]</f>
        <v>500</v>
      </c>
      <c r="M75" s="533">
        <f>Tabla1[[#This Row],[PRODUCIDO CAJA]]</f>
        <v>150000</v>
      </c>
      <c r="N75" s="534">
        <f>Tabla1[[#This Row],[PRODUCIDO BOLSAS]]</f>
        <v>6500</v>
      </c>
      <c r="O75" s="533">
        <f>Tabla1[[#This Row],[TOTAL PRODUCIDO]]</f>
        <v>156500</v>
      </c>
      <c r="P75" s="534">
        <f>Tabla1[[#This Row],[Valor Pagado]]</f>
        <v>210000</v>
      </c>
      <c r="Q75" s="535">
        <f>Tabla1[[#This Row],[COEFICIENTE]]</f>
        <v>1</v>
      </c>
      <c r="R75" s="534">
        <f>Tabla1[[#This Row],[Precio Caja2]]</f>
        <v>2035</v>
      </c>
      <c r="S75" s="536">
        <f>Tabla1[[#This Row],[VALOR GANADO]]</f>
        <v>22357.142857142859</v>
      </c>
      <c r="T75" s="537">
        <f>Tabla1[[#This Row],[VALOR  A PAGAR]]</f>
        <v>30000</v>
      </c>
      <c r="U75" s="41">
        <f>Tabla1[[#This Row],[Columna1]]</f>
        <v>7642.8571428571413</v>
      </c>
    </row>
    <row r="76" spans="2:21" ht="15.75" x14ac:dyDescent="0.25">
      <c r="B76" s="29">
        <f>Tabla1[[#This Row],[FECHA]]</f>
        <v>44390</v>
      </c>
      <c r="C76" s="26">
        <f>_xlfn.ISOWEEKNUM('CAJAS ELABORADAS'!$C76)</f>
        <v>28</v>
      </c>
      <c r="D76" s="27" t="str">
        <f>Tabla1[[#This Row],[FINCA]]</f>
        <v>DAMAQUIEL</v>
      </c>
      <c r="E76" s="531">
        <f>Tabla1[[#This Row],[Cajas Elaboradas]]</f>
        <v>115</v>
      </c>
      <c r="F76" s="26">
        <f>Tabla1[[#This Row],[Bolsas Elaboradas]]</f>
        <v>45</v>
      </c>
      <c r="G76" s="26">
        <f>Tabla1[[#This Row],[N° DE PERSONAS EN EL EMBARQUE]]</f>
        <v>8</v>
      </c>
      <c r="H76" s="532">
        <f>Tabla1[[#This Row],[Rasimos Cosechados]]</f>
        <v>0</v>
      </c>
      <c r="I76" s="532">
        <f>Tabla1[[#This Row],[Rasimos Prosesados]]</f>
        <v>0</v>
      </c>
      <c r="J76" s="532">
        <f>Tabla1[[#This Row],[Rasimos Rechasados]]</f>
        <v>0</v>
      </c>
      <c r="K76" s="533">
        <f>Tabla1[[#This Row],[PRECIO CAJA]]</f>
        <v>1500</v>
      </c>
      <c r="L76" s="534">
        <f>Tabla1[[#This Row],[PRECIO BOLSA]]</f>
        <v>500</v>
      </c>
      <c r="M76" s="533">
        <f>Tabla1[[#This Row],[PRODUCIDO CAJA]]</f>
        <v>172500</v>
      </c>
      <c r="N76" s="534">
        <f>Tabla1[[#This Row],[PRODUCIDO BOLSAS]]</f>
        <v>22500</v>
      </c>
      <c r="O76" s="533">
        <f>Tabla1[[#This Row],[TOTAL PRODUCIDO]]</f>
        <v>195000</v>
      </c>
      <c r="P76" s="534">
        <f>Tabla1[[#This Row],[Valor Pagado]]</f>
        <v>240000</v>
      </c>
      <c r="Q76" s="535">
        <f>Tabla1[[#This Row],[COEFICIENTE]]</f>
        <v>1</v>
      </c>
      <c r="R76" s="534">
        <f>Tabla1[[#This Row],[Precio Caja2]]</f>
        <v>1891.304347826087</v>
      </c>
      <c r="S76" s="536">
        <f>Tabla1[[#This Row],[VALOR GANADO]]</f>
        <v>24375</v>
      </c>
      <c r="T76" s="537">
        <f>Tabla1[[#This Row],[VALOR  A PAGAR]]</f>
        <v>30000</v>
      </c>
      <c r="U76" s="41">
        <f>Tabla1[[#This Row],[Columna1]]</f>
        <v>5625</v>
      </c>
    </row>
    <row r="77" spans="2:21" ht="15.75" x14ac:dyDescent="0.25">
      <c r="B77" s="29">
        <f>Tabla1[[#This Row],[FECHA]]</f>
        <v>44396</v>
      </c>
      <c r="C77" s="26">
        <f>_xlfn.ISOWEEKNUM('CAJAS ELABORADAS'!$C77)</f>
        <v>29</v>
      </c>
      <c r="D77" s="27" t="str">
        <f>Tabla1[[#This Row],[FINCA]]</f>
        <v>SAN PEDRO</v>
      </c>
      <c r="E77" s="531">
        <f>Tabla1[[#This Row],[Cajas Elaboradas]]</f>
        <v>331</v>
      </c>
      <c r="F77" s="26">
        <f>Tabla1[[#This Row],[Bolsas Elaboradas]]</f>
        <v>54.042000000000002</v>
      </c>
      <c r="G77" s="26">
        <f>Tabla1[[#This Row],[N° DE PERSONAS EN EL EMBARQUE]]</f>
        <v>17</v>
      </c>
      <c r="H77" s="532">
        <f>Tabla1[[#This Row],[Rasimos Cosechados]]</f>
        <v>0</v>
      </c>
      <c r="I77" s="532">
        <f>Tabla1[[#This Row],[Rasimos Prosesados]]</f>
        <v>0</v>
      </c>
      <c r="J77" s="532">
        <f>Tabla1[[#This Row],[Rasimos Rechasados]]</f>
        <v>0</v>
      </c>
      <c r="K77" s="533">
        <f>Tabla1[[#This Row],[PRECIO CAJA]]</f>
        <v>1500</v>
      </c>
      <c r="L77" s="534">
        <f>Tabla1[[#This Row],[PRECIO BOLSA]]</f>
        <v>500</v>
      </c>
      <c r="M77" s="533">
        <f>Tabla1[[#This Row],[PRODUCIDO CAJA]]</f>
        <v>496500</v>
      </c>
      <c r="N77" s="534">
        <f>Tabla1[[#This Row],[PRODUCIDO BOLSAS]]</f>
        <v>27021</v>
      </c>
      <c r="O77" s="533">
        <f>Tabla1[[#This Row],[TOTAL PRODUCIDO]]</f>
        <v>523521</v>
      </c>
      <c r="P77" s="534">
        <f>Tabla1[[#This Row],[Valor Pagado]]</f>
        <v>523521</v>
      </c>
      <c r="Q77" s="535">
        <f>Tabla1[[#This Row],[COEFICIENTE]]</f>
        <v>1.0265117647058823</v>
      </c>
      <c r="R77" s="534">
        <f>Tabla1[[#This Row],[Precio Caja2]]</f>
        <v>1500</v>
      </c>
      <c r="S77" s="536">
        <f>Tabla1[[#This Row],[VALOR GANADO]]</f>
        <v>30795.352941176472</v>
      </c>
      <c r="T77" s="537">
        <f>Tabla1[[#This Row],[VALOR  A PAGAR]]</f>
        <v>30795.352941176472</v>
      </c>
      <c r="U77" s="41">
        <f>Tabla1[[#This Row],[Columna1]]</f>
        <v>0</v>
      </c>
    </row>
    <row r="78" spans="2:21" ht="15.75" x14ac:dyDescent="0.25">
      <c r="B78" s="29">
        <f>Tabla1[[#This Row],[FECHA]]</f>
        <v>44397</v>
      </c>
      <c r="C78" s="26">
        <f>_xlfn.ISOWEEKNUM('CAJAS ELABORADAS'!$C78)</f>
        <v>29</v>
      </c>
      <c r="D78" s="27" t="str">
        <f>Tabla1[[#This Row],[FINCA]]</f>
        <v>PEDRITO</v>
      </c>
      <c r="E78" s="531">
        <f>Tabla1[[#This Row],[Cajas Elaboradas]]</f>
        <v>161</v>
      </c>
      <c r="F78" s="26">
        <f>Tabla1[[#This Row],[Bolsas Elaboradas]]</f>
        <v>0</v>
      </c>
      <c r="G78" s="26">
        <f>Tabla1[[#This Row],[N° DE PERSONAS EN EL EMBARQUE]]</f>
        <v>21</v>
      </c>
      <c r="H78" s="532">
        <f>Tabla1[[#This Row],[Rasimos Cosechados]]</f>
        <v>0</v>
      </c>
      <c r="I78" s="532">
        <f>Tabla1[[#This Row],[Rasimos Prosesados]]</f>
        <v>0</v>
      </c>
      <c r="J78" s="532">
        <f>Tabla1[[#This Row],[Rasimos Rechasados]]</f>
        <v>0</v>
      </c>
      <c r="K78" s="533">
        <f>Tabla1[[#This Row],[PRECIO CAJA]]</f>
        <v>3000</v>
      </c>
      <c r="L78" s="534">
        <f>Tabla1[[#This Row],[PRECIO BOLSA]]</f>
        <v>0</v>
      </c>
      <c r="M78" s="533">
        <f>Tabla1[[#This Row],[PRODUCIDO CAJA]]</f>
        <v>483000</v>
      </c>
      <c r="N78" s="534">
        <f>Tabla1[[#This Row],[PRODUCIDO BOLSAS]]</f>
        <v>0</v>
      </c>
      <c r="O78" s="533">
        <f>Tabla1[[#This Row],[TOTAL PRODUCIDO]]</f>
        <v>483000</v>
      </c>
      <c r="P78" s="534">
        <f>Tabla1[[#This Row],[Valor Pagado]]</f>
        <v>630000</v>
      </c>
      <c r="Q78" s="535">
        <f>Tabla1[[#This Row],[COEFICIENTE]]</f>
        <v>1</v>
      </c>
      <c r="R78" s="534">
        <f>Tabla1[[#This Row],[Precio Caja2]]</f>
        <v>3913.0434782608695</v>
      </c>
      <c r="S78" s="536">
        <f>Tabla1[[#This Row],[VALOR GANADO]]</f>
        <v>23000</v>
      </c>
      <c r="T78" s="537">
        <f>Tabla1[[#This Row],[VALOR  A PAGAR]]</f>
        <v>30000</v>
      </c>
      <c r="U78" s="41">
        <f>Tabla1[[#This Row],[Columna1]]</f>
        <v>7000</v>
      </c>
    </row>
    <row r="79" spans="2:21" ht="15.75" x14ac:dyDescent="0.25">
      <c r="B79" s="29">
        <f>Tabla1[[#This Row],[FECHA]]</f>
        <v>44398</v>
      </c>
      <c r="C79" s="26">
        <f>_xlfn.ISOWEEKNUM('CAJAS ELABORADAS'!$C79)</f>
        <v>29</v>
      </c>
      <c r="D79" s="27" t="str">
        <f>Tabla1[[#This Row],[FINCA]]</f>
        <v>SAN PEDRO</v>
      </c>
      <c r="E79" s="531">
        <f>Tabla1[[#This Row],[Cajas Elaboradas]]</f>
        <v>125</v>
      </c>
      <c r="F79" s="26">
        <f>Tabla1[[#This Row],[Bolsas Elaboradas]]</f>
        <v>19</v>
      </c>
      <c r="G79" s="26">
        <f>Tabla1[[#This Row],[N° DE PERSONAS EN EL EMBARQUE]]</f>
        <v>8</v>
      </c>
      <c r="H79" s="532">
        <f>Tabla1[[#This Row],[Rasimos Cosechados]]</f>
        <v>0</v>
      </c>
      <c r="I79" s="532">
        <f>Tabla1[[#This Row],[Rasimos Prosesados]]</f>
        <v>0</v>
      </c>
      <c r="J79" s="532">
        <f>Tabla1[[#This Row],[Rasimos Rechasados]]</f>
        <v>0</v>
      </c>
      <c r="K79" s="533">
        <f>Tabla1[[#This Row],[PRECIO CAJA]]</f>
        <v>1500</v>
      </c>
      <c r="L79" s="534">
        <f>Tabla1[[#This Row],[PRECIO BOLSA]]</f>
        <v>500</v>
      </c>
      <c r="M79" s="533">
        <f>Tabla1[[#This Row],[PRODUCIDO CAJA]]</f>
        <v>187500</v>
      </c>
      <c r="N79" s="534">
        <f>Tabla1[[#This Row],[PRODUCIDO BOLSAS]]</f>
        <v>9500</v>
      </c>
      <c r="O79" s="533">
        <f>Tabla1[[#This Row],[TOTAL PRODUCIDO]]</f>
        <v>197000</v>
      </c>
      <c r="P79" s="534">
        <f>Tabla1[[#This Row],[Valor Pagado]]</f>
        <v>240000</v>
      </c>
      <c r="Q79" s="535">
        <f>Tabla1[[#This Row],[COEFICIENTE]]</f>
        <v>1</v>
      </c>
      <c r="R79" s="534">
        <f>Tabla1[[#This Row],[Precio Caja2]]</f>
        <v>1844</v>
      </c>
      <c r="S79" s="536">
        <f>Tabla1[[#This Row],[VALOR GANADO]]</f>
        <v>24625</v>
      </c>
      <c r="T79" s="537">
        <f>Tabla1[[#This Row],[VALOR  A PAGAR]]</f>
        <v>30000</v>
      </c>
      <c r="U79" s="41">
        <f>Tabla1[[#This Row],[Columna1]]</f>
        <v>5375</v>
      </c>
    </row>
    <row r="80" spans="2:21" ht="15.75" x14ac:dyDescent="0.25">
      <c r="B80" s="29">
        <f>Tabla1[[#This Row],[FECHA]]</f>
        <v>44398</v>
      </c>
      <c r="C80" s="26">
        <f>_xlfn.ISOWEEKNUM('CAJAS ELABORADAS'!$C80)</f>
        <v>29</v>
      </c>
      <c r="D80" s="27" t="str">
        <f>Tabla1[[#This Row],[FINCA]]</f>
        <v>UVEROS</v>
      </c>
      <c r="E80" s="531">
        <f>Tabla1[[#This Row],[Cajas Elaboradas]]</f>
        <v>100</v>
      </c>
      <c r="F80" s="26">
        <f>Tabla1[[#This Row],[Bolsas Elaboradas]]</f>
        <v>33.28</v>
      </c>
      <c r="G80" s="26">
        <f>Tabla1[[#This Row],[N° DE PERSONAS EN EL EMBARQUE]]</f>
        <v>6</v>
      </c>
      <c r="H80" s="532">
        <f>Tabla1[[#This Row],[Rasimos Cosechados]]</f>
        <v>0</v>
      </c>
      <c r="I80" s="532">
        <f>Tabla1[[#This Row],[Rasimos Prosesados]]</f>
        <v>0</v>
      </c>
      <c r="J80" s="532">
        <f>Tabla1[[#This Row],[Rasimos Rechasados]]</f>
        <v>0</v>
      </c>
      <c r="K80" s="533">
        <f>Tabla1[[#This Row],[PRECIO CAJA]]</f>
        <v>1500</v>
      </c>
      <c r="L80" s="534">
        <f>Tabla1[[#This Row],[PRECIO BOLSA]]</f>
        <v>500</v>
      </c>
      <c r="M80" s="533">
        <f>Tabla1[[#This Row],[PRODUCIDO CAJA]]</f>
        <v>150000</v>
      </c>
      <c r="N80" s="534">
        <f>Tabla1[[#This Row],[PRODUCIDO BOLSAS]]</f>
        <v>16640</v>
      </c>
      <c r="O80" s="533">
        <f>Tabla1[[#This Row],[TOTAL PRODUCIDO]]</f>
        <v>166640</v>
      </c>
      <c r="P80" s="534">
        <f>Tabla1[[#This Row],[Valor Pagado]]</f>
        <v>180000</v>
      </c>
      <c r="Q80" s="535">
        <f>Tabla1[[#This Row],[COEFICIENTE]]</f>
        <v>1</v>
      </c>
      <c r="R80" s="534">
        <f>Tabla1[[#This Row],[Precio Caja2]]</f>
        <v>1633.6</v>
      </c>
      <c r="S80" s="536">
        <f>Tabla1[[#This Row],[VALOR GANADO]]</f>
        <v>27773.333333333332</v>
      </c>
      <c r="T80" s="537">
        <f>Tabla1[[#This Row],[VALOR  A PAGAR]]</f>
        <v>30000</v>
      </c>
      <c r="U80" s="41">
        <f>Tabla1[[#This Row],[Columna1]]</f>
        <v>2226.6666666666679</v>
      </c>
    </row>
    <row r="81" spans="2:21" ht="15.75" x14ac:dyDescent="0.25">
      <c r="B81" s="29">
        <f>Tabla1[[#This Row],[FECHA]]</f>
        <v>44404</v>
      </c>
      <c r="C81" s="26">
        <f>_xlfn.ISOWEEKNUM('CAJAS ELABORADAS'!$C81)</f>
        <v>30</v>
      </c>
      <c r="D81" s="27" t="str">
        <f>Tabla1[[#This Row],[FINCA]]</f>
        <v>SAN PEDRO</v>
      </c>
      <c r="E81" s="531">
        <f>Tabla1[[#This Row],[Cajas Elaboradas]]</f>
        <v>252</v>
      </c>
      <c r="F81" s="26">
        <f>Tabla1[[#This Row],[Bolsas Elaboradas]]</f>
        <v>34</v>
      </c>
      <c r="G81" s="26">
        <f>Tabla1[[#This Row],[N° DE PERSONAS EN EL EMBARQUE]]</f>
        <v>14</v>
      </c>
      <c r="H81" s="532">
        <f>Tabla1[[#This Row],[Rasimos Cosechados]]</f>
        <v>0</v>
      </c>
      <c r="I81" s="532">
        <f>Tabla1[[#This Row],[Rasimos Prosesados]]</f>
        <v>0</v>
      </c>
      <c r="J81" s="532">
        <f>Tabla1[[#This Row],[Rasimos Rechasados]]</f>
        <v>0</v>
      </c>
      <c r="K81" s="533">
        <f>Tabla1[[#This Row],[PRECIO CAJA]]</f>
        <v>1500</v>
      </c>
      <c r="L81" s="534">
        <f>Tabla1[[#This Row],[PRECIO BOLSA]]</f>
        <v>500</v>
      </c>
      <c r="M81" s="533">
        <f>Tabla1[[#This Row],[PRODUCIDO CAJA]]</f>
        <v>378000</v>
      </c>
      <c r="N81" s="534">
        <f>Tabla1[[#This Row],[PRODUCIDO BOLSAS]]</f>
        <v>17000</v>
      </c>
      <c r="O81" s="533">
        <f>Tabla1[[#This Row],[TOTAL PRODUCIDO]]</f>
        <v>395000</v>
      </c>
      <c r="P81" s="534">
        <f>Tabla1[[#This Row],[Valor Pagado]]</f>
        <v>420000</v>
      </c>
      <c r="Q81" s="535">
        <f>Tabla1[[#This Row],[COEFICIENTE]]</f>
        <v>1</v>
      </c>
      <c r="R81" s="534">
        <f>Tabla1[[#This Row],[Precio Caja2]]</f>
        <v>1599.2063492063492</v>
      </c>
      <c r="S81" s="536">
        <f>Tabla1[[#This Row],[VALOR GANADO]]</f>
        <v>28214.285714285714</v>
      </c>
      <c r="T81" s="537">
        <f>Tabla1[[#This Row],[VALOR  A PAGAR]]</f>
        <v>30000</v>
      </c>
      <c r="U81" s="41">
        <f>Tabla1[[#This Row],[Columna1]]</f>
        <v>1785.7142857142862</v>
      </c>
    </row>
    <row r="82" spans="2:21" ht="15.75" x14ac:dyDescent="0.25">
      <c r="B82" s="29">
        <f>Tabla1[[#This Row],[FECHA]]</f>
        <v>44404</v>
      </c>
      <c r="C82" s="26">
        <f>_xlfn.ISOWEEKNUM('CAJAS ELABORADAS'!$C82)</f>
        <v>30</v>
      </c>
      <c r="D82" s="27" t="str">
        <f>Tabla1[[#This Row],[FINCA]]</f>
        <v>DAMAQUIEL</v>
      </c>
      <c r="E82" s="531">
        <f>Tabla1[[#This Row],[Cajas Elaboradas]]</f>
        <v>173</v>
      </c>
      <c r="F82" s="26">
        <f>Tabla1[[#This Row],[Bolsas Elaboradas]]</f>
        <v>79</v>
      </c>
      <c r="G82" s="26">
        <f>Tabla1[[#This Row],[N° DE PERSONAS EN EL EMBARQUE]]</f>
        <v>9</v>
      </c>
      <c r="H82" s="532">
        <f>Tabla1[[#This Row],[Rasimos Cosechados]]</f>
        <v>0</v>
      </c>
      <c r="I82" s="532">
        <f>Tabla1[[#This Row],[Rasimos Prosesados]]</f>
        <v>0</v>
      </c>
      <c r="J82" s="532">
        <f>Tabla1[[#This Row],[Rasimos Rechasados]]</f>
        <v>0</v>
      </c>
      <c r="K82" s="533">
        <f>Tabla1[[#This Row],[PRECIO CAJA]]</f>
        <v>1500</v>
      </c>
      <c r="L82" s="534">
        <f>Tabla1[[#This Row],[PRECIO BOLSA]]</f>
        <v>500</v>
      </c>
      <c r="M82" s="533">
        <f>Tabla1[[#This Row],[PRODUCIDO CAJA]]</f>
        <v>259500</v>
      </c>
      <c r="N82" s="534">
        <f>Tabla1[[#This Row],[PRODUCIDO BOLSAS]]</f>
        <v>39500</v>
      </c>
      <c r="O82" s="533">
        <f>Tabla1[[#This Row],[TOTAL PRODUCIDO]]</f>
        <v>299000</v>
      </c>
      <c r="P82" s="534">
        <f>Tabla1[[#This Row],[Valor Pagado]]</f>
        <v>299000</v>
      </c>
      <c r="Q82" s="535">
        <f>Tabla1[[#This Row],[COEFICIENTE]]</f>
        <v>1.1074074074074074</v>
      </c>
      <c r="R82" s="534">
        <f>Tabla1[[#This Row],[Precio Caja2]]</f>
        <v>1500</v>
      </c>
      <c r="S82" s="536">
        <f>Tabla1[[#This Row],[VALOR GANADO]]</f>
        <v>33222.222222222219</v>
      </c>
      <c r="T82" s="537">
        <f>Tabla1[[#This Row],[VALOR  A PAGAR]]</f>
        <v>33222.222222222219</v>
      </c>
      <c r="U82" s="41">
        <f>Tabla1[[#This Row],[Columna1]]</f>
        <v>0</v>
      </c>
    </row>
    <row r="83" spans="2:21" ht="15.75" x14ac:dyDescent="0.25">
      <c r="B83" s="29">
        <f>Tabla1[[#This Row],[FECHA]]</f>
        <v>44403</v>
      </c>
      <c r="C83" s="26">
        <f>_xlfn.ISOWEEKNUM('CAJAS ELABORADAS'!$C83)</f>
        <v>30</v>
      </c>
      <c r="D83" s="27" t="str">
        <f>Tabla1[[#This Row],[FINCA]]</f>
        <v>PEDRITO</v>
      </c>
      <c r="E83" s="531">
        <f>Tabla1[[#This Row],[Cajas Elaboradas]]</f>
        <v>157</v>
      </c>
      <c r="F83" s="26">
        <f>Tabla1[[#This Row],[Bolsas Elaboradas]]</f>
        <v>0</v>
      </c>
      <c r="G83" s="26">
        <f>Tabla1[[#This Row],[N° DE PERSONAS EN EL EMBARQUE]]</f>
        <v>20</v>
      </c>
      <c r="H83" s="532">
        <f>Tabla1[[#This Row],[Rasimos Cosechados]]</f>
        <v>0</v>
      </c>
      <c r="I83" s="532">
        <f>Tabla1[[#This Row],[Rasimos Prosesados]]</f>
        <v>0</v>
      </c>
      <c r="J83" s="532">
        <f>Tabla1[[#This Row],[Rasimos Rechasados]]</f>
        <v>0</v>
      </c>
      <c r="K83" s="533">
        <f>Tabla1[[#This Row],[PRECIO CAJA]]</f>
        <v>3000</v>
      </c>
      <c r="L83" s="534">
        <f>Tabla1[[#This Row],[PRECIO BOLSA]]</f>
        <v>0</v>
      </c>
      <c r="M83" s="533">
        <f>Tabla1[[#This Row],[PRODUCIDO CAJA]]</f>
        <v>471000</v>
      </c>
      <c r="N83" s="534">
        <f>Tabla1[[#This Row],[PRODUCIDO BOLSAS]]</f>
        <v>0</v>
      </c>
      <c r="O83" s="533">
        <f>Tabla1[[#This Row],[TOTAL PRODUCIDO]]</f>
        <v>471000</v>
      </c>
      <c r="P83" s="534">
        <f>Tabla1[[#This Row],[Valor Pagado]]</f>
        <v>600000</v>
      </c>
      <c r="Q83" s="535">
        <f>Tabla1[[#This Row],[COEFICIENTE]]</f>
        <v>1</v>
      </c>
      <c r="R83" s="534">
        <f>Tabla1[[#This Row],[Precio Caja2]]</f>
        <v>3821.6560509554142</v>
      </c>
      <c r="S83" s="536">
        <f>Tabla1[[#This Row],[VALOR GANADO]]</f>
        <v>23550</v>
      </c>
      <c r="T83" s="537">
        <f>Tabla1[[#This Row],[VALOR  A PAGAR]]</f>
        <v>30000</v>
      </c>
      <c r="U83" s="41">
        <f>Tabla1[[#This Row],[Columna1]]</f>
        <v>6450</v>
      </c>
    </row>
    <row r="84" spans="2:21" ht="15.75" x14ac:dyDescent="0.25">
      <c r="B84" s="29">
        <f>Tabla1[[#This Row],[FECHA]]</f>
        <v>44411</v>
      </c>
      <c r="C84" s="26">
        <f>_xlfn.ISOWEEKNUM('CAJAS ELABORADAS'!$C84)</f>
        <v>31</v>
      </c>
      <c r="D84" s="27" t="str">
        <f>Tabla1[[#This Row],[FINCA]]</f>
        <v>SAN PEDRO</v>
      </c>
      <c r="E84" s="531">
        <f>Tabla1[[#This Row],[Cajas Elaboradas]]</f>
        <v>422</v>
      </c>
      <c r="F84" s="26">
        <f>Tabla1[[#This Row],[Bolsas Elaboradas]]</f>
        <v>42</v>
      </c>
      <c r="G84" s="26">
        <f>Tabla1[[#This Row],[N° DE PERSONAS EN EL EMBARQUE]]</f>
        <v>21</v>
      </c>
      <c r="H84" s="532">
        <f>Tabla1[[#This Row],[Rasimos Cosechados]]</f>
        <v>1518</v>
      </c>
      <c r="I84" s="532">
        <f>Tabla1[[#This Row],[Rasimos Prosesados]]</f>
        <v>0</v>
      </c>
      <c r="J84" s="532">
        <f>Tabla1[[#This Row],[Rasimos Rechasados]]</f>
        <v>1518</v>
      </c>
      <c r="K84" s="533">
        <f>Tabla1[[#This Row],[PRECIO CAJA]]</f>
        <v>1500</v>
      </c>
      <c r="L84" s="534">
        <f>Tabla1[[#This Row],[PRECIO BOLSA]]</f>
        <v>500</v>
      </c>
      <c r="M84" s="533">
        <f>Tabla1[[#This Row],[PRODUCIDO CAJA]]</f>
        <v>633000</v>
      </c>
      <c r="N84" s="534">
        <f>Tabla1[[#This Row],[PRODUCIDO BOLSAS]]</f>
        <v>21000</v>
      </c>
      <c r="O84" s="533">
        <f>Tabla1[[#This Row],[TOTAL PRODUCIDO]]</f>
        <v>654000</v>
      </c>
      <c r="P84" s="534">
        <f>Tabla1[[#This Row],[Valor Pagado]]</f>
        <v>654000</v>
      </c>
      <c r="Q84" s="535">
        <f>Tabla1[[#This Row],[COEFICIENTE]]</f>
        <v>1.038095238095238</v>
      </c>
      <c r="R84" s="534">
        <f>Tabla1[[#This Row],[Precio Caja2]]</f>
        <v>1500</v>
      </c>
      <c r="S84" s="536">
        <f>Tabla1[[#This Row],[VALOR GANADO]]</f>
        <v>31142.857142857141</v>
      </c>
      <c r="T84" s="537">
        <f>Tabla1[[#This Row],[VALOR  A PAGAR]]</f>
        <v>31142.857142857141</v>
      </c>
      <c r="U84" s="41">
        <f>Tabla1[[#This Row],[Columna1]]</f>
        <v>0</v>
      </c>
    </row>
    <row r="85" spans="2:21" ht="15.75" x14ac:dyDescent="0.25">
      <c r="B85" s="29">
        <f>Tabla1[[#This Row],[FECHA]]</f>
        <v>44412</v>
      </c>
      <c r="C85" s="26">
        <f>_xlfn.ISOWEEKNUM('CAJAS ELABORADAS'!$C85)</f>
        <v>31</v>
      </c>
      <c r="D85" s="27" t="str">
        <f>Tabla1[[#This Row],[FINCA]]</f>
        <v>SAN PEDRO</v>
      </c>
      <c r="E85" s="531">
        <f>Tabla1[[#This Row],[Cajas Elaboradas]]</f>
        <v>202</v>
      </c>
      <c r="F85" s="26">
        <f>Tabla1[[#This Row],[Bolsas Elaboradas]]</f>
        <v>21</v>
      </c>
      <c r="G85" s="26">
        <f>Tabla1[[#This Row],[N° DE PERSONAS EN EL EMBARQUE]]</f>
        <v>10</v>
      </c>
      <c r="H85" s="532">
        <f>Tabla1[[#This Row],[Rasimos Cosechados]]</f>
        <v>647</v>
      </c>
      <c r="I85" s="532">
        <f>Tabla1[[#This Row],[Rasimos Prosesados]]</f>
        <v>0</v>
      </c>
      <c r="J85" s="532">
        <f>Tabla1[[#This Row],[Rasimos Rechasados]]</f>
        <v>647</v>
      </c>
      <c r="K85" s="533">
        <f>Tabla1[[#This Row],[PRECIO CAJA]]</f>
        <v>1500</v>
      </c>
      <c r="L85" s="534">
        <f>Tabla1[[#This Row],[PRECIO BOLSA]]</f>
        <v>500</v>
      </c>
      <c r="M85" s="533">
        <f>Tabla1[[#This Row],[PRODUCIDO CAJA]]</f>
        <v>303000</v>
      </c>
      <c r="N85" s="534">
        <f>Tabla1[[#This Row],[PRODUCIDO BOLSAS]]</f>
        <v>10500</v>
      </c>
      <c r="O85" s="533">
        <f>Tabla1[[#This Row],[TOTAL PRODUCIDO]]</f>
        <v>313500</v>
      </c>
      <c r="P85" s="534">
        <f>Tabla1[[#This Row],[Valor Pagado]]</f>
        <v>313500</v>
      </c>
      <c r="Q85" s="535">
        <f>Tabla1[[#This Row],[COEFICIENTE]]</f>
        <v>1.0449999999999999</v>
      </c>
      <c r="R85" s="534">
        <f>Tabla1[[#This Row],[Precio Caja2]]</f>
        <v>1500</v>
      </c>
      <c r="S85" s="536">
        <f>Tabla1[[#This Row],[VALOR GANADO]]</f>
        <v>31350</v>
      </c>
      <c r="T85" s="537">
        <f>Tabla1[[#This Row],[VALOR  A PAGAR]]</f>
        <v>31350</v>
      </c>
      <c r="U85" s="41">
        <f>Tabla1[[#This Row],[Columna1]]</f>
        <v>0</v>
      </c>
    </row>
    <row r="86" spans="2:21" ht="15.75" x14ac:dyDescent="0.25">
      <c r="B86" s="29">
        <f>Tabla1[[#This Row],[FECHA]]</f>
        <v>44412</v>
      </c>
      <c r="C86" s="26">
        <f>_xlfn.ISOWEEKNUM('CAJAS ELABORADAS'!$C86)</f>
        <v>31</v>
      </c>
      <c r="D86" s="27" t="str">
        <f>Tabla1[[#This Row],[FINCA]]</f>
        <v>UVEROS</v>
      </c>
      <c r="E86" s="531">
        <f>Tabla1[[#This Row],[Cajas Elaboradas]]</f>
        <v>166</v>
      </c>
      <c r="F86" s="26">
        <f>Tabla1[[#This Row],[Bolsas Elaboradas]]</f>
        <v>45</v>
      </c>
      <c r="G86" s="26">
        <f>Tabla1[[#This Row],[N° DE PERSONAS EN EL EMBARQUE]]</f>
        <v>7</v>
      </c>
      <c r="H86" s="532">
        <f>Tabla1[[#This Row],[Rasimos Cosechados]]</f>
        <v>0</v>
      </c>
      <c r="I86" s="532">
        <f>Tabla1[[#This Row],[Rasimos Prosesados]]</f>
        <v>0</v>
      </c>
      <c r="J86" s="532">
        <f>Tabla1[[#This Row],[Rasimos Rechasados]]</f>
        <v>0</v>
      </c>
      <c r="K86" s="533">
        <f>Tabla1[[#This Row],[PRECIO CAJA]]</f>
        <v>1500</v>
      </c>
      <c r="L86" s="534">
        <f>Tabla1[[#This Row],[PRECIO BOLSA]]</f>
        <v>500</v>
      </c>
      <c r="M86" s="533">
        <f>Tabla1[[#This Row],[PRODUCIDO CAJA]]</f>
        <v>249000</v>
      </c>
      <c r="N86" s="534">
        <f>Tabla1[[#This Row],[PRODUCIDO BOLSAS]]</f>
        <v>22500</v>
      </c>
      <c r="O86" s="533">
        <f>Tabla1[[#This Row],[TOTAL PRODUCIDO]]</f>
        <v>271500</v>
      </c>
      <c r="P86" s="534">
        <f>Tabla1[[#This Row],[Valor Pagado]]</f>
        <v>271500</v>
      </c>
      <c r="Q86" s="535">
        <f>Tabla1[[#This Row],[COEFICIENTE]]</f>
        <v>1.2928571428571427</v>
      </c>
      <c r="R86" s="534">
        <f>Tabla1[[#This Row],[Precio Caja2]]</f>
        <v>1500</v>
      </c>
      <c r="S86" s="536">
        <f>Tabla1[[#This Row],[VALOR GANADO]]</f>
        <v>38785.714285714283</v>
      </c>
      <c r="T86" s="537">
        <f>Tabla1[[#This Row],[VALOR  A PAGAR]]</f>
        <v>38785.714285714283</v>
      </c>
      <c r="U86" s="41">
        <f>Tabla1[[#This Row],[Columna1]]</f>
        <v>0</v>
      </c>
    </row>
    <row r="87" spans="2:21" ht="15.75" x14ac:dyDescent="0.25">
      <c r="B87" s="29">
        <f>Tabla1[[#This Row],[FECHA]]</f>
        <v>44412</v>
      </c>
      <c r="C87" s="26">
        <f>_xlfn.ISOWEEKNUM('CAJAS ELABORADAS'!$C87)</f>
        <v>31</v>
      </c>
      <c r="D87" s="27" t="str">
        <f>Tabla1[[#This Row],[FINCA]]</f>
        <v>PEDRITO</v>
      </c>
      <c r="E87" s="531">
        <f>Tabla1[[#This Row],[Cajas Elaboradas]]</f>
        <v>122</v>
      </c>
      <c r="F87" s="26">
        <f>Tabla1[[#This Row],[Bolsas Elaboradas]]</f>
        <v>43</v>
      </c>
      <c r="G87" s="26">
        <f>Tabla1[[#This Row],[N° DE PERSONAS EN EL EMBARQUE]]</f>
        <v>18</v>
      </c>
      <c r="H87" s="532">
        <f>Tabla1[[#This Row],[Rasimos Cosechados]]</f>
        <v>0</v>
      </c>
      <c r="I87" s="532">
        <f>Tabla1[[#This Row],[Rasimos Prosesados]]</f>
        <v>0</v>
      </c>
      <c r="J87" s="532">
        <f>Tabla1[[#This Row],[Rasimos Rechasados]]</f>
        <v>0</v>
      </c>
      <c r="K87" s="533">
        <f>Tabla1[[#This Row],[PRECIO CAJA]]</f>
        <v>3000</v>
      </c>
      <c r="L87" s="534">
        <f>Tabla1[[#This Row],[PRECIO BOLSA]]</f>
        <v>500</v>
      </c>
      <c r="M87" s="533">
        <f>Tabla1[[#This Row],[PRODUCIDO CAJA]]</f>
        <v>366000</v>
      </c>
      <c r="N87" s="534">
        <f>Tabla1[[#This Row],[PRODUCIDO BOLSAS]]</f>
        <v>21500</v>
      </c>
      <c r="O87" s="533">
        <f>Tabla1[[#This Row],[TOTAL PRODUCIDO]]</f>
        <v>387500</v>
      </c>
      <c r="P87" s="534">
        <f>Tabla1[[#This Row],[Valor Pagado]]</f>
        <v>540000</v>
      </c>
      <c r="Q87" s="535">
        <f>Tabla1[[#This Row],[COEFICIENTE]]</f>
        <v>1</v>
      </c>
      <c r="R87" s="534">
        <f>Tabla1[[#This Row],[Precio Caja2]]</f>
        <v>4250</v>
      </c>
      <c r="S87" s="536">
        <f>Tabla1[[#This Row],[VALOR GANADO]]</f>
        <v>21527.777777777777</v>
      </c>
      <c r="T87" s="537">
        <f>Tabla1[[#This Row],[VALOR  A PAGAR]]</f>
        <v>30000</v>
      </c>
      <c r="U87" s="41">
        <f>Tabla1[[#This Row],[Columna1]]</f>
        <v>8472.2222222222226</v>
      </c>
    </row>
    <row r="88" spans="2:21" ht="15.75" x14ac:dyDescent="0.25">
      <c r="B88" s="29">
        <f>Tabla1[[#This Row],[FECHA]]</f>
        <v>44418</v>
      </c>
      <c r="C88" s="26">
        <f>_xlfn.ISOWEEKNUM('CAJAS ELABORADAS'!$C88)</f>
        <v>32</v>
      </c>
      <c r="D88" s="27" t="str">
        <f>Tabla1[[#This Row],[FINCA]]</f>
        <v>SAN PEDRO</v>
      </c>
      <c r="E88" s="531">
        <f>Tabla1[[#This Row],[Cajas Elaboradas]]</f>
        <v>348</v>
      </c>
      <c r="F88" s="26">
        <f>Tabla1[[#This Row],[Bolsas Elaboradas]]</f>
        <v>54</v>
      </c>
      <c r="G88" s="26">
        <f>Tabla1[[#This Row],[N° DE PERSONAS EN EL EMBARQUE]]</f>
        <v>16</v>
      </c>
      <c r="H88" s="532">
        <f>Tabla1[[#This Row],[Rasimos Cosechados]]</f>
        <v>2014</v>
      </c>
      <c r="I88" s="532">
        <f>Tabla1[[#This Row],[Rasimos Prosesados]]</f>
        <v>1733</v>
      </c>
      <c r="J88" s="532">
        <f>Tabla1[[#This Row],[Rasimos Rechasados]]</f>
        <v>281</v>
      </c>
      <c r="K88" s="533">
        <f>Tabla1[[#This Row],[PRECIO CAJA]]</f>
        <v>1500</v>
      </c>
      <c r="L88" s="534">
        <f>Tabla1[[#This Row],[PRECIO BOLSA]]</f>
        <v>500</v>
      </c>
      <c r="M88" s="533">
        <f>Tabla1[[#This Row],[PRODUCIDO CAJA]]</f>
        <v>522000</v>
      </c>
      <c r="N88" s="534">
        <f>Tabla1[[#This Row],[PRODUCIDO BOLSAS]]</f>
        <v>27000</v>
      </c>
      <c r="O88" s="533">
        <f>Tabla1[[#This Row],[TOTAL PRODUCIDO]]</f>
        <v>549000</v>
      </c>
      <c r="P88" s="534">
        <f>Tabla1[[#This Row],[Valor Pagado]]</f>
        <v>549000</v>
      </c>
      <c r="Q88" s="535">
        <f>Tabla1[[#This Row],[COEFICIENTE]]</f>
        <v>1.14375</v>
      </c>
      <c r="R88" s="534">
        <f>Tabla1[[#This Row],[Precio Caja2]]</f>
        <v>1500</v>
      </c>
      <c r="S88" s="536">
        <f>Tabla1[[#This Row],[VALOR GANADO]]</f>
        <v>34312.5</v>
      </c>
      <c r="T88" s="537">
        <f>Tabla1[[#This Row],[VALOR  A PAGAR]]</f>
        <v>34312.5</v>
      </c>
      <c r="U88" s="41">
        <f>Tabla1[[#This Row],[Columna1]]</f>
        <v>0</v>
      </c>
    </row>
    <row r="89" spans="2:21" ht="15.75" x14ac:dyDescent="0.25">
      <c r="B89" s="29">
        <f>Tabla1[[#This Row],[FECHA]]</f>
        <v>44419</v>
      </c>
      <c r="C89" s="26">
        <f>_xlfn.ISOWEEKNUM('CAJAS ELABORADAS'!$C89)</f>
        <v>32</v>
      </c>
      <c r="D89" s="27" t="str">
        <f>Tabla1[[#This Row],[FINCA]]</f>
        <v>SAN PEDRO</v>
      </c>
      <c r="E89" s="531">
        <f>Tabla1[[#This Row],[Cajas Elaboradas]]</f>
        <v>196</v>
      </c>
      <c r="F89" s="26">
        <f>Tabla1[[#This Row],[Bolsas Elaboradas]]</f>
        <v>0</v>
      </c>
      <c r="G89" s="26">
        <f>Tabla1[[#This Row],[N° DE PERSONAS EN EL EMBARQUE]]</f>
        <v>15</v>
      </c>
      <c r="H89" s="532">
        <f>Tabla1[[#This Row],[Rasimos Cosechados]]</f>
        <v>0</v>
      </c>
      <c r="I89" s="532">
        <f>Tabla1[[#This Row],[Rasimos Prosesados]]</f>
        <v>0</v>
      </c>
      <c r="J89" s="532">
        <f>Tabla1[[#This Row],[Rasimos Rechasados]]</f>
        <v>0</v>
      </c>
      <c r="K89" s="533">
        <f>Tabla1[[#This Row],[PRECIO CAJA]]</f>
        <v>1500</v>
      </c>
      <c r="L89" s="534">
        <f>Tabla1[[#This Row],[PRECIO BOLSA]]</f>
        <v>0</v>
      </c>
      <c r="M89" s="533">
        <f>Tabla1[[#This Row],[PRODUCIDO CAJA]]</f>
        <v>294000</v>
      </c>
      <c r="N89" s="534">
        <f>Tabla1[[#This Row],[PRODUCIDO BOLSAS]]</f>
        <v>0</v>
      </c>
      <c r="O89" s="533">
        <f>Tabla1[[#This Row],[TOTAL PRODUCIDO]]</f>
        <v>294000</v>
      </c>
      <c r="P89" s="534">
        <f>Tabla1[[#This Row],[Valor Pagado]]</f>
        <v>450000</v>
      </c>
      <c r="Q89" s="535">
        <f>Tabla1[[#This Row],[COEFICIENTE]]</f>
        <v>1</v>
      </c>
      <c r="R89" s="534">
        <f>Tabla1[[#This Row],[Precio Caja2]]</f>
        <v>2295.9183673469388</v>
      </c>
      <c r="S89" s="536">
        <f>Tabla1[[#This Row],[VALOR GANADO]]</f>
        <v>19600</v>
      </c>
      <c r="T89" s="537">
        <f>Tabla1[[#This Row],[VALOR  A PAGAR]]</f>
        <v>30000</v>
      </c>
      <c r="U89" s="41">
        <f>Tabla1[[#This Row],[Columna1]]</f>
        <v>10400</v>
      </c>
    </row>
    <row r="90" spans="2:21" ht="15.75" x14ac:dyDescent="0.25">
      <c r="B90" s="29">
        <f>Tabla1[[#This Row],[FECHA]]</f>
        <v>44419</v>
      </c>
      <c r="C90" s="26">
        <f>_xlfn.ISOWEEKNUM('CAJAS ELABORADAS'!$C90)</f>
        <v>32</v>
      </c>
      <c r="D90" s="27" t="str">
        <f>Tabla1[[#This Row],[FINCA]]</f>
        <v>uVEROS</v>
      </c>
      <c r="E90" s="531">
        <f>Tabla1[[#This Row],[Cajas Elaboradas]]</f>
        <v>59</v>
      </c>
      <c r="F90" s="26">
        <f>Tabla1[[#This Row],[Bolsas Elaboradas]]</f>
        <v>24</v>
      </c>
      <c r="G90" s="26">
        <f>Tabla1[[#This Row],[N° DE PERSONAS EN EL EMBARQUE]]</f>
        <v>6</v>
      </c>
      <c r="H90" s="532">
        <f>Tabla1[[#This Row],[Rasimos Cosechados]]</f>
        <v>0</v>
      </c>
      <c r="I90" s="532">
        <f>Tabla1[[#This Row],[Rasimos Prosesados]]</f>
        <v>0</v>
      </c>
      <c r="J90" s="532">
        <f>Tabla1[[#This Row],[Rasimos Rechasados]]</f>
        <v>0</v>
      </c>
      <c r="K90" s="533">
        <f>Tabla1[[#This Row],[PRECIO CAJA]]</f>
        <v>1500</v>
      </c>
      <c r="L90" s="534">
        <f>Tabla1[[#This Row],[PRECIO BOLSA]]</f>
        <v>500</v>
      </c>
      <c r="M90" s="533">
        <f>Tabla1[[#This Row],[PRODUCIDO CAJA]]</f>
        <v>88500</v>
      </c>
      <c r="N90" s="534">
        <f>Tabla1[[#This Row],[PRODUCIDO BOLSAS]]</f>
        <v>12000</v>
      </c>
      <c r="O90" s="533">
        <f>Tabla1[[#This Row],[TOTAL PRODUCIDO]]</f>
        <v>100500</v>
      </c>
      <c r="P90" s="534">
        <f>Tabla1[[#This Row],[Valor Pagado]]</f>
        <v>180000</v>
      </c>
      <c r="Q90" s="535">
        <f>Tabla1[[#This Row],[COEFICIENTE]]</f>
        <v>1</v>
      </c>
      <c r="R90" s="534">
        <f>Tabla1[[#This Row],[Precio Caja2]]</f>
        <v>2847.4576271186443</v>
      </c>
      <c r="S90" s="536">
        <f>Tabla1[[#This Row],[VALOR GANADO]]</f>
        <v>16750</v>
      </c>
      <c r="T90" s="537">
        <f>Tabla1[[#This Row],[VALOR  A PAGAR]]</f>
        <v>30000</v>
      </c>
      <c r="U90" s="41">
        <f>Tabla1[[#This Row],[Columna1]]</f>
        <v>13250</v>
      </c>
    </row>
    <row r="91" spans="2:21" ht="15.75" x14ac:dyDescent="0.25">
      <c r="B91" s="29">
        <f>Tabla1[[#This Row],[FECHA]]</f>
        <v>44418</v>
      </c>
      <c r="C91" s="26">
        <f>_xlfn.ISOWEEKNUM('CAJAS ELABORADAS'!$C91)</f>
        <v>32</v>
      </c>
      <c r="D91" s="27" t="str">
        <f>Tabla1[[#This Row],[FINCA]]</f>
        <v>DAMAQUIEL</v>
      </c>
      <c r="E91" s="531">
        <f>Tabla1[[#This Row],[Cajas Elaboradas]]</f>
        <v>217</v>
      </c>
      <c r="F91" s="26">
        <f>Tabla1[[#This Row],[Bolsas Elaboradas]]</f>
        <v>101</v>
      </c>
      <c r="G91" s="26">
        <f>Tabla1[[#This Row],[N° DE PERSONAS EN EL EMBARQUE]]</f>
        <v>9</v>
      </c>
      <c r="H91" s="532">
        <f>Tabla1[[#This Row],[Rasimos Cosechados]]</f>
        <v>0</v>
      </c>
      <c r="I91" s="532">
        <f>Tabla1[[#This Row],[Rasimos Prosesados]]</f>
        <v>0</v>
      </c>
      <c r="J91" s="532">
        <f>Tabla1[[#This Row],[Rasimos Rechasados]]</f>
        <v>0</v>
      </c>
      <c r="K91" s="533">
        <f>Tabla1[[#This Row],[PRECIO CAJA]]</f>
        <v>1500</v>
      </c>
      <c r="L91" s="534">
        <f>Tabla1[[#This Row],[PRECIO BOLSA]]</f>
        <v>500</v>
      </c>
      <c r="M91" s="533">
        <f>Tabla1[[#This Row],[PRODUCIDO CAJA]]</f>
        <v>325500</v>
      </c>
      <c r="N91" s="534">
        <f>Tabla1[[#This Row],[PRODUCIDO BOLSAS]]</f>
        <v>50500</v>
      </c>
      <c r="O91" s="533">
        <f>Tabla1[[#This Row],[TOTAL PRODUCIDO]]</f>
        <v>376000</v>
      </c>
      <c r="P91" s="534">
        <f>Tabla1[[#This Row],[Valor Pagado]]</f>
        <v>376000</v>
      </c>
      <c r="Q91" s="535">
        <f>Tabla1[[#This Row],[COEFICIENTE]]</f>
        <v>1.3925925925925926</v>
      </c>
      <c r="R91" s="534">
        <f>Tabla1[[#This Row],[Precio Caja2]]</f>
        <v>1500</v>
      </c>
      <c r="S91" s="536">
        <f>Tabla1[[#This Row],[VALOR GANADO]]</f>
        <v>41777.777777777781</v>
      </c>
      <c r="T91" s="537">
        <f>Tabla1[[#This Row],[VALOR  A PAGAR]]</f>
        <v>41777.777777777781</v>
      </c>
      <c r="U91" s="41">
        <f>Tabla1[[#This Row],[Columna1]]</f>
        <v>0</v>
      </c>
    </row>
    <row r="92" spans="2:21" ht="15.75" x14ac:dyDescent="0.25">
      <c r="B92" s="29">
        <f>Tabla1[[#This Row],[FECHA]]</f>
        <v>44425</v>
      </c>
      <c r="C92" s="26">
        <f>_xlfn.ISOWEEKNUM('CAJAS ELABORADAS'!$C92)</f>
        <v>33</v>
      </c>
      <c r="D92" s="27" t="str">
        <f>Tabla1[[#This Row],[FINCA]]</f>
        <v>SAN PEDRO</v>
      </c>
      <c r="E92" s="531">
        <f>Tabla1[[#This Row],[Cajas Elaboradas]]</f>
        <v>247</v>
      </c>
      <c r="F92" s="26">
        <f>Tabla1[[#This Row],[Bolsas Elaboradas]]</f>
        <v>49</v>
      </c>
      <c r="G92" s="26">
        <f>Tabla1[[#This Row],[N° DE PERSONAS EN EL EMBARQUE]]</f>
        <v>15</v>
      </c>
      <c r="H92" s="532">
        <f>Tabla1[[#This Row],[Rasimos Cosechados]]</f>
        <v>0</v>
      </c>
      <c r="I92" s="532">
        <f>Tabla1[[#This Row],[Rasimos Prosesados]]</f>
        <v>0</v>
      </c>
      <c r="J92" s="532">
        <f>Tabla1[[#This Row],[Rasimos Rechasados]]</f>
        <v>0</v>
      </c>
      <c r="K92" s="533">
        <f>Tabla1[[#This Row],[PRECIO CAJA]]</f>
        <v>1500</v>
      </c>
      <c r="L92" s="534">
        <f>Tabla1[[#This Row],[PRECIO BOLSA]]</f>
        <v>500</v>
      </c>
      <c r="M92" s="533">
        <f>Tabla1[[#This Row],[PRODUCIDO CAJA]]</f>
        <v>370500</v>
      </c>
      <c r="N92" s="534">
        <f>Tabla1[[#This Row],[PRODUCIDO BOLSAS]]</f>
        <v>24500</v>
      </c>
      <c r="O92" s="533">
        <f>Tabla1[[#This Row],[TOTAL PRODUCIDO]]</f>
        <v>395000</v>
      </c>
      <c r="P92" s="534">
        <f>Tabla1[[#This Row],[Valor Pagado]]</f>
        <v>450000</v>
      </c>
      <c r="Q92" s="535">
        <f>Tabla1[[#This Row],[COEFICIENTE]]</f>
        <v>1</v>
      </c>
      <c r="R92" s="534">
        <f>Tabla1[[#This Row],[Precio Caja2]]</f>
        <v>1722.6720647773279</v>
      </c>
      <c r="S92" s="536">
        <f>Tabla1[[#This Row],[VALOR GANADO]]</f>
        <v>26333.333333333332</v>
      </c>
      <c r="T92" s="537">
        <f>Tabla1[[#This Row],[VALOR  A PAGAR]]</f>
        <v>30000</v>
      </c>
      <c r="U92" s="41">
        <f>Tabla1[[#This Row],[Columna1]]</f>
        <v>3666.6666666666679</v>
      </c>
    </row>
    <row r="93" spans="2:21" ht="15.75" x14ac:dyDescent="0.25">
      <c r="B93" s="29">
        <f>Tabla1[[#This Row],[FECHA]]</f>
        <v>44424</v>
      </c>
      <c r="C93" s="26">
        <f>_xlfn.ISOWEEKNUM('CAJAS ELABORADAS'!$C93)</f>
        <v>33</v>
      </c>
      <c r="D93" s="27" t="str">
        <f>Tabla1[[#This Row],[FINCA]]</f>
        <v>PEDRITO</v>
      </c>
      <c r="E93" s="531">
        <f>Tabla1[[#This Row],[Cajas Elaboradas]]</f>
        <v>116</v>
      </c>
      <c r="F93" s="26">
        <f>Tabla1[[#This Row],[Bolsas Elaboradas]]</f>
        <v>0</v>
      </c>
      <c r="G93" s="26">
        <f>Tabla1[[#This Row],[N° DE PERSONAS EN EL EMBARQUE]]</f>
        <v>17</v>
      </c>
      <c r="H93" s="532">
        <f>Tabla1[[#This Row],[Rasimos Cosechados]]</f>
        <v>0</v>
      </c>
      <c r="I93" s="532">
        <f>Tabla1[[#This Row],[Rasimos Prosesados]]</f>
        <v>0</v>
      </c>
      <c r="J93" s="532">
        <f>Tabla1[[#This Row],[Rasimos Rechasados]]</f>
        <v>0</v>
      </c>
      <c r="K93" s="533">
        <f>Tabla1[[#This Row],[PRECIO CAJA]]</f>
        <v>3000</v>
      </c>
      <c r="L93" s="534">
        <f>Tabla1[[#This Row],[PRECIO BOLSA]]</f>
        <v>0</v>
      </c>
      <c r="M93" s="533">
        <f>Tabla1[[#This Row],[PRODUCIDO CAJA]]</f>
        <v>348000</v>
      </c>
      <c r="N93" s="534">
        <f>Tabla1[[#This Row],[PRODUCIDO BOLSAS]]</f>
        <v>0</v>
      </c>
      <c r="O93" s="533">
        <f>Tabla1[[#This Row],[TOTAL PRODUCIDO]]</f>
        <v>348000</v>
      </c>
      <c r="P93" s="534">
        <f>Tabla1[[#This Row],[Valor Pagado]]</f>
        <v>510000</v>
      </c>
      <c r="Q93" s="535">
        <f>Tabla1[[#This Row],[COEFICIENTE]]</f>
        <v>1</v>
      </c>
      <c r="R93" s="534">
        <f>Tabla1[[#This Row],[Precio Caja2]]</f>
        <v>4396.5517241379312</v>
      </c>
      <c r="S93" s="536">
        <f>Tabla1[[#This Row],[VALOR GANADO]]</f>
        <v>20470.588235294119</v>
      </c>
      <c r="T93" s="537">
        <f>Tabla1[[#This Row],[VALOR  A PAGAR]]</f>
        <v>30000</v>
      </c>
      <c r="U93" s="41">
        <f>Tabla1[[#This Row],[Columna1]]</f>
        <v>9529.4117647058811</v>
      </c>
    </row>
    <row r="94" spans="2:21" ht="15.75" x14ac:dyDescent="0.25">
      <c r="B94" s="29">
        <f>Tabla1[[#This Row],[FECHA]]</f>
        <v>44425</v>
      </c>
      <c r="C94" s="26">
        <f>_xlfn.ISOWEEKNUM('CAJAS ELABORADAS'!$C94)</f>
        <v>33</v>
      </c>
      <c r="D94" s="27" t="str">
        <f>Tabla1[[#This Row],[FINCA]]</f>
        <v>UVEROS</v>
      </c>
      <c r="E94" s="531">
        <f>Tabla1[[#This Row],[Cajas Elaboradas]]</f>
        <v>140</v>
      </c>
      <c r="F94" s="26">
        <f>Tabla1[[#This Row],[Bolsas Elaboradas]]</f>
        <v>49</v>
      </c>
      <c r="G94" s="26">
        <f>Tabla1[[#This Row],[N° DE PERSONAS EN EL EMBARQUE]]</f>
        <v>9</v>
      </c>
      <c r="H94" s="532">
        <f>Tabla1[[#This Row],[Rasimos Cosechados]]</f>
        <v>0</v>
      </c>
      <c r="I94" s="532">
        <f>Tabla1[[#This Row],[Rasimos Prosesados]]</f>
        <v>0</v>
      </c>
      <c r="J94" s="532">
        <f>Tabla1[[#This Row],[Rasimos Rechasados]]</f>
        <v>0</v>
      </c>
      <c r="K94" s="533">
        <f>Tabla1[[#This Row],[PRECIO CAJA]]</f>
        <v>1500</v>
      </c>
      <c r="L94" s="534">
        <f>Tabla1[[#This Row],[PRECIO BOLSA]]</f>
        <v>500</v>
      </c>
      <c r="M94" s="533">
        <f>Tabla1[[#This Row],[PRODUCIDO CAJA]]</f>
        <v>210000</v>
      </c>
      <c r="N94" s="534">
        <f>Tabla1[[#This Row],[PRODUCIDO BOLSAS]]</f>
        <v>24500</v>
      </c>
      <c r="O94" s="533">
        <f>Tabla1[[#This Row],[TOTAL PRODUCIDO]]</f>
        <v>234500</v>
      </c>
      <c r="P94" s="534">
        <f>Tabla1[[#This Row],[Valor Pagado]]</f>
        <v>270000</v>
      </c>
      <c r="Q94" s="535">
        <f>Tabla1[[#This Row],[COEFICIENTE]]</f>
        <v>1</v>
      </c>
      <c r="R94" s="534">
        <f>Tabla1[[#This Row],[Precio Caja2]]</f>
        <v>1753.5714285714287</v>
      </c>
      <c r="S94" s="536">
        <f>Tabla1[[#This Row],[VALOR GANADO]]</f>
        <v>26055.555555555555</v>
      </c>
      <c r="T94" s="537">
        <f>Tabla1[[#This Row],[VALOR  A PAGAR]]</f>
        <v>30000</v>
      </c>
      <c r="U94" s="41">
        <f>Tabla1[[#This Row],[Columna1]]</f>
        <v>3944.4444444444453</v>
      </c>
    </row>
    <row r="95" spans="2:21" ht="15.75" x14ac:dyDescent="0.25">
      <c r="B95" s="29">
        <f>Tabla1[[#This Row],[FECHA]]</f>
        <v>44432</v>
      </c>
      <c r="C95" s="26">
        <f>_xlfn.ISOWEEKNUM('CAJAS ELABORADAS'!$C95)</f>
        <v>34</v>
      </c>
      <c r="D95" s="27" t="str">
        <f>Tabla1[[#This Row],[FINCA]]</f>
        <v>SAN PEDRO</v>
      </c>
      <c r="E95" s="531">
        <f>Tabla1[[#This Row],[Cajas Elaboradas]]</f>
        <v>336</v>
      </c>
      <c r="F95" s="26">
        <f>Tabla1[[#This Row],[Bolsas Elaboradas]]</f>
        <v>77</v>
      </c>
      <c r="G95" s="26">
        <f>Tabla1[[#This Row],[N° DE PERSONAS EN EL EMBARQUE]]</f>
        <v>17</v>
      </c>
      <c r="H95" s="532">
        <f>Tabla1[[#This Row],[Rasimos Cosechados]]</f>
        <v>0</v>
      </c>
      <c r="I95" s="532">
        <f>Tabla1[[#This Row],[Rasimos Prosesados]]</f>
        <v>0</v>
      </c>
      <c r="J95" s="532">
        <f>Tabla1[[#This Row],[Rasimos Rechasados]]</f>
        <v>0</v>
      </c>
      <c r="K95" s="533">
        <f>Tabla1[[#This Row],[PRECIO CAJA]]</f>
        <v>1500</v>
      </c>
      <c r="L95" s="534">
        <f>Tabla1[[#This Row],[PRECIO BOLSA]]</f>
        <v>500</v>
      </c>
      <c r="M95" s="533">
        <f>Tabla1[[#This Row],[PRODUCIDO CAJA]]</f>
        <v>504000</v>
      </c>
      <c r="N95" s="534">
        <f>Tabla1[[#This Row],[PRODUCIDO BOLSAS]]</f>
        <v>38500</v>
      </c>
      <c r="O95" s="533">
        <f>Tabla1[[#This Row],[TOTAL PRODUCIDO]]</f>
        <v>542500</v>
      </c>
      <c r="P95" s="534">
        <f>Tabla1[[#This Row],[Valor Pagado]]</f>
        <v>542500</v>
      </c>
      <c r="Q95" s="535">
        <f>Tabla1[[#This Row],[COEFICIENTE]]</f>
        <v>1.0637254901960784</v>
      </c>
      <c r="R95" s="534">
        <f>Tabla1[[#This Row],[Precio Caja2]]</f>
        <v>1500</v>
      </c>
      <c r="S95" s="536">
        <f>Tabla1[[#This Row],[VALOR GANADO]]</f>
        <v>31911.764705882353</v>
      </c>
      <c r="T95" s="537">
        <f>Tabla1[[#This Row],[VALOR  A PAGAR]]</f>
        <v>31911.764705882353</v>
      </c>
      <c r="U95" s="41">
        <f>Tabla1[[#This Row],[Columna1]]</f>
        <v>0</v>
      </c>
    </row>
    <row r="96" spans="2:21" ht="15.75" x14ac:dyDescent="0.25">
      <c r="B96" s="29">
        <f>Tabla1[[#This Row],[FECHA]]</f>
        <v>44432</v>
      </c>
      <c r="C96" s="26">
        <f>_xlfn.ISOWEEKNUM('CAJAS ELABORADAS'!$C96)</f>
        <v>34</v>
      </c>
      <c r="D96" s="27" t="str">
        <f>Tabla1[[#This Row],[FINCA]]</f>
        <v>UVEROS</v>
      </c>
      <c r="E96" s="531">
        <f>Tabla1[[#This Row],[Cajas Elaboradas]]</f>
        <v>74</v>
      </c>
      <c r="F96" s="26">
        <f>Tabla1[[#This Row],[Bolsas Elaboradas]]</f>
        <v>21</v>
      </c>
      <c r="G96" s="26">
        <f>Tabla1[[#This Row],[N° DE PERSONAS EN EL EMBARQUE]]</f>
        <v>5</v>
      </c>
      <c r="H96" s="532">
        <f>Tabla1[[#This Row],[Rasimos Cosechados]]</f>
        <v>0</v>
      </c>
      <c r="I96" s="532">
        <f>Tabla1[[#This Row],[Rasimos Prosesados]]</f>
        <v>0</v>
      </c>
      <c r="J96" s="532">
        <f>Tabla1[[#This Row],[Rasimos Rechasados]]</f>
        <v>0</v>
      </c>
      <c r="K96" s="533">
        <f>Tabla1[[#This Row],[PRECIO CAJA]]</f>
        <v>1500</v>
      </c>
      <c r="L96" s="534">
        <f>Tabla1[[#This Row],[PRECIO BOLSA]]</f>
        <v>500</v>
      </c>
      <c r="M96" s="533">
        <f>Tabla1[[#This Row],[PRODUCIDO CAJA]]</f>
        <v>111000</v>
      </c>
      <c r="N96" s="534">
        <f>Tabla1[[#This Row],[PRODUCIDO BOLSAS]]</f>
        <v>10500</v>
      </c>
      <c r="O96" s="533">
        <f>Tabla1[[#This Row],[TOTAL PRODUCIDO]]</f>
        <v>121500</v>
      </c>
      <c r="P96" s="534">
        <f>Tabla1[[#This Row],[Valor Pagado]]</f>
        <v>150000</v>
      </c>
      <c r="Q96" s="535">
        <f>Tabla1[[#This Row],[COEFICIENTE]]</f>
        <v>1</v>
      </c>
      <c r="R96" s="534">
        <f>Tabla1[[#This Row],[Precio Caja2]]</f>
        <v>1885.1351351351352</v>
      </c>
      <c r="S96" s="536">
        <f>Tabla1[[#This Row],[VALOR GANADO]]</f>
        <v>24300</v>
      </c>
      <c r="T96" s="537">
        <f>Tabla1[[#This Row],[VALOR  A PAGAR]]</f>
        <v>30000</v>
      </c>
      <c r="U96" s="41">
        <f>Tabla1[[#This Row],[Columna1]]</f>
        <v>5700</v>
      </c>
    </row>
    <row r="97" spans="2:21" ht="15.75" x14ac:dyDescent="0.25">
      <c r="B97" s="29">
        <f>Tabla1[[#This Row],[FECHA]]</f>
        <v>44433</v>
      </c>
      <c r="C97" s="26">
        <f>_xlfn.ISOWEEKNUM('CAJAS ELABORADAS'!$C97)</f>
        <v>34</v>
      </c>
      <c r="D97" s="27" t="str">
        <f>Tabla1[[#This Row],[FINCA]]</f>
        <v>SAN PEDRO</v>
      </c>
      <c r="E97" s="531">
        <f>Tabla1[[#This Row],[Cajas Elaboradas]]</f>
        <v>214</v>
      </c>
      <c r="F97" s="26">
        <f>Tabla1[[#This Row],[Bolsas Elaboradas]]</f>
        <v>28</v>
      </c>
      <c r="G97" s="26">
        <f>Tabla1[[#This Row],[N° DE PERSONAS EN EL EMBARQUE]]</f>
        <v>13</v>
      </c>
      <c r="H97" s="532">
        <f>Tabla1[[#This Row],[Rasimos Cosechados]]</f>
        <v>0</v>
      </c>
      <c r="I97" s="532">
        <f>Tabla1[[#This Row],[Rasimos Prosesados]]</f>
        <v>0</v>
      </c>
      <c r="J97" s="532">
        <f>Tabla1[[#This Row],[Rasimos Rechasados]]</f>
        <v>0</v>
      </c>
      <c r="K97" s="533">
        <f>Tabla1[[#This Row],[PRECIO CAJA]]</f>
        <v>1500</v>
      </c>
      <c r="L97" s="534">
        <f>Tabla1[[#This Row],[PRECIO BOLSA]]</f>
        <v>500</v>
      </c>
      <c r="M97" s="533">
        <f>Tabla1[[#This Row],[PRODUCIDO CAJA]]</f>
        <v>321000</v>
      </c>
      <c r="N97" s="534">
        <f>Tabla1[[#This Row],[PRODUCIDO BOLSAS]]</f>
        <v>14000</v>
      </c>
      <c r="O97" s="533">
        <f>Tabla1[[#This Row],[TOTAL PRODUCIDO]]</f>
        <v>335000</v>
      </c>
      <c r="P97" s="534">
        <f>Tabla1[[#This Row],[Valor Pagado]]</f>
        <v>390000</v>
      </c>
      <c r="Q97" s="535">
        <f>Tabla1[[#This Row],[COEFICIENTE]]</f>
        <v>1</v>
      </c>
      <c r="R97" s="534">
        <f>Tabla1[[#This Row],[Precio Caja2]]</f>
        <v>1757.0093457943926</v>
      </c>
      <c r="S97" s="536">
        <f>Tabla1[[#This Row],[VALOR GANADO]]</f>
        <v>25769.23076923077</v>
      </c>
      <c r="T97" s="537">
        <f>Tabla1[[#This Row],[VALOR  A PAGAR]]</f>
        <v>30000</v>
      </c>
      <c r="U97" s="41">
        <f>Tabla1[[#This Row],[Columna1]]</f>
        <v>4230.7692307692305</v>
      </c>
    </row>
    <row r="98" spans="2:21" ht="15.75" x14ac:dyDescent="0.25">
      <c r="B98" s="29">
        <f>Tabla1[[#This Row],[FECHA]]</f>
        <v>44433</v>
      </c>
      <c r="C98" s="26">
        <f>_xlfn.ISOWEEKNUM('CAJAS ELABORADAS'!$C98)</f>
        <v>34</v>
      </c>
      <c r="D98" s="27" t="str">
        <f>Tabla1[[#This Row],[FINCA]]</f>
        <v>DAMAQUIEL</v>
      </c>
      <c r="E98" s="531">
        <f>Tabla1[[#This Row],[Cajas Elaboradas]]</f>
        <v>150</v>
      </c>
      <c r="F98" s="26">
        <f>Tabla1[[#This Row],[Bolsas Elaboradas]]</f>
        <v>58.2</v>
      </c>
      <c r="G98" s="26">
        <f>Tabla1[[#This Row],[N° DE PERSONAS EN EL EMBARQUE]]</f>
        <v>9</v>
      </c>
      <c r="H98" s="532">
        <f>Tabla1[[#This Row],[Rasimos Cosechados]]</f>
        <v>0</v>
      </c>
      <c r="I98" s="532">
        <f>Tabla1[[#This Row],[Rasimos Prosesados]]</f>
        <v>0</v>
      </c>
      <c r="J98" s="532">
        <f>Tabla1[[#This Row],[Rasimos Rechasados]]</f>
        <v>0</v>
      </c>
      <c r="K98" s="533">
        <f>Tabla1[[#This Row],[PRECIO CAJA]]</f>
        <v>1500</v>
      </c>
      <c r="L98" s="534">
        <f>Tabla1[[#This Row],[PRECIO BOLSA]]</f>
        <v>500</v>
      </c>
      <c r="M98" s="533">
        <f>Tabla1[[#This Row],[PRODUCIDO CAJA]]</f>
        <v>225000</v>
      </c>
      <c r="N98" s="534">
        <f>Tabla1[[#This Row],[PRODUCIDO BOLSAS]]</f>
        <v>29100</v>
      </c>
      <c r="O98" s="533">
        <f>Tabla1[[#This Row],[TOTAL PRODUCIDO]]</f>
        <v>254100</v>
      </c>
      <c r="P98" s="534">
        <f>Tabla1[[#This Row],[Valor Pagado]]</f>
        <v>270000</v>
      </c>
      <c r="Q98" s="535">
        <f>Tabla1[[#This Row],[COEFICIENTE]]</f>
        <v>1</v>
      </c>
      <c r="R98" s="534">
        <f>Tabla1[[#This Row],[Precio Caja2]]</f>
        <v>1606</v>
      </c>
      <c r="S98" s="536">
        <f>Tabla1[[#This Row],[VALOR GANADO]]</f>
        <v>28233.333333333332</v>
      </c>
      <c r="T98" s="537">
        <f>Tabla1[[#This Row],[VALOR  A PAGAR]]</f>
        <v>30000</v>
      </c>
      <c r="U98" s="41">
        <f>Tabla1[[#This Row],[Columna1]]</f>
        <v>1766.6666666666679</v>
      </c>
    </row>
    <row r="99" spans="2:21" ht="15.75" x14ac:dyDescent="0.25">
      <c r="B99" s="29">
        <f>Tabla1[[#This Row],[FECHA]]</f>
        <v>44434</v>
      </c>
      <c r="C99" s="26">
        <f>_xlfn.ISOWEEKNUM('CAJAS ELABORADAS'!$C99)</f>
        <v>34</v>
      </c>
      <c r="D99" s="27" t="str">
        <f>Tabla1[[#This Row],[FINCA]]</f>
        <v>PEDRITO</v>
      </c>
      <c r="E99" s="531">
        <f>Tabla1[[#This Row],[Cajas Elaboradas]]</f>
        <v>167</v>
      </c>
      <c r="F99" s="26">
        <f>Tabla1[[#This Row],[Bolsas Elaboradas]]</f>
        <v>72</v>
      </c>
      <c r="G99" s="26">
        <f>Tabla1[[#This Row],[N° DE PERSONAS EN EL EMBARQUE]]</f>
        <v>15</v>
      </c>
      <c r="H99" s="532">
        <f>Tabla1[[#This Row],[Rasimos Cosechados]]</f>
        <v>0</v>
      </c>
      <c r="I99" s="532">
        <f>Tabla1[[#This Row],[Rasimos Prosesados]]</f>
        <v>0</v>
      </c>
      <c r="J99" s="532">
        <f>Tabla1[[#This Row],[Rasimos Rechasados]]</f>
        <v>0</v>
      </c>
      <c r="K99" s="533">
        <f>Tabla1[[#This Row],[PRECIO CAJA]]</f>
        <v>3000</v>
      </c>
      <c r="L99" s="534">
        <f>Tabla1[[#This Row],[PRECIO BOLSA]]</f>
        <v>500</v>
      </c>
      <c r="M99" s="533">
        <f>Tabla1[[#This Row],[PRODUCIDO CAJA]]</f>
        <v>501000</v>
      </c>
      <c r="N99" s="534">
        <f>Tabla1[[#This Row],[PRODUCIDO BOLSAS]]</f>
        <v>36000</v>
      </c>
      <c r="O99" s="533">
        <f>Tabla1[[#This Row],[TOTAL PRODUCIDO]]</f>
        <v>537000</v>
      </c>
      <c r="P99" s="534">
        <f>Tabla1[[#This Row],[Valor Pagado]]</f>
        <v>537000</v>
      </c>
      <c r="Q99" s="535">
        <f>Tabla1[[#This Row],[COEFICIENTE]]</f>
        <v>1.1933333333333334</v>
      </c>
      <c r="R99" s="534">
        <f>Tabla1[[#This Row],[Precio Caja2]]</f>
        <v>3000</v>
      </c>
      <c r="S99" s="536">
        <f>Tabla1[[#This Row],[VALOR GANADO]]</f>
        <v>35800</v>
      </c>
      <c r="T99" s="537">
        <f>Tabla1[[#This Row],[VALOR  A PAGAR]]</f>
        <v>35800</v>
      </c>
      <c r="U99" s="41">
        <f>Tabla1[[#This Row],[Columna1]]</f>
        <v>0</v>
      </c>
    </row>
    <row r="100" spans="2:21" ht="15.75" x14ac:dyDescent="0.25">
      <c r="B100" s="29">
        <f>Tabla1[[#This Row],[FECHA]]</f>
        <v>44439</v>
      </c>
      <c r="C100" s="26">
        <f>_xlfn.ISOWEEKNUM('CAJAS ELABORADAS'!$C100)</f>
        <v>35</v>
      </c>
      <c r="D100" s="27" t="str">
        <f>Tabla1[[#This Row],[FINCA]]</f>
        <v>SAN PEDRO</v>
      </c>
      <c r="E100" s="531">
        <f>Tabla1[[#This Row],[Cajas Elaboradas]]</f>
        <v>300</v>
      </c>
      <c r="F100" s="26">
        <f>Tabla1[[#This Row],[Bolsas Elaboradas]]</f>
        <v>0</v>
      </c>
      <c r="G100" s="26">
        <f>Tabla1[[#This Row],[N° DE PERSONAS EN EL EMBARQUE]]</f>
        <v>18</v>
      </c>
      <c r="H100" s="532">
        <f>Tabla1[[#This Row],[Rasimos Cosechados]]</f>
        <v>0</v>
      </c>
      <c r="I100" s="532">
        <f>Tabla1[[#This Row],[Rasimos Prosesados]]</f>
        <v>0</v>
      </c>
      <c r="J100" s="532">
        <f>Tabla1[[#This Row],[Rasimos Rechasados]]</f>
        <v>0</v>
      </c>
      <c r="K100" s="533">
        <f>Tabla1[[#This Row],[PRECIO CAJA]]</f>
        <v>1500</v>
      </c>
      <c r="L100" s="534">
        <f>Tabla1[[#This Row],[PRECIO BOLSA]]</f>
        <v>0</v>
      </c>
      <c r="M100" s="533">
        <f>Tabla1[[#This Row],[PRODUCIDO CAJA]]</f>
        <v>450000</v>
      </c>
      <c r="N100" s="534">
        <f>Tabla1[[#This Row],[PRODUCIDO BOLSAS]]</f>
        <v>0</v>
      </c>
      <c r="O100" s="533">
        <f>Tabla1[[#This Row],[TOTAL PRODUCIDO]]</f>
        <v>450000</v>
      </c>
      <c r="P100" s="534">
        <f>Tabla1[[#This Row],[Valor Pagado]]</f>
        <v>540000</v>
      </c>
      <c r="Q100" s="535">
        <f>Tabla1[[#This Row],[COEFICIENTE]]</f>
        <v>1</v>
      </c>
      <c r="R100" s="534">
        <f>Tabla1[[#This Row],[Precio Caja2]]</f>
        <v>1800</v>
      </c>
      <c r="S100" s="536">
        <f>Tabla1[[#This Row],[VALOR GANADO]]</f>
        <v>25000</v>
      </c>
      <c r="T100" s="537">
        <f>Tabla1[[#This Row],[VALOR  A PAGAR]]</f>
        <v>30000</v>
      </c>
      <c r="U100" s="41">
        <f>Tabla1[[#This Row],[Columna1]]</f>
        <v>5000</v>
      </c>
    </row>
    <row r="101" spans="2:21" ht="15.75" x14ac:dyDescent="0.25">
      <c r="B101" s="29">
        <f>Tabla1[[#This Row],[FECHA]]</f>
        <v>44439</v>
      </c>
      <c r="C101" s="26">
        <f>_xlfn.ISOWEEKNUM('CAJAS ELABORADAS'!$C101)</f>
        <v>35</v>
      </c>
      <c r="D101" s="27" t="str">
        <f>Tabla1[[#This Row],[FINCA]]</f>
        <v>DAMAQUIEL</v>
      </c>
      <c r="E101" s="531">
        <f>Tabla1[[#This Row],[Cajas Elaboradas]]</f>
        <v>100</v>
      </c>
      <c r="F101" s="26">
        <f>Tabla1[[#This Row],[Bolsas Elaboradas]]</f>
        <v>43</v>
      </c>
      <c r="G101" s="26">
        <f>Tabla1[[#This Row],[N° DE PERSONAS EN EL EMBARQUE]]</f>
        <v>7</v>
      </c>
      <c r="H101" s="532">
        <f>Tabla1[[#This Row],[Rasimos Cosechados]]</f>
        <v>0</v>
      </c>
      <c r="I101" s="532">
        <f>Tabla1[[#This Row],[Rasimos Prosesados]]</f>
        <v>0</v>
      </c>
      <c r="J101" s="532">
        <f>Tabla1[[#This Row],[Rasimos Rechasados]]</f>
        <v>0</v>
      </c>
      <c r="K101" s="533">
        <f>Tabla1[[#This Row],[PRECIO CAJA]]</f>
        <v>1500</v>
      </c>
      <c r="L101" s="534">
        <f>Tabla1[[#This Row],[PRECIO BOLSA]]</f>
        <v>500</v>
      </c>
      <c r="M101" s="533">
        <f>Tabla1[[#This Row],[PRODUCIDO CAJA]]</f>
        <v>150000</v>
      </c>
      <c r="N101" s="534">
        <f>Tabla1[[#This Row],[PRODUCIDO BOLSAS]]</f>
        <v>21500</v>
      </c>
      <c r="O101" s="533">
        <f>Tabla1[[#This Row],[TOTAL PRODUCIDO]]</f>
        <v>171500</v>
      </c>
      <c r="P101" s="534">
        <f>Tabla1[[#This Row],[Valor Pagado]]</f>
        <v>210000</v>
      </c>
      <c r="Q101" s="535">
        <f>Tabla1[[#This Row],[COEFICIENTE]]</f>
        <v>1</v>
      </c>
      <c r="R101" s="534">
        <f>Tabla1[[#This Row],[Precio Caja2]]</f>
        <v>1885</v>
      </c>
      <c r="S101" s="536">
        <f>Tabla1[[#This Row],[VALOR GANADO]]</f>
        <v>24500</v>
      </c>
      <c r="T101" s="537">
        <f>Tabla1[[#This Row],[VALOR  A PAGAR]]</f>
        <v>30000</v>
      </c>
      <c r="U101" s="41">
        <f>Tabla1[[#This Row],[Columna1]]</f>
        <v>5500</v>
      </c>
    </row>
    <row r="102" spans="2:21" ht="15.75" x14ac:dyDescent="0.25">
      <c r="B102" s="29">
        <f>Tabla1[[#This Row],[FECHA]]</f>
        <v>44440</v>
      </c>
      <c r="C102" s="26">
        <f>_xlfn.ISOWEEKNUM('CAJAS ELABORADAS'!$C102)</f>
        <v>35</v>
      </c>
      <c r="D102" s="27" t="str">
        <f>Tabla1[[#This Row],[FINCA]]</f>
        <v>SAN PEDRO</v>
      </c>
      <c r="E102" s="531">
        <f>Tabla1[[#This Row],[Cajas Elaboradas]]</f>
        <v>210</v>
      </c>
      <c r="F102" s="26">
        <f>Tabla1[[#This Row],[Bolsas Elaboradas]]</f>
        <v>30</v>
      </c>
      <c r="G102" s="26">
        <f>Tabla1[[#This Row],[N° DE PERSONAS EN EL EMBARQUE]]</f>
        <v>12</v>
      </c>
      <c r="H102" s="532">
        <f>Tabla1[[#This Row],[Rasimos Cosechados]]</f>
        <v>1574</v>
      </c>
      <c r="I102" s="532">
        <f>Tabla1[[#This Row],[Rasimos Prosesados]]</f>
        <v>1265</v>
      </c>
      <c r="J102" s="532">
        <f>Tabla1[[#This Row],[Rasimos Rechasados]]</f>
        <v>309</v>
      </c>
      <c r="K102" s="533">
        <f>Tabla1[[#This Row],[PRECIO CAJA]]</f>
        <v>1500</v>
      </c>
      <c r="L102" s="534">
        <f>Tabla1[[#This Row],[PRECIO BOLSA]]</f>
        <v>500</v>
      </c>
      <c r="M102" s="533">
        <f>Tabla1[[#This Row],[PRODUCIDO CAJA]]</f>
        <v>315000</v>
      </c>
      <c r="N102" s="534">
        <f>Tabla1[[#This Row],[PRODUCIDO BOLSAS]]</f>
        <v>15000</v>
      </c>
      <c r="O102" s="533">
        <f>Tabla1[[#This Row],[TOTAL PRODUCIDO]]</f>
        <v>330000</v>
      </c>
      <c r="P102" s="534">
        <f>Tabla1[[#This Row],[Valor Pagado]]</f>
        <v>360000</v>
      </c>
      <c r="Q102" s="535">
        <f>Tabla1[[#This Row],[COEFICIENTE]]</f>
        <v>1</v>
      </c>
      <c r="R102" s="534">
        <f>Tabla1[[#This Row],[Precio Caja2]]</f>
        <v>1642.8571428571429</v>
      </c>
      <c r="S102" s="536">
        <f>Tabla1[[#This Row],[VALOR GANADO]]</f>
        <v>27500</v>
      </c>
      <c r="T102" s="537">
        <f>Tabla1[[#This Row],[VALOR  A PAGAR]]</f>
        <v>30000</v>
      </c>
      <c r="U102" s="41">
        <f>Tabla1[[#This Row],[Columna1]]</f>
        <v>2500</v>
      </c>
    </row>
    <row r="103" spans="2:21" ht="15.75" x14ac:dyDescent="0.25">
      <c r="B103" s="29">
        <f>Tabla1[[#This Row],[FECHA]]</f>
        <v>44440</v>
      </c>
      <c r="C103" s="26">
        <f>_xlfn.ISOWEEKNUM('CAJAS ELABORADAS'!$C103)</f>
        <v>35</v>
      </c>
      <c r="D103" s="27" t="str">
        <f>Tabla1[[#This Row],[FINCA]]</f>
        <v>UVEROS</v>
      </c>
      <c r="E103" s="531">
        <f>Tabla1[[#This Row],[Cajas Elaboradas]]</f>
        <v>101</v>
      </c>
      <c r="F103" s="26">
        <f>Tabla1[[#This Row],[Bolsas Elaboradas]]</f>
        <v>21</v>
      </c>
      <c r="G103" s="26">
        <f>Tabla1[[#This Row],[N° DE PERSONAS EN EL EMBARQUE]]</f>
        <v>6</v>
      </c>
      <c r="H103" s="532">
        <f>Tabla1[[#This Row],[Rasimos Cosechados]]</f>
        <v>0</v>
      </c>
      <c r="I103" s="532">
        <f>Tabla1[[#This Row],[Rasimos Prosesados]]</f>
        <v>0</v>
      </c>
      <c r="J103" s="532">
        <f>Tabla1[[#This Row],[Rasimos Rechasados]]</f>
        <v>0</v>
      </c>
      <c r="K103" s="533">
        <f>Tabla1[[#This Row],[PRECIO CAJA]]</f>
        <v>1500</v>
      </c>
      <c r="L103" s="534">
        <f>Tabla1[[#This Row],[PRECIO BOLSA]]</f>
        <v>500</v>
      </c>
      <c r="M103" s="533">
        <f>Tabla1[[#This Row],[PRODUCIDO CAJA]]</f>
        <v>151500</v>
      </c>
      <c r="N103" s="534">
        <f>Tabla1[[#This Row],[PRODUCIDO BOLSAS]]</f>
        <v>10500</v>
      </c>
      <c r="O103" s="533">
        <f>Tabla1[[#This Row],[TOTAL PRODUCIDO]]</f>
        <v>162000</v>
      </c>
      <c r="P103" s="534">
        <f>Tabla1[[#This Row],[Valor Pagado]]</f>
        <v>180000</v>
      </c>
      <c r="Q103" s="535">
        <f>Tabla1[[#This Row],[COEFICIENTE]]</f>
        <v>1</v>
      </c>
      <c r="R103" s="534">
        <f>Tabla1[[#This Row],[Precio Caja2]]</f>
        <v>1678.2178217821781</v>
      </c>
      <c r="S103" s="536">
        <f>Tabla1[[#This Row],[VALOR GANADO]]</f>
        <v>27000</v>
      </c>
      <c r="T103" s="537">
        <f>Tabla1[[#This Row],[VALOR  A PAGAR]]</f>
        <v>30000</v>
      </c>
      <c r="U103" s="41">
        <f>Tabla1[[#This Row],[Columna1]]</f>
        <v>3000</v>
      </c>
    </row>
    <row r="104" spans="2:21" ht="15.75" x14ac:dyDescent="0.25">
      <c r="B104" s="29">
        <f>Tabla1[[#This Row],[FECHA]]</f>
        <v>44446</v>
      </c>
      <c r="C104" s="26">
        <f>_xlfn.ISOWEEKNUM('CAJAS ELABORADAS'!$C104)</f>
        <v>36</v>
      </c>
      <c r="D104" s="27" t="str">
        <f>Tabla1[[#This Row],[FINCA]]</f>
        <v>UVEROS</v>
      </c>
      <c r="E104" s="531">
        <f>Tabla1[[#This Row],[Cajas Elaboradas]]</f>
        <v>101</v>
      </c>
      <c r="F104" s="26">
        <f>Tabla1[[#This Row],[Bolsas Elaboradas]]</f>
        <v>21</v>
      </c>
      <c r="G104" s="26">
        <f>Tabla1[[#This Row],[N° DE PERSONAS EN EL EMBARQUE]]</f>
        <v>7</v>
      </c>
      <c r="H104" s="532">
        <f>Tabla1[[#This Row],[Rasimos Cosechados]]</f>
        <v>0</v>
      </c>
      <c r="I104" s="532">
        <f>Tabla1[[#This Row],[Rasimos Prosesados]]</f>
        <v>0</v>
      </c>
      <c r="J104" s="532">
        <f>Tabla1[[#This Row],[Rasimos Rechasados]]</f>
        <v>0</v>
      </c>
      <c r="K104" s="533">
        <f>Tabla1[[#This Row],[PRECIO CAJA]]</f>
        <v>1500</v>
      </c>
      <c r="L104" s="534">
        <f>Tabla1[[#This Row],[PRECIO BOLSA]]</f>
        <v>500</v>
      </c>
      <c r="M104" s="533">
        <f>Tabla1[[#This Row],[PRODUCIDO CAJA]]</f>
        <v>151500</v>
      </c>
      <c r="N104" s="534">
        <f>Tabla1[[#This Row],[PRODUCIDO BOLSAS]]</f>
        <v>10500</v>
      </c>
      <c r="O104" s="533">
        <f>Tabla1[[#This Row],[TOTAL PRODUCIDO]]</f>
        <v>162000</v>
      </c>
      <c r="P104" s="534">
        <f>Tabla1[[#This Row],[Valor Pagado]]</f>
        <v>210000</v>
      </c>
      <c r="Q104" s="535">
        <f>Tabla1[[#This Row],[COEFICIENTE]]</f>
        <v>1</v>
      </c>
      <c r="R104" s="534">
        <f>Tabla1[[#This Row],[Precio Caja2]]</f>
        <v>1975.2475247524753</v>
      </c>
      <c r="S104" s="536">
        <f>Tabla1[[#This Row],[VALOR GANADO]]</f>
        <v>23142.857142857141</v>
      </c>
      <c r="T104" s="537">
        <f>Tabla1[[#This Row],[VALOR  A PAGAR]]</f>
        <v>30000</v>
      </c>
      <c r="U104" s="41">
        <f>Tabla1[[#This Row],[Columna1]]</f>
        <v>6857.1428571428587</v>
      </c>
    </row>
    <row r="105" spans="2:21" ht="15.75" x14ac:dyDescent="0.25">
      <c r="B105" s="29">
        <f>Tabla1[[#This Row],[FECHA]]</f>
        <v>44446</v>
      </c>
      <c r="C105" s="26">
        <f>_xlfn.ISOWEEKNUM('CAJAS ELABORADAS'!$C105)</f>
        <v>36</v>
      </c>
      <c r="D105" s="27" t="str">
        <f>Tabla1[[#This Row],[FINCA]]</f>
        <v>SAN PEDRO</v>
      </c>
      <c r="E105" s="531">
        <f>Tabla1[[#This Row],[Cajas Elaboradas]]</f>
        <v>397</v>
      </c>
      <c r="F105" s="26">
        <f>Tabla1[[#This Row],[Bolsas Elaboradas]]</f>
        <v>37</v>
      </c>
      <c r="G105" s="26">
        <f>Tabla1[[#This Row],[N° DE PERSONAS EN EL EMBARQUE]]</f>
        <v>20</v>
      </c>
      <c r="H105" s="532">
        <f>Tabla1[[#This Row],[Rasimos Cosechados]]</f>
        <v>1252</v>
      </c>
      <c r="I105" s="532">
        <f>Tabla1[[#This Row],[Rasimos Prosesados]]</f>
        <v>1242</v>
      </c>
      <c r="J105" s="532">
        <f>Tabla1[[#This Row],[Rasimos Rechasados]]</f>
        <v>10</v>
      </c>
      <c r="K105" s="533">
        <f>Tabla1[[#This Row],[PRECIO CAJA]]</f>
        <v>1500</v>
      </c>
      <c r="L105" s="534">
        <f>Tabla1[[#This Row],[PRECIO BOLSA]]</f>
        <v>500</v>
      </c>
      <c r="M105" s="533">
        <f>Tabla1[[#This Row],[PRODUCIDO CAJA]]</f>
        <v>595500</v>
      </c>
      <c r="N105" s="534">
        <f>Tabla1[[#This Row],[PRODUCIDO BOLSAS]]</f>
        <v>18500</v>
      </c>
      <c r="O105" s="533">
        <f>Tabla1[[#This Row],[TOTAL PRODUCIDO]]</f>
        <v>614000</v>
      </c>
      <c r="P105" s="534">
        <f>Tabla1[[#This Row],[Valor Pagado]]</f>
        <v>614000</v>
      </c>
      <c r="Q105" s="535">
        <f>Tabla1[[#This Row],[COEFICIENTE]]</f>
        <v>1.0233333333333334</v>
      </c>
      <c r="R105" s="534">
        <f>Tabla1[[#This Row],[Precio Caja2]]</f>
        <v>1500</v>
      </c>
      <c r="S105" s="536">
        <f>Tabla1[[#This Row],[VALOR GANADO]]</f>
        <v>30700</v>
      </c>
      <c r="T105" s="537">
        <f>Tabla1[[#This Row],[VALOR  A PAGAR]]</f>
        <v>30700</v>
      </c>
      <c r="U105" s="41">
        <f>Tabla1[[#This Row],[Columna1]]</f>
        <v>0</v>
      </c>
    </row>
    <row r="106" spans="2:21" ht="15.75" x14ac:dyDescent="0.25">
      <c r="B106" s="29">
        <f>Tabla1[[#This Row],[FECHA]]</f>
        <v>44447</v>
      </c>
      <c r="C106" s="26">
        <f>_xlfn.ISOWEEKNUM('CAJAS ELABORADAS'!$C106)</f>
        <v>36</v>
      </c>
      <c r="D106" s="27" t="str">
        <f>Tabla1[[#This Row],[FINCA]]</f>
        <v>SAN PEDRO</v>
      </c>
      <c r="E106" s="531">
        <f>Tabla1[[#This Row],[Cajas Elaboradas]]</f>
        <v>128</v>
      </c>
      <c r="F106" s="26">
        <f>Tabla1[[#This Row],[Bolsas Elaboradas]]</f>
        <v>37</v>
      </c>
      <c r="G106" s="26">
        <f>Tabla1[[#This Row],[N° DE PERSONAS EN EL EMBARQUE]]</f>
        <v>14</v>
      </c>
      <c r="H106" s="532">
        <f>Tabla1[[#This Row],[Rasimos Cosechados]]</f>
        <v>358</v>
      </c>
      <c r="I106" s="532">
        <f>Tabla1[[#This Row],[Rasimos Prosesados]]</f>
        <v>340</v>
      </c>
      <c r="J106" s="532">
        <f>Tabla1[[#This Row],[Rasimos Rechasados]]</f>
        <v>18</v>
      </c>
      <c r="K106" s="533">
        <f>Tabla1[[#This Row],[PRECIO CAJA]]</f>
        <v>1500</v>
      </c>
      <c r="L106" s="534">
        <f>Tabla1[[#This Row],[PRECIO BOLSA]]</f>
        <v>500</v>
      </c>
      <c r="M106" s="533">
        <f>Tabla1[[#This Row],[PRODUCIDO CAJA]]</f>
        <v>192000</v>
      </c>
      <c r="N106" s="534">
        <f>Tabla1[[#This Row],[PRODUCIDO BOLSAS]]</f>
        <v>18500</v>
      </c>
      <c r="O106" s="533">
        <f>Tabla1[[#This Row],[TOTAL PRODUCIDO]]</f>
        <v>210500</v>
      </c>
      <c r="P106" s="534">
        <f>Tabla1[[#This Row],[Valor Pagado]]</f>
        <v>420000</v>
      </c>
      <c r="Q106" s="535">
        <f>Tabla1[[#This Row],[COEFICIENTE]]</f>
        <v>1</v>
      </c>
      <c r="R106" s="534">
        <f>Tabla1[[#This Row],[Precio Caja2]]</f>
        <v>3136.71875</v>
      </c>
      <c r="S106" s="536">
        <f>Tabla1[[#This Row],[VALOR GANADO]]</f>
        <v>15035.714285714286</v>
      </c>
      <c r="T106" s="537">
        <f>Tabla1[[#This Row],[VALOR  A PAGAR]]</f>
        <v>30000</v>
      </c>
      <c r="U106" s="41">
        <f>Tabla1[[#This Row],[Columna1]]</f>
        <v>14964.285714285714</v>
      </c>
    </row>
    <row r="107" spans="2:21" ht="15.75" x14ac:dyDescent="0.25">
      <c r="B107" s="29">
        <f>Tabla1[[#This Row],[FECHA]]</f>
        <v>44441</v>
      </c>
      <c r="C107" s="26">
        <f>_xlfn.ISOWEEKNUM('CAJAS ELABORADAS'!$C107)</f>
        <v>35</v>
      </c>
      <c r="D107" s="27" t="str">
        <f>Tabla1[[#This Row],[FINCA]]</f>
        <v>PEDRITO</v>
      </c>
      <c r="E107" s="531">
        <f>Tabla1[[#This Row],[Cajas Elaboradas]]</f>
        <v>121</v>
      </c>
      <c r="F107" s="26">
        <f>Tabla1[[#This Row],[Bolsas Elaboradas]]</f>
        <v>0</v>
      </c>
      <c r="G107" s="26">
        <f>Tabla1[[#This Row],[N° DE PERSONAS EN EL EMBARQUE]]</f>
        <v>19</v>
      </c>
      <c r="H107" s="532">
        <f>Tabla1[[#This Row],[Rasimos Cosechados]]</f>
        <v>0</v>
      </c>
      <c r="I107" s="532">
        <f>Tabla1[[#This Row],[Rasimos Prosesados]]</f>
        <v>0</v>
      </c>
      <c r="J107" s="532">
        <f>Tabla1[[#This Row],[Rasimos Rechasados]]</f>
        <v>0</v>
      </c>
      <c r="K107" s="533">
        <f>Tabla1[[#This Row],[PRECIO CAJA]]</f>
        <v>3000</v>
      </c>
      <c r="L107" s="534">
        <f>Tabla1[[#This Row],[PRECIO BOLSA]]</f>
        <v>0</v>
      </c>
      <c r="M107" s="533">
        <f>Tabla1[[#This Row],[PRODUCIDO CAJA]]</f>
        <v>363000</v>
      </c>
      <c r="N107" s="534">
        <f>Tabla1[[#This Row],[PRODUCIDO BOLSAS]]</f>
        <v>0</v>
      </c>
      <c r="O107" s="533">
        <f>Tabla1[[#This Row],[TOTAL PRODUCIDO]]</f>
        <v>363000</v>
      </c>
      <c r="P107" s="534">
        <f>Tabla1[[#This Row],[Valor Pagado]]</f>
        <v>570000</v>
      </c>
      <c r="Q107" s="535">
        <f>Tabla1[[#This Row],[COEFICIENTE]]</f>
        <v>1</v>
      </c>
      <c r="R107" s="534">
        <f>Tabla1[[#This Row],[Precio Caja2]]</f>
        <v>4710.7438016528922</v>
      </c>
      <c r="S107" s="536">
        <f>Tabla1[[#This Row],[VALOR GANADO]]</f>
        <v>19105.263157894737</v>
      </c>
      <c r="T107" s="537">
        <f>Tabla1[[#This Row],[VALOR  A PAGAR]]</f>
        <v>30000</v>
      </c>
      <c r="U107" s="41">
        <f>Tabla1[[#This Row],[Columna1]]</f>
        <v>10894.736842105263</v>
      </c>
    </row>
    <row r="108" spans="2:21" ht="15.75" x14ac:dyDescent="0.25">
      <c r="B108" s="29">
        <f>Tabla1[[#This Row],[FECHA]]</f>
        <v>44442</v>
      </c>
      <c r="C108" s="26">
        <f>_xlfn.ISOWEEKNUM('CAJAS ELABORADAS'!$C108)</f>
        <v>35</v>
      </c>
      <c r="D108" s="27" t="str">
        <f>Tabla1[[#This Row],[FINCA]]</f>
        <v>PEDRITO</v>
      </c>
      <c r="E108" s="531">
        <f>Tabla1[[#This Row],[Cajas Elaboradas]]</f>
        <v>59</v>
      </c>
      <c r="F108" s="26">
        <f>Tabla1[[#This Row],[Bolsas Elaboradas]]</f>
        <v>0</v>
      </c>
      <c r="G108" s="26">
        <f>Tabla1[[#This Row],[N° DE PERSONAS EN EL EMBARQUE]]</f>
        <v>6</v>
      </c>
      <c r="H108" s="532">
        <f>Tabla1[[#This Row],[Rasimos Cosechados]]</f>
        <v>0</v>
      </c>
      <c r="I108" s="532">
        <f>Tabla1[[#This Row],[Rasimos Prosesados]]</f>
        <v>0</v>
      </c>
      <c r="J108" s="532">
        <f>Tabla1[[#This Row],[Rasimos Rechasados]]</f>
        <v>0</v>
      </c>
      <c r="K108" s="533">
        <f>Tabla1[[#This Row],[PRECIO CAJA]]</f>
        <v>3000</v>
      </c>
      <c r="L108" s="534">
        <f>Tabla1[[#This Row],[PRECIO BOLSA]]</f>
        <v>0</v>
      </c>
      <c r="M108" s="533">
        <f>Tabla1[[#This Row],[PRODUCIDO CAJA]]</f>
        <v>177000</v>
      </c>
      <c r="N108" s="534">
        <f>Tabla1[[#This Row],[PRODUCIDO BOLSAS]]</f>
        <v>0</v>
      </c>
      <c r="O108" s="533">
        <f>Tabla1[[#This Row],[TOTAL PRODUCIDO]]</f>
        <v>177000</v>
      </c>
      <c r="P108" s="534">
        <f>Tabla1[[#This Row],[Valor Pagado]]</f>
        <v>180000</v>
      </c>
      <c r="Q108" s="535">
        <f>Tabla1[[#This Row],[COEFICIENTE]]</f>
        <v>1</v>
      </c>
      <c r="R108" s="534">
        <f>Tabla1[[#This Row],[Precio Caja2]]</f>
        <v>3050.8474576271187</v>
      </c>
      <c r="S108" s="536">
        <f>Tabla1[[#This Row],[VALOR GANADO]]</f>
        <v>29500</v>
      </c>
      <c r="T108" s="537">
        <f>Tabla1[[#This Row],[VALOR  A PAGAR]]</f>
        <v>30000</v>
      </c>
      <c r="U108" s="41">
        <f>Tabla1[[#This Row],[Columna1]]</f>
        <v>500</v>
      </c>
    </row>
    <row r="109" spans="2:21" ht="15.75" x14ac:dyDescent="0.25">
      <c r="B109" s="29">
        <f>Tabla1[[#This Row],[FECHA]]</f>
        <v>44447</v>
      </c>
      <c r="C109" s="26">
        <f>_xlfn.ISOWEEKNUM('CAJAS ELABORADAS'!$C109)</f>
        <v>36</v>
      </c>
      <c r="D109" s="27" t="str">
        <f>Tabla1[[#This Row],[FINCA]]</f>
        <v>DAMAQUIEL</v>
      </c>
      <c r="E109" s="531">
        <f>Tabla1[[#This Row],[Cajas Elaboradas]]</f>
        <v>111</v>
      </c>
      <c r="F109" s="26">
        <f>Tabla1[[#This Row],[Bolsas Elaboradas]]</f>
        <v>55</v>
      </c>
      <c r="G109" s="26">
        <f>Tabla1[[#This Row],[N° DE PERSONAS EN EL EMBARQUE]]</f>
        <v>9</v>
      </c>
      <c r="H109" s="532">
        <f>Tabla1[[#This Row],[Rasimos Cosechados]]</f>
        <v>0</v>
      </c>
      <c r="I109" s="532">
        <f>Tabla1[[#This Row],[Rasimos Prosesados]]</f>
        <v>0</v>
      </c>
      <c r="J109" s="532">
        <f>Tabla1[[#This Row],[Rasimos Rechasados]]</f>
        <v>0</v>
      </c>
      <c r="K109" s="533">
        <f>Tabla1[[#This Row],[PRECIO CAJA]]</f>
        <v>1500</v>
      </c>
      <c r="L109" s="534">
        <f>Tabla1[[#This Row],[PRECIO BOLSA]]</f>
        <v>500</v>
      </c>
      <c r="M109" s="533">
        <f>Tabla1[[#This Row],[PRODUCIDO CAJA]]</f>
        <v>166500</v>
      </c>
      <c r="N109" s="534">
        <f>Tabla1[[#This Row],[PRODUCIDO BOLSAS]]</f>
        <v>27500</v>
      </c>
      <c r="O109" s="533">
        <f>Tabla1[[#This Row],[TOTAL PRODUCIDO]]</f>
        <v>194000</v>
      </c>
      <c r="P109" s="534">
        <f>Tabla1[[#This Row],[Valor Pagado]]</f>
        <v>270000</v>
      </c>
      <c r="Q109" s="535">
        <f>Tabla1[[#This Row],[COEFICIENTE]]</f>
        <v>1</v>
      </c>
      <c r="R109" s="534">
        <f>Tabla1[[#This Row],[Precio Caja2]]</f>
        <v>2184.6846846846847</v>
      </c>
      <c r="S109" s="536">
        <f>Tabla1[[#This Row],[VALOR GANADO]]</f>
        <v>21555.555555555555</v>
      </c>
      <c r="T109" s="537">
        <f>Tabla1[[#This Row],[VALOR  A PAGAR]]</f>
        <v>30000</v>
      </c>
      <c r="U109" s="41">
        <f>Tabla1[[#This Row],[Columna1]]</f>
        <v>8444.4444444444453</v>
      </c>
    </row>
    <row r="110" spans="2:21" ht="15.75" x14ac:dyDescent="0.25">
      <c r="B110" s="29">
        <f>Tabla1[[#This Row],[FECHA]]</f>
        <v>44453</v>
      </c>
      <c r="C110" s="26">
        <f>_xlfn.ISOWEEKNUM('CAJAS ELABORADAS'!$C110)</f>
        <v>37</v>
      </c>
      <c r="D110" s="27" t="str">
        <f>Tabla1[[#This Row],[FINCA]]</f>
        <v>SAN PEDRO</v>
      </c>
      <c r="E110" s="531">
        <f>Tabla1[[#This Row],[Cajas Elaboradas]]</f>
        <v>280</v>
      </c>
      <c r="F110" s="26">
        <f>Tabla1[[#This Row],[Bolsas Elaboradas]]</f>
        <v>35</v>
      </c>
      <c r="G110" s="26">
        <f>Tabla1[[#This Row],[N° DE PERSONAS EN EL EMBARQUE]]</f>
        <v>18</v>
      </c>
      <c r="H110" s="532">
        <f>Tabla1[[#This Row],[Rasimos Cosechados]]</f>
        <v>966</v>
      </c>
      <c r="I110" s="532">
        <f>Tabla1[[#This Row],[Rasimos Prosesados]]</f>
        <v>0</v>
      </c>
      <c r="J110" s="532">
        <f>Tabla1[[#This Row],[Rasimos Rechasados]]</f>
        <v>966</v>
      </c>
      <c r="K110" s="533">
        <f>Tabla1[[#This Row],[PRECIO CAJA]]</f>
        <v>1500</v>
      </c>
      <c r="L110" s="534">
        <f>Tabla1[[#This Row],[PRECIO BOLSA]]</f>
        <v>500</v>
      </c>
      <c r="M110" s="533">
        <f>Tabla1[[#This Row],[PRODUCIDO CAJA]]</f>
        <v>420000</v>
      </c>
      <c r="N110" s="534">
        <f>Tabla1[[#This Row],[PRODUCIDO BOLSAS]]</f>
        <v>17500</v>
      </c>
      <c r="O110" s="533">
        <f>Tabla1[[#This Row],[TOTAL PRODUCIDO]]</f>
        <v>437500</v>
      </c>
      <c r="P110" s="534">
        <f>Tabla1[[#This Row],[Valor Pagado]]</f>
        <v>540000</v>
      </c>
      <c r="Q110" s="535">
        <f>Tabla1[[#This Row],[COEFICIENTE]]</f>
        <v>1</v>
      </c>
      <c r="R110" s="534">
        <f>Tabla1[[#This Row],[Precio Caja2]]</f>
        <v>1866.0714285714287</v>
      </c>
      <c r="S110" s="536">
        <f>Tabla1[[#This Row],[VALOR GANADO]]</f>
        <v>24305.555555555555</v>
      </c>
      <c r="T110" s="537">
        <f>Tabla1[[#This Row],[VALOR  A PAGAR]]</f>
        <v>30000</v>
      </c>
      <c r="U110" s="41">
        <f>Tabla1[[#This Row],[Columna1]]</f>
        <v>5694.4444444444453</v>
      </c>
    </row>
    <row r="111" spans="2:21" ht="15.75" x14ac:dyDescent="0.25">
      <c r="B111" s="29">
        <f>Tabla1[[#This Row],[FECHA]]</f>
        <v>44453</v>
      </c>
      <c r="C111" s="26">
        <f>_xlfn.ISOWEEKNUM('CAJAS ELABORADAS'!$C111)</f>
        <v>37</v>
      </c>
      <c r="D111" s="27" t="str">
        <f>Tabla1[[#This Row],[FINCA]]</f>
        <v>UVEROS</v>
      </c>
      <c r="E111" s="531">
        <f>Tabla1[[#This Row],[Cajas Elaboradas]]</f>
        <v>73</v>
      </c>
      <c r="F111" s="26">
        <f>Tabla1[[#This Row],[Bolsas Elaboradas]]</f>
        <v>35</v>
      </c>
      <c r="G111" s="26">
        <f>Tabla1[[#This Row],[N° DE PERSONAS EN EL EMBARQUE]]</f>
        <v>7</v>
      </c>
      <c r="H111" s="532">
        <f>Tabla1[[#This Row],[Rasimos Cosechados]]</f>
        <v>0</v>
      </c>
      <c r="I111" s="532">
        <f>Tabla1[[#This Row],[Rasimos Prosesados]]</f>
        <v>0</v>
      </c>
      <c r="J111" s="532">
        <f>Tabla1[[#This Row],[Rasimos Rechasados]]</f>
        <v>0</v>
      </c>
      <c r="K111" s="533">
        <f>Tabla1[[#This Row],[PRECIO CAJA]]</f>
        <v>1500</v>
      </c>
      <c r="L111" s="534">
        <f>Tabla1[[#This Row],[PRECIO BOLSA]]</f>
        <v>500</v>
      </c>
      <c r="M111" s="533">
        <f>Tabla1[[#This Row],[PRODUCIDO CAJA]]</f>
        <v>109500</v>
      </c>
      <c r="N111" s="534">
        <f>Tabla1[[#This Row],[PRODUCIDO BOLSAS]]</f>
        <v>17500</v>
      </c>
      <c r="O111" s="533">
        <f>Tabla1[[#This Row],[TOTAL PRODUCIDO]]</f>
        <v>127000</v>
      </c>
      <c r="P111" s="534">
        <f>Tabla1[[#This Row],[Valor Pagado]]</f>
        <v>210000</v>
      </c>
      <c r="Q111" s="535">
        <f>Tabla1[[#This Row],[COEFICIENTE]]</f>
        <v>1</v>
      </c>
      <c r="R111" s="534">
        <f>Tabla1[[#This Row],[Precio Caja2]]</f>
        <v>2636.9863013698632</v>
      </c>
      <c r="S111" s="536">
        <f>Tabla1[[#This Row],[VALOR GANADO]]</f>
        <v>18142.857142857141</v>
      </c>
      <c r="T111" s="537">
        <f>Tabla1[[#This Row],[VALOR  A PAGAR]]</f>
        <v>30000</v>
      </c>
      <c r="U111" s="41">
        <f>Tabla1[[#This Row],[Columna1]]</f>
        <v>11857.142857142859</v>
      </c>
    </row>
    <row r="112" spans="2:21" ht="15.75" x14ac:dyDescent="0.25">
      <c r="B112" s="29">
        <f>Tabla1[[#This Row],[FECHA]]</f>
        <v>44454</v>
      </c>
      <c r="C112" s="26">
        <f>_xlfn.ISOWEEKNUM('CAJAS ELABORADAS'!$C112)</f>
        <v>37</v>
      </c>
      <c r="D112" s="27" t="str">
        <f>Tabla1[[#This Row],[FINCA]]</f>
        <v>SAN PEDRO</v>
      </c>
      <c r="E112" s="531">
        <f>Tabla1[[#This Row],[Cajas Elaboradas]]</f>
        <v>141</v>
      </c>
      <c r="F112" s="26">
        <f>Tabla1[[#This Row],[Bolsas Elaboradas]]</f>
        <v>35</v>
      </c>
      <c r="G112" s="26">
        <f>Tabla1[[#This Row],[N° DE PERSONAS EN EL EMBARQUE]]</f>
        <v>7</v>
      </c>
      <c r="H112" s="532">
        <f>Tabla1[[#This Row],[Rasimos Cosechados]]</f>
        <v>402</v>
      </c>
      <c r="I112" s="532">
        <f>Tabla1[[#This Row],[Rasimos Prosesados]]</f>
        <v>0</v>
      </c>
      <c r="J112" s="532">
        <f>Tabla1[[#This Row],[Rasimos Rechasados]]</f>
        <v>402</v>
      </c>
      <c r="K112" s="533">
        <f>Tabla1[[#This Row],[PRECIO CAJA]]</f>
        <v>1500</v>
      </c>
      <c r="L112" s="534">
        <f>Tabla1[[#This Row],[PRECIO BOLSA]]</f>
        <v>500</v>
      </c>
      <c r="M112" s="533">
        <f>Tabla1[[#This Row],[PRODUCIDO CAJA]]</f>
        <v>211500</v>
      </c>
      <c r="N112" s="534">
        <f>Tabla1[[#This Row],[PRODUCIDO BOLSAS]]</f>
        <v>17500</v>
      </c>
      <c r="O112" s="533">
        <f>Tabla1[[#This Row],[TOTAL PRODUCIDO]]</f>
        <v>229000</v>
      </c>
      <c r="P112" s="534">
        <f>Tabla1[[#This Row],[Valor Pagado]]</f>
        <v>229000</v>
      </c>
      <c r="Q112" s="535">
        <f>Tabla1[[#This Row],[COEFICIENTE]]</f>
        <v>1.0904761904761904</v>
      </c>
      <c r="R112" s="534">
        <f>Tabla1[[#This Row],[Precio Caja2]]</f>
        <v>1500</v>
      </c>
      <c r="S112" s="536">
        <f>Tabla1[[#This Row],[VALOR GANADO]]</f>
        <v>32714.285714285714</v>
      </c>
      <c r="T112" s="537">
        <f>Tabla1[[#This Row],[VALOR  A PAGAR]]</f>
        <v>32714.285714285714</v>
      </c>
      <c r="U112" s="41">
        <f>Tabla1[[#This Row],[Columna1]]</f>
        <v>0</v>
      </c>
    </row>
    <row r="113" spans="2:21" ht="15.75" x14ac:dyDescent="0.25">
      <c r="B113" s="29">
        <f>Tabla1[[#This Row],[FECHA]]</f>
        <v>44454</v>
      </c>
      <c r="C113" s="26">
        <f>_xlfn.ISOWEEKNUM('CAJAS ELABORADAS'!$C113)</f>
        <v>37</v>
      </c>
      <c r="D113" s="27" t="str">
        <f>Tabla1[[#This Row],[FINCA]]</f>
        <v>PEDRITO</v>
      </c>
      <c r="E113" s="531">
        <f>Tabla1[[#This Row],[Cajas Elaboradas]]</f>
        <v>37</v>
      </c>
      <c r="F113" s="26">
        <f>Tabla1[[#This Row],[Bolsas Elaboradas]]</f>
        <v>0</v>
      </c>
      <c r="G113" s="26">
        <f>Tabla1[[#This Row],[N° DE PERSONAS EN EL EMBARQUE]]</f>
        <v>16</v>
      </c>
      <c r="H113" s="532">
        <f>Tabla1[[#This Row],[Rasimos Cosechados]]</f>
        <v>0</v>
      </c>
      <c r="I113" s="532">
        <f>Tabla1[[#This Row],[Rasimos Prosesados]]</f>
        <v>0</v>
      </c>
      <c r="J113" s="532">
        <f>Tabla1[[#This Row],[Rasimos Rechasados]]</f>
        <v>0</v>
      </c>
      <c r="K113" s="533">
        <f>Tabla1[[#This Row],[PRECIO CAJA]]</f>
        <v>3000</v>
      </c>
      <c r="L113" s="534">
        <f>Tabla1[[#This Row],[PRECIO BOLSA]]</f>
        <v>0</v>
      </c>
      <c r="M113" s="533">
        <f>Tabla1[[#This Row],[PRODUCIDO CAJA]]</f>
        <v>111000</v>
      </c>
      <c r="N113" s="534">
        <f>Tabla1[[#This Row],[PRODUCIDO BOLSAS]]</f>
        <v>0</v>
      </c>
      <c r="O113" s="533">
        <f>Tabla1[[#This Row],[TOTAL PRODUCIDO]]</f>
        <v>111000</v>
      </c>
      <c r="P113" s="534">
        <f>Tabla1[[#This Row],[Valor Pagado]]</f>
        <v>480000</v>
      </c>
      <c r="Q113" s="535">
        <f>Tabla1[[#This Row],[COEFICIENTE]]</f>
        <v>1</v>
      </c>
      <c r="R113" s="534">
        <f>Tabla1[[#This Row],[Precio Caja2]]</f>
        <v>12972.972972972973</v>
      </c>
      <c r="S113" s="536">
        <f>Tabla1[[#This Row],[VALOR GANADO]]</f>
        <v>6937.5</v>
      </c>
      <c r="T113" s="537">
        <f>Tabla1[[#This Row],[VALOR  A PAGAR]]</f>
        <v>30000</v>
      </c>
      <c r="U113" s="41">
        <f>Tabla1[[#This Row],[Columna1]]</f>
        <v>23062.5</v>
      </c>
    </row>
    <row r="114" spans="2:21" ht="15.75" x14ac:dyDescent="0.25">
      <c r="B114" s="29">
        <f>Tabla1[[#This Row],[FECHA]]</f>
        <v>44460</v>
      </c>
      <c r="C114" s="26">
        <f>_xlfn.ISOWEEKNUM('CAJAS ELABORADAS'!$C114)</f>
        <v>38</v>
      </c>
      <c r="D114" s="27" t="str">
        <f>Tabla1[[#This Row],[FINCA]]</f>
        <v>SAN PEDRO</v>
      </c>
      <c r="E114" s="531">
        <f>Tabla1[[#This Row],[Cajas Elaboradas]]</f>
        <v>230</v>
      </c>
      <c r="F114" s="26">
        <f>Tabla1[[#This Row],[Bolsas Elaboradas]]</f>
        <v>38</v>
      </c>
      <c r="G114" s="26">
        <f>Tabla1[[#This Row],[N° DE PERSONAS EN EL EMBARQUE]]</f>
        <v>15</v>
      </c>
      <c r="H114" s="532">
        <f>Tabla1[[#This Row],[Rasimos Cosechados]]</f>
        <v>706</v>
      </c>
      <c r="I114" s="532">
        <f>Tabla1[[#This Row],[Rasimos Prosesados]]</f>
        <v>706</v>
      </c>
      <c r="J114" s="532">
        <f>Tabla1[[#This Row],[Rasimos Rechasados]]</f>
        <v>0</v>
      </c>
      <c r="K114" s="533">
        <f>Tabla1[[#This Row],[PRECIO CAJA]]</f>
        <v>1500</v>
      </c>
      <c r="L114" s="534">
        <f>Tabla1[[#This Row],[PRECIO BOLSA]]</f>
        <v>500</v>
      </c>
      <c r="M114" s="533">
        <f>Tabla1[[#This Row],[PRODUCIDO CAJA]]</f>
        <v>345000</v>
      </c>
      <c r="N114" s="534">
        <f>Tabla1[[#This Row],[PRODUCIDO BOLSAS]]</f>
        <v>19000</v>
      </c>
      <c r="O114" s="533">
        <f>Tabla1[[#This Row],[TOTAL PRODUCIDO]]</f>
        <v>364000</v>
      </c>
      <c r="P114" s="534">
        <f>Tabla1[[#This Row],[Valor Pagado]]</f>
        <v>450000</v>
      </c>
      <c r="Q114" s="535">
        <f>Tabla1[[#This Row],[COEFICIENTE]]</f>
        <v>1</v>
      </c>
      <c r="R114" s="534">
        <f>Tabla1[[#This Row],[Precio Caja2]]</f>
        <v>1873.9130434782608</v>
      </c>
      <c r="S114" s="536">
        <f>Tabla1[[#This Row],[VALOR GANADO]]</f>
        <v>24266.666666666668</v>
      </c>
      <c r="T114" s="537">
        <f>Tabla1[[#This Row],[VALOR  A PAGAR]]</f>
        <v>30000</v>
      </c>
      <c r="U114" s="41">
        <f>Tabla1[[#This Row],[Columna1]]</f>
        <v>5733.3333333333321</v>
      </c>
    </row>
    <row r="115" spans="2:21" ht="15.75" x14ac:dyDescent="0.25">
      <c r="B115" s="29">
        <f>Tabla1[[#This Row],[FECHA]]</f>
        <v>44460</v>
      </c>
      <c r="C115" s="26">
        <f>_xlfn.ISOWEEKNUM('CAJAS ELABORADAS'!$C115)</f>
        <v>38</v>
      </c>
      <c r="D115" s="27" t="str">
        <f>Tabla1[[#This Row],[FINCA]]</f>
        <v>UVEROS</v>
      </c>
      <c r="E115" s="531">
        <f>Tabla1[[#This Row],[Cajas Elaboradas]]</f>
        <v>81</v>
      </c>
      <c r="F115" s="26">
        <f>Tabla1[[#This Row],[Bolsas Elaboradas]]</f>
        <v>24</v>
      </c>
      <c r="G115" s="26">
        <f>Tabla1[[#This Row],[N° DE PERSONAS EN EL EMBARQUE]]</f>
        <v>6</v>
      </c>
      <c r="H115" s="532">
        <f>Tabla1[[#This Row],[Rasimos Cosechados]]</f>
        <v>0</v>
      </c>
      <c r="I115" s="532">
        <f>Tabla1[[#This Row],[Rasimos Prosesados]]</f>
        <v>0</v>
      </c>
      <c r="J115" s="532">
        <f>Tabla1[[#This Row],[Rasimos Rechasados]]</f>
        <v>0</v>
      </c>
      <c r="K115" s="533">
        <f>Tabla1[[#This Row],[PRECIO CAJA]]</f>
        <v>1500</v>
      </c>
      <c r="L115" s="534">
        <f>Tabla1[[#This Row],[PRECIO BOLSA]]</f>
        <v>500</v>
      </c>
      <c r="M115" s="533">
        <f>Tabla1[[#This Row],[PRODUCIDO CAJA]]</f>
        <v>121500</v>
      </c>
      <c r="N115" s="534">
        <f>Tabla1[[#This Row],[PRODUCIDO BOLSAS]]</f>
        <v>12000</v>
      </c>
      <c r="O115" s="533">
        <f>Tabla1[[#This Row],[TOTAL PRODUCIDO]]</f>
        <v>133500</v>
      </c>
      <c r="P115" s="534">
        <f>Tabla1[[#This Row],[Valor Pagado]]</f>
        <v>180000</v>
      </c>
      <c r="Q115" s="535">
        <f>Tabla1[[#This Row],[COEFICIENTE]]</f>
        <v>1</v>
      </c>
      <c r="R115" s="534">
        <f>Tabla1[[#This Row],[Precio Caja2]]</f>
        <v>2074.0740740740739</v>
      </c>
      <c r="S115" s="536">
        <f>Tabla1[[#This Row],[VALOR GANADO]]</f>
        <v>22250</v>
      </c>
      <c r="T115" s="537">
        <f>Tabla1[[#This Row],[VALOR  A PAGAR]]</f>
        <v>30000</v>
      </c>
      <c r="U115" s="41">
        <f>Tabla1[[#This Row],[Columna1]]</f>
        <v>7750</v>
      </c>
    </row>
    <row r="116" spans="2:21" ht="15.75" x14ac:dyDescent="0.25">
      <c r="B116" s="29">
        <f>Tabla1[[#This Row],[FECHA]]</f>
        <v>44461</v>
      </c>
      <c r="C116" s="26">
        <f>_xlfn.ISOWEEKNUM('CAJAS ELABORADAS'!$C116)</f>
        <v>38</v>
      </c>
      <c r="D116" s="27" t="str">
        <f>Tabla1[[#This Row],[FINCA]]</f>
        <v>SAN PEDRO</v>
      </c>
      <c r="E116" s="531">
        <f>Tabla1[[#This Row],[Cajas Elaboradas]]</f>
        <v>221</v>
      </c>
      <c r="F116" s="26">
        <f>Tabla1[[#This Row],[Bolsas Elaboradas]]</f>
        <v>37</v>
      </c>
      <c r="G116" s="26">
        <f>Tabla1[[#This Row],[N° DE PERSONAS EN EL EMBARQUE]]</f>
        <v>12</v>
      </c>
      <c r="H116" s="532">
        <f>Tabla1[[#This Row],[Rasimos Cosechados]]</f>
        <v>751</v>
      </c>
      <c r="I116" s="532">
        <f>Tabla1[[#This Row],[Rasimos Prosesados]]</f>
        <v>751</v>
      </c>
      <c r="J116" s="532">
        <f>Tabla1[[#This Row],[Rasimos Rechasados]]</f>
        <v>0</v>
      </c>
      <c r="K116" s="533">
        <f>Tabla1[[#This Row],[PRECIO CAJA]]</f>
        <v>1500</v>
      </c>
      <c r="L116" s="534">
        <f>Tabla1[[#This Row],[PRECIO BOLSA]]</f>
        <v>500</v>
      </c>
      <c r="M116" s="533">
        <f>Tabla1[[#This Row],[PRODUCIDO CAJA]]</f>
        <v>331500</v>
      </c>
      <c r="N116" s="534">
        <f>Tabla1[[#This Row],[PRODUCIDO BOLSAS]]</f>
        <v>18500</v>
      </c>
      <c r="O116" s="533">
        <f>Tabla1[[#This Row],[TOTAL PRODUCIDO]]</f>
        <v>350000</v>
      </c>
      <c r="P116" s="534">
        <f>Tabla1[[#This Row],[Valor Pagado]]</f>
        <v>360000</v>
      </c>
      <c r="Q116" s="535">
        <f>Tabla1[[#This Row],[COEFICIENTE]]</f>
        <v>1</v>
      </c>
      <c r="R116" s="534">
        <f>Tabla1[[#This Row],[Precio Caja2]]</f>
        <v>1545.2488687782804</v>
      </c>
      <c r="S116" s="536">
        <f>Tabla1[[#This Row],[VALOR GANADO]]</f>
        <v>29166.666666666668</v>
      </c>
      <c r="T116" s="537">
        <f>Tabla1[[#This Row],[VALOR  A PAGAR]]</f>
        <v>30000</v>
      </c>
      <c r="U116" s="41">
        <f>Tabla1[[#This Row],[Columna1]]</f>
        <v>833.33333333333212</v>
      </c>
    </row>
    <row r="117" spans="2:21" ht="15.75" x14ac:dyDescent="0.25">
      <c r="B117" s="29">
        <f>Tabla1[[#This Row],[FECHA]]</f>
        <v>44461</v>
      </c>
      <c r="C117" s="26">
        <f>_xlfn.ISOWEEKNUM('CAJAS ELABORADAS'!$C117)</f>
        <v>38</v>
      </c>
      <c r="D117" s="27" t="str">
        <f>Tabla1[[#This Row],[FINCA]]</f>
        <v>DAMAQUIEL</v>
      </c>
      <c r="E117" s="531">
        <f>Tabla1[[#This Row],[Cajas Elaboradas]]</f>
        <v>80</v>
      </c>
      <c r="F117" s="26">
        <f>Tabla1[[#This Row],[Bolsas Elaboradas]]</f>
        <v>32</v>
      </c>
      <c r="G117" s="26">
        <f>Tabla1[[#This Row],[N° DE PERSONAS EN EL EMBARQUE]]</f>
        <v>5</v>
      </c>
      <c r="H117" s="532">
        <f>Tabla1[[#This Row],[Rasimos Cosechados]]</f>
        <v>0</v>
      </c>
      <c r="I117" s="532">
        <f>Tabla1[[#This Row],[Rasimos Prosesados]]</f>
        <v>0</v>
      </c>
      <c r="J117" s="532">
        <f>Tabla1[[#This Row],[Rasimos Rechasados]]</f>
        <v>0</v>
      </c>
      <c r="K117" s="533">
        <f>Tabla1[[#This Row],[PRECIO CAJA]]</f>
        <v>1500</v>
      </c>
      <c r="L117" s="534">
        <f>Tabla1[[#This Row],[PRECIO BOLSA]]</f>
        <v>500</v>
      </c>
      <c r="M117" s="533">
        <f>Tabla1[[#This Row],[PRODUCIDO CAJA]]</f>
        <v>120000</v>
      </c>
      <c r="N117" s="534">
        <f>Tabla1[[#This Row],[PRODUCIDO BOLSAS]]</f>
        <v>16000</v>
      </c>
      <c r="O117" s="533">
        <f>Tabla1[[#This Row],[TOTAL PRODUCIDO]]</f>
        <v>136000</v>
      </c>
      <c r="P117" s="534">
        <f>Tabla1[[#This Row],[Valor Pagado]]</f>
        <v>150000</v>
      </c>
      <c r="Q117" s="535">
        <f>Tabla1[[#This Row],[COEFICIENTE]]</f>
        <v>1</v>
      </c>
      <c r="R117" s="534">
        <f>Tabla1[[#This Row],[Precio Caja2]]</f>
        <v>1675</v>
      </c>
      <c r="S117" s="536">
        <f>Tabla1[[#This Row],[VALOR GANADO]]</f>
        <v>27200</v>
      </c>
      <c r="T117" s="537">
        <f>Tabla1[[#This Row],[VALOR  A PAGAR]]</f>
        <v>30000</v>
      </c>
      <c r="U117" s="41">
        <f>Tabla1[[#This Row],[Columna1]]</f>
        <v>2800</v>
      </c>
    </row>
    <row r="118" spans="2:21" ht="15.75" x14ac:dyDescent="0.25">
      <c r="B118" s="29">
        <f>Tabla1[[#This Row],[FECHA]]</f>
        <v>44461</v>
      </c>
      <c r="C118" s="26">
        <f>_xlfn.ISOWEEKNUM('CAJAS ELABORADAS'!$C118)</f>
        <v>38</v>
      </c>
      <c r="D118" s="27" t="str">
        <f>Tabla1[[#This Row],[FINCA]]</f>
        <v>PEDRITO</v>
      </c>
      <c r="E118" s="531">
        <f>Tabla1[[#This Row],[Cajas Elaboradas]]</f>
        <v>120</v>
      </c>
      <c r="F118" s="26">
        <f>Tabla1[[#This Row],[Bolsas Elaboradas]]</f>
        <v>18</v>
      </c>
      <c r="G118" s="26">
        <f>Tabla1[[#This Row],[N° DE PERSONAS EN EL EMBARQUE]]</f>
        <v>17</v>
      </c>
      <c r="H118" s="532">
        <f>Tabla1[[#This Row],[Rasimos Cosechados]]</f>
        <v>0</v>
      </c>
      <c r="I118" s="532">
        <f>Tabla1[[#This Row],[Rasimos Prosesados]]</f>
        <v>0</v>
      </c>
      <c r="J118" s="532">
        <f>Tabla1[[#This Row],[Rasimos Rechasados]]</f>
        <v>0</v>
      </c>
      <c r="K118" s="533">
        <f>Tabla1[[#This Row],[PRECIO CAJA]]</f>
        <v>3000</v>
      </c>
      <c r="L118" s="534">
        <f>Tabla1[[#This Row],[PRECIO BOLSA]]</f>
        <v>500</v>
      </c>
      <c r="M118" s="533">
        <f>Tabla1[[#This Row],[PRODUCIDO CAJA]]</f>
        <v>360000</v>
      </c>
      <c r="N118" s="534">
        <f>Tabla1[[#This Row],[PRODUCIDO BOLSAS]]</f>
        <v>9000</v>
      </c>
      <c r="O118" s="533">
        <f>Tabla1[[#This Row],[TOTAL PRODUCIDO]]</f>
        <v>369000</v>
      </c>
      <c r="P118" s="534">
        <f>Tabla1[[#This Row],[Valor Pagado]]</f>
        <v>510000</v>
      </c>
      <c r="Q118" s="535">
        <f>Tabla1[[#This Row],[COEFICIENTE]]</f>
        <v>1</v>
      </c>
      <c r="R118" s="534">
        <f>Tabla1[[#This Row],[Precio Caja2]]</f>
        <v>4175</v>
      </c>
      <c r="S118" s="536">
        <f>Tabla1[[#This Row],[VALOR GANADO]]</f>
        <v>21705.882352941175</v>
      </c>
      <c r="T118" s="537">
        <f>Tabla1[[#This Row],[VALOR  A PAGAR]]</f>
        <v>30000</v>
      </c>
      <c r="U118" s="41">
        <f>Tabla1[[#This Row],[Columna1]]</f>
        <v>8294.1176470588252</v>
      </c>
    </row>
    <row r="119" spans="2:21" ht="15.75" x14ac:dyDescent="0.25">
      <c r="B119" s="29">
        <f>Tabla1[[#This Row],[FECHA]]</f>
        <v>44467</v>
      </c>
      <c r="C119" s="26">
        <f>_xlfn.ISOWEEKNUM('CAJAS ELABORADAS'!$C119)</f>
        <v>39</v>
      </c>
      <c r="D119" s="27" t="str">
        <f>Tabla1[[#This Row],[FINCA]]</f>
        <v>UVEROS</v>
      </c>
      <c r="E119" s="531">
        <f>Tabla1[[#This Row],[Cajas Elaboradas]]</f>
        <v>141</v>
      </c>
      <c r="F119" s="26">
        <f>Tabla1[[#This Row],[Bolsas Elaboradas]]</f>
        <v>55</v>
      </c>
      <c r="G119" s="26">
        <f>Tabla1[[#This Row],[N° DE PERSONAS EN EL EMBARQUE]]</f>
        <v>9</v>
      </c>
      <c r="H119" s="532">
        <f>Tabla1[[#This Row],[Rasimos Cosechados]]</f>
        <v>0</v>
      </c>
      <c r="I119" s="532">
        <f>Tabla1[[#This Row],[Rasimos Prosesados]]</f>
        <v>0</v>
      </c>
      <c r="J119" s="532">
        <f>Tabla1[[#This Row],[Rasimos Rechasados]]</f>
        <v>0</v>
      </c>
      <c r="K119" s="533">
        <f>Tabla1[[#This Row],[PRECIO CAJA]]</f>
        <v>1500</v>
      </c>
      <c r="L119" s="534">
        <f>Tabla1[[#This Row],[PRECIO BOLSA]]</f>
        <v>500</v>
      </c>
      <c r="M119" s="533">
        <f>Tabla1[[#This Row],[PRODUCIDO CAJA]]</f>
        <v>211500</v>
      </c>
      <c r="N119" s="534">
        <f>Tabla1[[#This Row],[PRODUCIDO BOLSAS]]</f>
        <v>27500</v>
      </c>
      <c r="O119" s="533">
        <f>Tabla1[[#This Row],[TOTAL PRODUCIDO]]</f>
        <v>239000</v>
      </c>
      <c r="P119" s="534">
        <f>Tabla1[[#This Row],[Valor Pagado]]</f>
        <v>270000</v>
      </c>
      <c r="Q119" s="535">
        <f>Tabla1[[#This Row],[COEFICIENTE]]</f>
        <v>1</v>
      </c>
      <c r="R119" s="534">
        <f>Tabla1[[#This Row],[Precio Caja2]]</f>
        <v>1719.8581560283687</v>
      </c>
      <c r="S119" s="536">
        <f>Tabla1[[#This Row],[VALOR GANADO]]</f>
        <v>26555.555555555555</v>
      </c>
      <c r="T119" s="537">
        <f>Tabla1[[#This Row],[VALOR  A PAGAR]]</f>
        <v>30000</v>
      </c>
      <c r="U119" s="41">
        <f>Tabla1[[#This Row],[Columna1]]</f>
        <v>3444.4444444444453</v>
      </c>
    </row>
    <row r="120" spans="2:21" ht="15.75" x14ac:dyDescent="0.25">
      <c r="B120" s="29">
        <f>Tabla1[[#This Row],[FECHA]]</f>
        <v>44467</v>
      </c>
      <c r="C120" s="26">
        <f>_xlfn.ISOWEEKNUM('CAJAS ELABORADAS'!$C120)</f>
        <v>39</v>
      </c>
      <c r="D120" s="27" t="str">
        <f>Tabla1[[#This Row],[FINCA]]</f>
        <v>SAN PEDRO</v>
      </c>
      <c r="E120" s="531">
        <f>Tabla1[[#This Row],[Cajas Elaboradas]]</f>
        <v>352</v>
      </c>
      <c r="F120" s="26">
        <f>Tabla1[[#This Row],[Bolsas Elaboradas]]</f>
        <v>50</v>
      </c>
      <c r="G120" s="26">
        <f>Tabla1[[#This Row],[N° DE PERSONAS EN EL EMBARQUE]]</f>
        <v>16</v>
      </c>
      <c r="H120" s="532">
        <f>Tabla1[[#This Row],[Rasimos Cosechados]]</f>
        <v>1065</v>
      </c>
      <c r="I120" s="532">
        <f>Tabla1[[#This Row],[Rasimos Prosesados]]</f>
        <v>971</v>
      </c>
      <c r="J120" s="532">
        <f>Tabla1[[#This Row],[Rasimos Rechasados]]</f>
        <v>94</v>
      </c>
      <c r="K120" s="533">
        <f>Tabla1[[#This Row],[PRECIO CAJA]]</f>
        <v>1500</v>
      </c>
      <c r="L120" s="534">
        <f>Tabla1[[#This Row],[PRECIO BOLSA]]</f>
        <v>500</v>
      </c>
      <c r="M120" s="533">
        <f>Tabla1[[#This Row],[PRODUCIDO CAJA]]</f>
        <v>528000</v>
      </c>
      <c r="N120" s="534">
        <f>Tabla1[[#This Row],[PRODUCIDO BOLSAS]]</f>
        <v>25000</v>
      </c>
      <c r="O120" s="533">
        <f>Tabla1[[#This Row],[TOTAL PRODUCIDO]]</f>
        <v>553000</v>
      </c>
      <c r="P120" s="534">
        <f>Tabla1[[#This Row],[Valor Pagado]]</f>
        <v>553000</v>
      </c>
      <c r="Q120" s="535">
        <f>Tabla1[[#This Row],[COEFICIENTE]]</f>
        <v>1.1520833333333333</v>
      </c>
      <c r="R120" s="534">
        <f>Tabla1[[#This Row],[Precio Caja2]]</f>
        <v>1500</v>
      </c>
      <c r="S120" s="536">
        <f>Tabla1[[#This Row],[VALOR GANADO]]</f>
        <v>34562.5</v>
      </c>
      <c r="T120" s="537">
        <f>Tabla1[[#This Row],[VALOR  A PAGAR]]</f>
        <v>34562.5</v>
      </c>
      <c r="U120" s="41">
        <f>Tabla1[[#This Row],[Columna1]]</f>
        <v>0</v>
      </c>
    </row>
    <row r="121" spans="2:21" ht="15.75" x14ac:dyDescent="0.25">
      <c r="B121" s="29">
        <f>Tabla1[[#This Row],[FECHA]]</f>
        <v>44468</v>
      </c>
      <c r="C121" s="26">
        <f>_xlfn.ISOWEEKNUM('CAJAS ELABORADAS'!$C121)</f>
        <v>39</v>
      </c>
      <c r="D121" s="27" t="str">
        <f>Tabla1[[#This Row],[FINCA]]</f>
        <v>DAMAQUIEL</v>
      </c>
      <c r="E121" s="531">
        <f>Tabla1[[#This Row],[Cajas Elaboradas]]</f>
        <v>100</v>
      </c>
      <c r="F121" s="26">
        <f>Tabla1[[#This Row],[Bolsas Elaboradas]]</f>
        <v>86</v>
      </c>
      <c r="G121" s="26">
        <f>Tabla1[[#This Row],[N° DE PERSONAS EN EL EMBARQUE]]</f>
        <v>5</v>
      </c>
      <c r="H121" s="532">
        <f>Tabla1[[#This Row],[Rasimos Cosechados]]</f>
        <v>0</v>
      </c>
      <c r="I121" s="532">
        <f>Tabla1[[#This Row],[Rasimos Prosesados]]</f>
        <v>0</v>
      </c>
      <c r="J121" s="532">
        <f>Tabla1[[#This Row],[Rasimos Rechasados]]</f>
        <v>0</v>
      </c>
      <c r="K121" s="533">
        <f>Tabla1[[#This Row],[PRECIO CAJA]]</f>
        <v>1500</v>
      </c>
      <c r="L121" s="534">
        <f>Tabla1[[#This Row],[PRECIO BOLSA]]</f>
        <v>500</v>
      </c>
      <c r="M121" s="533">
        <f>Tabla1[[#This Row],[PRODUCIDO CAJA]]</f>
        <v>150000</v>
      </c>
      <c r="N121" s="534">
        <f>Tabla1[[#This Row],[PRODUCIDO BOLSAS]]</f>
        <v>43000</v>
      </c>
      <c r="O121" s="533">
        <f>Tabla1[[#This Row],[TOTAL PRODUCIDO]]</f>
        <v>193000</v>
      </c>
      <c r="P121" s="534">
        <f>Tabla1[[#This Row],[Valor Pagado]]</f>
        <v>193000</v>
      </c>
      <c r="Q121" s="535">
        <f>Tabla1[[#This Row],[COEFICIENTE]]</f>
        <v>1.2866666666666666</v>
      </c>
      <c r="R121" s="534">
        <f>Tabla1[[#This Row],[Precio Caja2]]</f>
        <v>1500</v>
      </c>
      <c r="S121" s="536">
        <f>Tabla1[[#This Row],[VALOR GANADO]]</f>
        <v>38600</v>
      </c>
      <c r="T121" s="537">
        <f>Tabla1[[#This Row],[VALOR  A PAGAR]]</f>
        <v>38600</v>
      </c>
      <c r="U121" s="41">
        <f>Tabla1[[#This Row],[Columna1]]</f>
        <v>0</v>
      </c>
    </row>
    <row r="122" spans="2:21" ht="15.75" x14ac:dyDescent="0.25">
      <c r="B122" s="29">
        <f>Tabla1[[#This Row],[FECHA]]</f>
        <v>44468</v>
      </c>
      <c r="C122" s="26">
        <f>_xlfn.ISOWEEKNUM('CAJAS ELABORADAS'!$C122)</f>
        <v>39</v>
      </c>
      <c r="D122" s="27" t="str">
        <f>Tabla1[[#This Row],[FINCA]]</f>
        <v>SAN PEDRO</v>
      </c>
      <c r="E122" s="531">
        <f>Tabla1[[#This Row],[Cajas Elaboradas]]</f>
        <v>237</v>
      </c>
      <c r="F122" s="26">
        <f>Tabla1[[#This Row],[Bolsas Elaboradas]]</f>
        <v>50</v>
      </c>
      <c r="G122" s="26">
        <f>Tabla1[[#This Row],[N° DE PERSONAS EN EL EMBARQUE]]</f>
        <v>14</v>
      </c>
      <c r="H122" s="532">
        <f>Tabla1[[#This Row],[Rasimos Cosechados]]</f>
        <v>673</v>
      </c>
      <c r="I122" s="532">
        <f>Tabla1[[#This Row],[Rasimos Prosesados]]</f>
        <v>661</v>
      </c>
      <c r="J122" s="532">
        <f>Tabla1[[#This Row],[Rasimos Rechasados]]</f>
        <v>12</v>
      </c>
      <c r="K122" s="533">
        <f>Tabla1[[#This Row],[PRECIO CAJA]]</f>
        <v>1500</v>
      </c>
      <c r="L122" s="534">
        <f>Tabla1[[#This Row],[PRECIO BOLSA]]</f>
        <v>500</v>
      </c>
      <c r="M122" s="533">
        <f>Tabla1[[#This Row],[PRODUCIDO CAJA]]</f>
        <v>355500</v>
      </c>
      <c r="N122" s="534">
        <f>Tabla1[[#This Row],[PRODUCIDO BOLSAS]]</f>
        <v>25000</v>
      </c>
      <c r="O122" s="533">
        <f>Tabla1[[#This Row],[TOTAL PRODUCIDO]]</f>
        <v>380500</v>
      </c>
      <c r="P122" s="534">
        <f>Tabla1[[#This Row],[Valor Pagado]]</f>
        <v>420000</v>
      </c>
      <c r="Q122" s="535">
        <f>Tabla1[[#This Row],[COEFICIENTE]]</f>
        <v>1</v>
      </c>
      <c r="R122" s="534">
        <f>Tabla1[[#This Row],[Precio Caja2]]</f>
        <v>1666.6666666666667</v>
      </c>
      <c r="S122" s="536">
        <f>Tabla1[[#This Row],[VALOR GANADO]]</f>
        <v>27178.571428571428</v>
      </c>
      <c r="T122" s="537">
        <f>Tabla1[[#This Row],[VALOR  A PAGAR]]</f>
        <v>30000</v>
      </c>
      <c r="U122" s="41">
        <f>Tabla1[[#This Row],[Columna1]]</f>
        <v>2821.4285714285725</v>
      </c>
    </row>
    <row r="123" spans="2:21" ht="15.75" x14ac:dyDescent="0.25">
      <c r="B123" s="29">
        <f>Tabla1[[#This Row],[FECHA]]</f>
        <v>44468</v>
      </c>
      <c r="C123" s="26">
        <f>_xlfn.ISOWEEKNUM('CAJAS ELABORADAS'!$C123)</f>
        <v>39</v>
      </c>
      <c r="D123" s="27" t="str">
        <f>Tabla1[[#This Row],[FINCA]]</f>
        <v>PEDRITO</v>
      </c>
      <c r="E123" s="531">
        <f>Tabla1[[#This Row],[Cajas Elaboradas]]</f>
        <v>68</v>
      </c>
      <c r="F123" s="26">
        <f>Tabla1[[#This Row],[Bolsas Elaboradas]]</f>
        <v>65.52</v>
      </c>
      <c r="G123" s="26">
        <f>Tabla1[[#This Row],[N° DE PERSONAS EN EL EMBARQUE]]</f>
        <v>12</v>
      </c>
      <c r="H123" s="532">
        <f>Tabla1[[#This Row],[Rasimos Cosechados]]</f>
        <v>448</v>
      </c>
      <c r="I123" s="532">
        <f>Tabla1[[#This Row],[Rasimos Prosesados]]</f>
        <v>448</v>
      </c>
      <c r="J123" s="532">
        <f>Tabla1[[#This Row],[Rasimos Rechasados]]</f>
        <v>0</v>
      </c>
      <c r="K123" s="533">
        <f>Tabla1[[#This Row],[PRECIO CAJA]]</f>
        <v>3000</v>
      </c>
      <c r="L123" s="534">
        <f>Tabla1[[#This Row],[PRECIO BOLSA]]</f>
        <v>500</v>
      </c>
      <c r="M123" s="533">
        <f>Tabla1[[#This Row],[PRODUCIDO CAJA]]</f>
        <v>204000</v>
      </c>
      <c r="N123" s="534">
        <f>Tabla1[[#This Row],[PRODUCIDO BOLSAS]]</f>
        <v>32759.999999999996</v>
      </c>
      <c r="O123" s="533">
        <f>Tabla1[[#This Row],[TOTAL PRODUCIDO]]</f>
        <v>236760</v>
      </c>
      <c r="P123" s="534">
        <f>Tabla1[[#This Row],[Valor Pagado]]</f>
        <v>360000</v>
      </c>
      <c r="Q123" s="535">
        <f>Tabla1[[#This Row],[COEFICIENTE]]</f>
        <v>1</v>
      </c>
      <c r="R123" s="534">
        <f>Tabla1[[#This Row],[Precio Caja2]]</f>
        <v>4812.3529411764703</v>
      </c>
      <c r="S123" s="536">
        <f>Tabla1[[#This Row],[VALOR GANADO]]</f>
        <v>19730</v>
      </c>
      <c r="T123" s="537">
        <f>Tabla1[[#This Row],[VALOR  A PAGAR]]</f>
        <v>30000</v>
      </c>
      <c r="U123" s="41">
        <f>Tabla1[[#This Row],[Columna1]]</f>
        <v>10270</v>
      </c>
    </row>
    <row r="124" spans="2:21" ht="15.75" x14ac:dyDescent="0.25">
      <c r="B124" s="29">
        <f>Tabla1[[#This Row],[FECHA]]</f>
        <v>44474</v>
      </c>
      <c r="C124" s="26">
        <f>_xlfn.ISOWEEKNUM('CAJAS ELABORADAS'!$C124)</f>
        <v>40</v>
      </c>
      <c r="D124" s="27" t="str">
        <f>Tabla1[[#This Row],[FINCA]]</f>
        <v>SAN PEDRO</v>
      </c>
      <c r="E124" s="531">
        <f>Tabla1[[#This Row],[Cajas Elaboradas]]</f>
        <v>411</v>
      </c>
      <c r="F124" s="26">
        <f>Tabla1[[#This Row],[Bolsas Elaboradas]]</f>
        <v>70</v>
      </c>
      <c r="G124" s="26">
        <f>Tabla1[[#This Row],[N° DE PERSONAS EN EL EMBARQUE]]</f>
        <v>20</v>
      </c>
      <c r="H124" s="532">
        <f>Tabla1[[#This Row],[Rasimos Cosechados]]</f>
        <v>1411</v>
      </c>
      <c r="I124" s="532">
        <f>Tabla1[[#This Row],[Rasimos Prosesados]]</f>
        <v>1359</v>
      </c>
      <c r="J124" s="532">
        <f>Tabla1[[#This Row],[Rasimos Rechasados]]</f>
        <v>52</v>
      </c>
      <c r="K124" s="533">
        <f>Tabla1[[#This Row],[PRECIO CAJA]]</f>
        <v>1500</v>
      </c>
      <c r="L124" s="534">
        <f>Tabla1[[#This Row],[PRECIO BOLSA]]</f>
        <v>500</v>
      </c>
      <c r="M124" s="533">
        <f>Tabla1[[#This Row],[PRODUCIDO CAJA]]</f>
        <v>616500</v>
      </c>
      <c r="N124" s="534">
        <f>Tabla1[[#This Row],[PRODUCIDO BOLSAS]]</f>
        <v>35000</v>
      </c>
      <c r="O124" s="533">
        <f>Tabla1[[#This Row],[TOTAL PRODUCIDO]]</f>
        <v>651500</v>
      </c>
      <c r="P124" s="534">
        <f>Tabla1[[#This Row],[Valor Pagado]]</f>
        <v>651500</v>
      </c>
      <c r="Q124" s="535">
        <f>Tabla1[[#This Row],[COEFICIENTE]]</f>
        <v>1.0858333333333334</v>
      </c>
      <c r="R124" s="534">
        <f>Tabla1[[#This Row],[Precio Caja2]]</f>
        <v>1500</v>
      </c>
      <c r="S124" s="536">
        <f>Tabla1[[#This Row],[VALOR GANADO]]</f>
        <v>32575</v>
      </c>
      <c r="T124" s="537">
        <f>Tabla1[[#This Row],[VALOR  A PAGAR]]</f>
        <v>32575</v>
      </c>
      <c r="U124" s="41">
        <f>Tabla1[[#This Row],[Columna1]]</f>
        <v>0</v>
      </c>
    </row>
    <row r="125" spans="2:21" ht="15.75" x14ac:dyDescent="0.25">
      <c r="B125" s="29">
        <f>Tabla1[[#This Row],[FECHA]]</f>
        <v>44474</v>
      </c>
      <c r="C125" s="26">
        <f>_xlfn.ISOWEEKNUM('CAJAS ELABORADAS'!$C125)</f>
        <v>40</v>
      </c>
      <c r="D125" s="27" t="str">
        <f>Tabla1[[#This Row],[FINCA]]</f>
        <v>UVEROS</v>
      </c>
      <c r="E125" s="531">
        <f>Tabla1[[#This Row],[Cajas Elaboradas]]</f>
        <v>139</v>
      </c>
      <c r="F125" s="26">
        <f>Tabla1[[#This Row],[Bolsas Elaboradas]]</f>
        <v>61</v>
      </c>
      <c r="G125" s="26">
        <f>Tabla1[[#This Row],[N° DE PERSONAS EN EL EMBARQUE]]</f>
        <v>7</v>
      </c>
      <c r="H125" s="532">
        <f>Tabla1[[#This Row],[Rasimos Cosechados]]</f>
        <v>498</v>
      </c>
      <c r="I125" s="532">
        <f>Tabla1[[#This Row],[Rasimos Prosesados]]</f>
        <v>498</v>
      </c>
      <c r="J125" s="532">
        <f>Tabla1[[#This Row],[Rasimos Rechasados]]</f>
        <v>0</v>
      </c>
      <c r="K125" s="533">
        <f>Tabla1[[#This Row],[PRECIO CAJA]]</f>
        <v>1500</v>
      </c>
      <c r="L125" s="534">
        <f>Tabla1[[#This Row],[PRECIO BOLSA]]</f>
        <v>500</v>
      </c>
      <c r="M125" s="533">
        <f>Tabla1[[#This Row],[PRODUCIDO CAJA]]</f>
        <v>208500</v>
      </c>
      <c r="N125" s="534">
        <f>Tabla1[[#This Row],[PRODUCIDO BOLSAS]]</f>
        <v>30500</v>
      </c>
      <c r="O125" s="533">
        <f>Tabla1[[#This Row],[TOTAL PRODUCIDO]]</f>
        <v>239000</v>
      </c>
      <c r="P125" s="534">
        <f>Tabla1[[#This Row],[Valor Pagado]]</f>
        <v>239000</v>
      </c>
      <c r="Q125" s="535">
        <f>Tabla1[[#This Row],[COEFICIENTE]]</f>
        <v>1.1380952380952383</v>
      </c>
      <c r="R125" s="534">
        <f>Tabla1[[#This Row],[Precio Caja2]]</f>
        <v>1500</v>
      </c>
      <c r="S125" s="536">
        <f>Tabla1[[#This Row],[VALOR GANADO]]</f>
        <v>34142.857142857145</v>
      </c>
      <c r="T125" s="537">
        <f>Tabla1[[#This Row],[VALOR  A PAGAR]]</f>
        <v>34142.857142857145</v>
      </c>
      <c r="U125" s="41">
        <f>Tabla1[[#This Row],[Columna1]]</f>
        <v>0</v>
      </c>
    </row>
    <row r="126" spans="2:21" ht="15.75" x14ac:dyDescent="0.25">
      <c r="B126" s="29">
        <f>Tabla1[[#This Row],[FECHA]]</f>
        <v>44475</v>
      </c>
      <c r="C126" s="26">
        <f>_xlfn.ISOWEEKNUM('CAJAS ELABORADAS'!$C126)</f>
        <v>40</v>
      </c>
      <c r="D126" s="27" t="str">
        <f>Tabla1[[#This Row],[FINCA]]</f>
        <v>DAMAQUIEL</v>
      </c>
      <c r="E126" s="531">
        <f>Tabla1[[#This Row],[Cajas Elaboradas]]</f>
        <v>150</v>
      </c>
      <c r="F126" s="26">
        <f>Tabla1[[#This Row],[Bolsas Elaboradas]]</f>
        <v>90</v>
      </c>
      <c r="G126" s="26">
        <f>Tabla1[[#This Row],[N° DE PERSONAS EN EL EMBARQUE]]</f>
        <v>10</v>
      </c>
      <c r="H126" s="532">
        <f>Tabla1[[#This Row],[Rasimos Cosechados]]</f>
        <v>697</v>
      </c>
      <c r="I126" s="532">
        <f>Tabla1[[#This Row],[Rasimos Prosesados]]</f>
        <v>697</v>
      </c>
      <c r="J126" s="532">
        <f>Tabla1[[#This Row],[Rasimos Rechasados]]</f>
        <v>0</v>
      </c>
      <c r="K126" s="533">
        <f>Tabla1[[#This Row],[PRECIO CAJA]]</f>
        <v>1500</v>
      </c>
      <c r="L126" s="534">
        <f>Tabla1[[#This Row],[PRECIO BOLSA]]</f>
        <v>500</v>
      </c>
      <c r="M126" s="533">
        <f>Tabla1[[#This Row],[PRODUCIDO CAJA]]</f>
        <v>225000</v>
      </c>
      <c r="N126" s="534">
        <f>Tabla1[[#This Row],[PRODUCIDO BOLSAS]]</f>
        <v>45000</v>
      </c>
      <c r="O126" s="533">
        <f>Tabla1[[#This Row],[TOTAL PRODUCIDO]]</f>
        <v>270000</v>
      </c>
      <c r="P126" s="534">
        <f>Tabla1[[#This Row],[Valor Pagado]]</f>
        <v>300000</v>
      </c>
      <c r="Q126" s="535">
        <f>Tabla1[[#This Row],[COEFICIENTE]]</f>
        <v>1</v>
      </c>
      <c r="R126" s="534">
        <f>Tabla1[[#This Row],[Precio Caja2]]</f>
        <v>1700</v>
      </c>
      <c r="S126" s="536">
        <f>Tabla1[[#This Row],[VALOR GANADO]]</f>
        <v>27000</v>
      </c>
      <c r="T126" s="537">
        <f>Tabla1[[#This Row],[VALOR  A PAGAR]]</f>
        <v>30000</v>
      </c>
      <c r="U126" s="41">
        <f>Tabla1[[#This Row],[Columna1]]</f>
        <v>3000</v>
      </c>
    </row>
    <row r="127" spans="2:21" ht="15.75" x14ac:dyDescent="0.25">
      <c r="B127" s="29">
        <f>Tabla1[[#This Row],[FECHA]]</f>
        <v>44475</v>
      </c>
      <c r="C127" s="26">
        <f>_xlfn.ISOWEEKNUM('CAJAS ELABORADAS'!$C127)</f>
        <v>40</v>
      </c>
      <c r="D127" s="27" t="str">
        <f>Tabla1[[#This Row],[FINCA]]</f>
        <v>SAN PEDRO</v>
      </c>
      <c r="E127" s="531">
        <f>Tabla1[[#This Row],[Cajas Elaboradas]]</f>
        <v>400</v>
      </c>
      <c r="F127" s="26">
        <f>Tabla1[[#This Row],[Bolsas Elaboradas]]</f>
        <v>65</v>
      </c>
      <c r="G127" s="26">
        <f>Tabla1[[#This Row],[N° DE PERSONAS EN EL EMBARQUE]]</f>
        <v>19</v>
      </c>
      <c r="H127" s="532">
        <f>Tabla1[[#This Row],[Rasimos Cosechados]]</f>
        <v>806</v>
      </c>
      <c r="I127" s="532">
        <f>Tabla1[[#This Row],[Rasimos Prosesados]]</f>
        <v>785</v>
      </c>
      <c r="J127" s="532">
        <f>Tabla1[[#This Row],[Rasimos Rechasados]]</f>
        <v>21</v>
      </c>
      <c r="K127" s="533">
        <f>Tabla1[[#This Row],[PRECIO CAJA]]</f>
        <v>1500</v>
      </c>
      <c r="L127" s="534">
        <f>Tabla1[[#This Row],[PRECIO BOLSA]]</f>
        <v>500</v>
      </c>
      <c r="M127" s="533">
        <f>Tabla1[[#This Row],[PRODUCIDO CAJA]]</f>
        <v>600000</v>
      </c>
      <c r="N127" s="534">
        <f>Tabla1[[#This Row],[PRODUCIDO BOLSAS]]</f>
        <v>32500</v>
      </c>
      <c r="O127" s="533">
        <f>Tabla1[[#This Row],[TOTAL PRODUCIDO]]</f>
        <v>632500</v>
      </c>
      <c r="P127" s="534">
        <f>Tabla1[[#This Row],[Valor Pagado]]</f>
        <v>632500</v>
      </c>
      <c r="Q127" s="535">
        <f>Tabla1[[#This Row],[COEFICIENTE]]</f>
        <v>1.1096491228070176</v>
      </c>
      <c r="R127" s="534">
        <f>Tabla1[[#This Row],[Precio Caja2]]</f>
        <v>1500</v>
      </c>
      <c r="S127" s="536">
        <f>Tabla1[[#This Row],[VALOR GANADO]]</f>
        <v>33289.473684210527</v>
      </c>
      <c r="T127" s="537">
        <f>Tabla1[[#This Row],[VALOR  A PAGAR]]</f>
        <v>33289.473684210527</v>
      </c>
      <c r="U127" s="41">
        <f>Tabla1[[#This Row],[Columna1]]</f>
        <v>0</v>
      </c>
    </row>
    <row r="128" spans="2:21" ht="15.75" x14ac:dyDescent="0.25">
      <c r="B128" s="29">
        <f>Tabla1[[#This Row],[FECHA]]</f>
        <v>44481</v>
      </c>
      <c r="C128" s="26">
        <f>_xlfn.ISOWEEKNUM('CAJAS ELABORADAS'!$C128)</f>
        <v>41</v>
      </c>
      <c r="D128" s="27" t="str">
        <f>Tabla1[[#This Row],[FINCA]]</f>
        <v>SAN PEDRO</v>
      </c>
      <c r="E128" s="531">
        <f>Tabla1[[#This Row],[Cajas Elaboradas]]</f>
        <v>414</v>
      </c>
      <c r="F128" s="26">
        <f>Tabla1[[#This Row],[Bolsas Elaboradas]]</f>
        <v>57</v>
      </c>
      <c r="G128" s="26">
        <f>Tabla1[[#This Row],[N° DE PERSONAS EN EL EMBARQUE]]</f>
        <v>19</v>
      </c>
      <c r="H128" s="532">
        <f>Tabla1[[#This Row],[Rasimos Cosechados]]</f>
        <v>2138</v>
      </c>
      <c r="I128" s="532">
        <f>Tabla1[[#This Row],[Rasimos Prosesados]]</f>
        <v>2138</v>
      </c>
      <c r="J128" s="532">
        <f>Tabla1[[#This Row],[Rasimos Rechasados]]</f>
        <v>0</v>
      </c>
      <c r="K128" s="533">
        <f>Tabla1[[#This Row],[PRECIO CAJA]]</f>
        <v>1500</v>
      </c>
      <c r="L128" s="534">
        <f>Tabla1[[#This Row],[PRECIO BOLSA]]</f>
        <v>500</v>
      </c>
      <c r="M128" s="533">
        <f>Tabla1[[#This Row],[PRODUCIDO CAJA]]</f>
        <v>621000</v>
      </c>
      <c r="N128" s="534">
        <f>Tabla1[[#This Row],[PRODUCIDO BOLSAS]]</f>
        <v>28500</v>
      </c>
      <c r="O128" s="533">
        <f>Tabla1[[#This Row],[TOTAL PRODUCIDO]]</f>
        <v>649500</v>
      </c>
      <c r="P128" s="534">
        <f>Tabla1[[#This Row],[Valor Pagado]]</f>
        <v>649500</v>
      </c>
      <c r="Q128" s="535">
        <f>Tabla1[[#This Row],[COEFICIENTE]]</f>
        <v>1.1394736842105262</v>
      </c>
      <c r="R128" s="534">
        <f>Tabla1[[#This Row],[Precio Caja2]]</f>
        <v>1500</v>
      </c>
      <c r="S128" s="536">
        <f>Tabla1[[#This Row],[VALOR GANADO]]</f>
        <v>34184.210526315786</v>
      </c>
      <c r="T128" s="537">
        <f>Tabla1[[#This Row],[VALOR  A PAGAR]]</f>
        <v>34184.210526315786</v>
      </c>
      <c r="U128" s="41">
        <f>Tabla1[[#This Row],[Columna1]]</f>
        <v>0</v>
      </c>
    </row>
    <row r="129" spans="2:21" ht="15.75" x14ac:dyDescent="0.25">
      <c r="B129" s="29">
        <f>Tabla1[[#This Row],[FECHA]]</f>
        <v>44482</v>
      </c>
      <c r="C129" s="26">
        <f>_xlfn.ISOWEEKNUM('CAJAS ELABORADAS'!$C129)</f>
        <v>41</v>
      </c>
      <c r="D129" s="27" t="str">
        <f>Tabla1[[#This Row],[FINCA]]</f>
        <v>SAN PEDRO</v>
      </c>
      <c r="E129" s="531">
        <f>Tabla1[[#This Row],[Cajas Elaboradas]]</f>
        <v>160</v>
      </c>
      <c r="F129" s="26">
        <f>Tabla1[[#This Row],[Bolsas Elaboradas]]</f>
        <v>57</v>
      </c>
      <c r="G129" s="26">
        <f>Tabla1[[#This Row],[N° DE PERSONAS EN EL EMBARQUE]]</f>
        <v>11</v>
      </c>
      <c r="H129" s="532">
        <f>Tabla1[[#This Row],[Rasimos Cosechados]]</f>
        <v>573</v>
      </c>
      <c r="I129" s="532">
        <f>Tabla1[[#This Row],[Rasimos Prosesados]]</f>
        <v>549</v>
      </c>
      <c r="J129" s="532">
        <f>Tabla1[[#This Row],[Rasimos Rechasados]]</f>
        <v>24</v>
      </c>
      <c r="K129" s="533">
        <f>Tabla1[[#This Row],[PRECIO CAJA]]</f>
        <v>1500</v>
      </c>
      <c r="L129" s="534">
        <f>Tabla1[[#This Row],[PRECIO BOLSA]]</f>
        <v>500</v>
      </c>
      <c r="M129" s="533">
        <f>Tabla1[[#This Row],[PRODUCIDO CAJA]]</f>
        <v>240000</v>
      </c>
      <c r="N129" s="534">
        <f>Tabla1[[#This Row],[PRODUCIDO BOLSAS]]</f>
        <v>28500</v>
      </c>
      <c r="O129" s="533">
        <f>Tabla1[[#This Row],[TOTAL PRODUCIDO]]</f>
        <v>268500</v>
      </c>
      <c r="P129" s="534">
        <f>Tabla1[[#This Row],[Valor Pagado]]</f>
        <v>330000</v>
      </c>
      <c r="Q129" s="535">
        <f>Tabla1[[#This Row],[COEFICIENTE]]</f>
        <v>1</v>
      </c>
      <c r="R129" s="534">
        <f>Tabla1[[#This Row],[Precio Caja2]]</f>
        <v>1884.375</v>
      </c>
      <c r="S129" s="536">
        <f>Tabla1[[#This Row],[VALOR GANADO]]</f>
        <v>24409.090909090908</v>
      </c>
      <c r="T129" s="537">
        <f>Tabla1[[#This Row],[VALOR  A PAGAR]]</f>
        <v>30000</v>
      </c>
      <c r="U129" s="41">
        <f>Tabla1[[#This Row],[Columna1]]</f>
        <v>5590.9090909090919</v>
      </c>
    </row>
    <row r="130" spans="2:21" ht="15.75" x14ac:dyDescent="0.25">
      <c r="B130" s="29">
        <f>Tabla1[[#This Row],[FECHA]]</f>
        <v>44482</v>
      </c>
      <c r="C130" s="26">
        <f>_xlfn.ISOWEEKNUM('CAJAS ELABORADAS'!$C130)</f>
        <v>41</v>
      </c>
      <c r="D130" s="27" t="str">
        <f>Tabla1[[#This Row],[FINCA]]</f>
        <v>PEDRITO</v>
      </c>
      <c r="E130" s="531">
        <f>Tabla1[[#This Row],[Cajas Elaboradas]]</f>
        <v>106</v>
      </c>
      <c r="F130" s="26">
        <f>Tabla1[[#This Row],[Bolsas Elaboradas]]</f>
        <v>50.4</v>
      </c>
      <c r="G130" s="26">
        <f>Tabla1[[#This Row],[N° DE PERSONAS EN EL EMBARQUE]]</f>
        <v>14</v>
      </c>
      <c r="H130" s="532">
        <f>Tabla1[[#This Row],[Rasimos Cosechados]]</f>
        <v>539</v>
      </c>
      <c r="I130" s="532">
        <f>Tabla1[[#This Row],[Rasimos Prosesados]]</f>
        <v>539</v>
      </c>
      <c r="J130" s="532">
        <f>Tabla1[[#This Row],[Rasimos Rechasados]]</f>
        <v>0</v>
      </c>
      <c r="K130" s="533">
        <f>Tabla1[[#This Row],[PRECIO CAJA]]</f>
        <v>3000</v>
      </c>
      <c r="L130" s="534">
        <f>Tabla1[[#This Row],[PRECIO BOLSA]]</f>
        <v>500</v>
      </c>
      <c r="M130" s="533">
        <f>Tabla1[[#This Row],[PRODUCIDO CAJA]]</f>
        <v>318000</v>
      </c>
      <c r="N130" s="534">
        <f>Tabla1[[#This Row],[PRODUCIDO BOLSAS]]</f>
        <v>25200</v>
      </c>
      <c r="O130" s="533">
        <f>Tabla1[[#This Row],[TOTAL PRODUCIDO]]</f>
        <v>343200</v>
      </c>
      <c r="P130" s="534">
        <f>Tabla1[[#This Row],[Valor Pagado]]</f>
        <v>420000</v>
      </c>
      <c r="Q130" s="535">
        <f>Tabla1[[#This Row],[COEFICIENTE]]</f>
        <v>1</v>
      </c>
      <c r="R130" s="534">
        <f>Tabla1[[#This Row],[Precio Caja2]]</f>
        <v>3724.5283018867926</v>
      </c>
      <c r="S130" s="536">
        <f>Tabla1[[#This Row],[VALOR GANADO]]</f>
        <v>24514.285714285714</v>
      </c>
      <c r="T130" s="537">
        <f>Tabla1[[#This Row],[VALOR  A PAGAR]]</f>
        <v>30000</v>
      </c>
      <c r="U130" s="41">
        <f>Tabla1[[#This Row],[Columna1]]</f>
        <v>5485.7142857142862</v>
      </c>
    </row>
    <row r="131" spans="2:21" ht="15.75" x14ac:dyDescent="0.25">
      <c r="B131" s="29">
        <f>Tabla1[[#This Row],[FECHA]]</f>
        <v>44481</v>
      </c>
      <c r="C131" s="26">
        <f>_xlfn.ISOWEEKNUM('CAJAS ELABORADAS'!$C131)</f>
        <v>41</v>
      </c>
      <c r="D131" s="27" t="str">
        <f>Tabla1[[#This Row],[FINCA]]</f>
        <v>UVEROS</v>
      </c>
      <c r="E131" s="531">
        <f>Tabla1[[#This Row],[Cajas Elaboradas]]</f>
        <v>120</v>
      </c>
      <c r="F131" s="26">
        <f>Tabla1[[#This Row],[Bolsas Elaboradas]]</f>
        <v>46</v>
      </c>
      <c r="G131" s="26">
        <f>Tabla1[[#This Row],[N° DE PERSONAS EN EL EMBARQUE]]</f>
        <v>7</v>
      </c>
      <c r="H131" s="532">
        <f>Tabla1[[#This Row],[Rasimos Cosechados]]</f>
        <v>0</v>
      </c>
      <c r="I131" s="532">
        <f>Tabla1[[#This Row],[Rasimos Prosesados]]</f>
        <v>0</v>
      </c>
      <c r="J131" s="532">
        <f>Tabla1[[#This Row],[Rasimos Rechasados]]</f>
        <v>0</v>
      </c>
      <c r="K131" s="533">
        <f>Tabla1[[#This Row],[PRECIO CAJA]]</f>
        <v>1500</v>
      </c>
      <c r="L131" s="534">
        <f>Tabla1[[#This Row],[PRECIO BOLSA]]</f>
        <v>500</v>
      </c>
      <c r="M131" s="533">
        <f>Tabla1[[#This Row],[PRODUCIDO CAJA]]</f>
        <v>180000</v>
      </c>
      <c r="N131" s="534">
        <f>Tabla1[[#This Row],[PRODUCIDO BOLSAS]]</f>
        <v>23000</v>
      </c>
      <c r="O131" s="533">
        <f>Tabla1[[#This Row],[TOTAL PRODUCIDO]]</f>
        <v>203000</v>
      </c>
      <c r="P131" s="534">
        <f>Tabla1[[#This Row],[Valor Pagado]]</f>
        <v>210000</v>
      </c>
      <c r="Q131" s="535">
        <f>Tabla1[[#This Row],[COEFICIENTE]]</f>
        <v>1</v>
      </c>
      <c r="R131" s="534">
        <f>Tabla1[[#This Row],[Precio Caja2]]</f>
        <v>1558.3333333333333</v>
      </c>
      <c r="S131" s="536">
        <f>Tabla1[[#This Row],[VALOR GANADO]]</f>
        <v>29000</v>
      </c>
      <c r="T131" s="537">
        <f>Tabla1[[#This Row],[VALOR  A PAGAR]]</f>
        <v>30000</v>
      </c>
      <c r="U131" s="41">
        <f>Tabla1[[#This Row],[Columna1]]</f>
        <v>1000</v>
      </c>
    </row>
    <row r="132" spans="2:21" ht="15.75" x14ac:dyDescent="0.25">
      <c r="B132" s="29">
        <f>Tabla1[[#This Row],[FECHA]]</f>
        <v>44482</v>
      </c>
      <c r="C132" s="26">
        <f>_xlfn.ISOWEEKNUM('CAJAS ELABORADAS'!$C132)</f>
        <v>41</v>
      </c>
      <c r="D132" s="27" t="str">
        <f>Tabla1[[#This Row],[FINCA]]</f>
        <v>DAMAQUIEL</v>
      </c>
      <c r="E132" s="531">
        <f>Tabla1[[#This Row],[Cajas Elaboradas]]</f>
        <v>89</v>
      </c>
      <c r="F132" s="26">
        <f>Tabla1[[#This Row],[Bolsas Elaboradas]]</f>
        <v>64</v>
      </c>
      <c r="G132" s="26">
        <f>Tabla1[[#This Row],[N° DE PERSONAS EN EL EMBARQUE]]</f>
        <v>9</v>
      </c>
      <c r="H132" s="532">
        <f>Tabla1[[#This Row],[Rasimos Cosechados]]</f>
        <v>0</v>
      </c>
      <c r="I132" s="532">
        <f>Tabla1[[#This Row],[Rasimos Prosesados]]</f>
        <v>0</v>
      </c>
      <c r="J132" s="532">
        <f>Tabla1[[#This Row],[Rasimos Rechasados]]</f>
        <v>0</v>
      </c>
      <c r="K132" s="533">
        <f>Tabla1[[#This Row],[PRECIO CAJA]]</f>
        <v>1500</v>
      </c>
      <c r="L132" s="534">
        <f>Tabla1[[#This Row],[PRECIO BOLSA]]</f>
        <v>500</v>
      </c>
      <c r="M132" s="533">
        <f>Tabla1[[#This Row],[PRODUCIDO CAJA]]</f>
        <v>133500</v>
      </c>
      <c r="N132" s="534">
        <f>Tabla1[[#This Row],[PRODUCIDO BOLSAS]]</f>
        <v>32000</v>
      </c>
      <c r="O132" s="533">
        <f>Tabla1[[#This Row],[TOTAL PRODUCIDO]]</f>
        <v>165500</v>
      </c>
      <c r="P132" s="534">
        <f>Tabla1[[#This Row],[Valor Pagado]]</f>
        <v>270000</v>
      </c>
      <c r="Q132" s="535">
        <f>Tabla1[[#This Row],[COEFICIENTE]]</f>
        <v>1</v>
      </c>
      <c r="R132" s="534">
        <f>Tabla1[[#This Row],[Precio Caja2]]</f>
        <v>2674.1573033707864</v>
      </c>
      <c r="S132" s="536">
        <f>Tabla1[[#This Row],[VALOR GANADO]]</f>
        <v>18388.888888888891</v>
      </c>
      <c r="T132" s="537">
        <f>Tabla1[[#This Row],[VALOR  A PAGAR]]</f>
        <v>30000</v>
      </c>
      <c r="U132" s="41">
        <f>Tabla1[[#This Row],[Columna1]]</f>
        <v>11611.111111111109</v>
      </c>
    </row>
    <row r="133" spans="2:21" ht="15.75" x14ac:dyDescent="0.25">
      <c r="B133" s="29">
        <f>Tabla1[[#This Row],[FECHA]]</f>
        <v>44488</v>
      </c>
      <c r="C133" s="26">
        <f>_xlfn.ISOWEEKNUM('CAJAS ELABORADAS'!$C133)</f>
        <v>42</v>
      </c>
      <c r="D133" s="27" t="str">
        <f>Tabla1[[#This Row],[FINCA]]</f>
        <v>SAN PEDRO</v>
      </c>
      <c r="E133" s="531">
        <f>Tabla1[[#This Row],[Cajas Elaboradas]]</f>
        <v>278</v>
      </c>
      <c r="F133" s="26">
        <f>Tabla1[[#This Row],[Bolsas Elaboradas]]</f>
        <v>40.5</v>
      </c>
      <c r="G133" s="26">
        <f>Tabla1[[#This Row],[N° DE PERSONAS EN EL EMBARQUE]]</f>
        <v>13</v>
      </c>
      <c r="H133" s="532">
        <f>Tabla1[[#This Row],[Rasimos Cosechados]]</f>
        <v>0</v>
      </c>
      <c r="I133" s="532">
        <f>Tabla1[[#This Row],[Rasimos Prosesados]]</f>
        <v>0</v>
      </c>
      <c r="J133" s="532">
        <f>Tabla1[[#This Row],[Rasimos Rechasados]]</f>
        <v>0</v>
      </c>
      <c r="K133" s="533">
        <f>Tabla1[[#This Row],[PRECIO CAJA]]</f>
        <v>1500</v>
      </c>
      <c r="L133" s="534">
        <f>Tabla1[[#This Row],[PRECIO BOLSA]]</f>
        <v>500</v>
      </c>
      <c r="M133" s="533">
        <f>Tabla1[[#This Row],[PRODUCIDO CAJA]]</f>
        <v>417000</v>
      </c>
      <c r="N133" s="534">
        <f>Tabla1[[#This Row],[PRODUCIDO BOLSAS]]</f>
        <v>20250</v>
      </c>
      <c r="O133" s="533">
        <f>Tabla1[[#This Row],[TOTAL PRODUCIDO]]</f>
        <v>437250</v>
      </c>
      <c r="P133" s="534">
        <f>Tabla1[[#This Row],[Valor Pagado]]</f>
        <v>437250</v>
      </c>
      <c r="Q133" s="535">
        <f>Tabla1[[#This Row],[COEFICIENTE]]</f>
        <v>1.1211538461538462</v>
      </c>
      <c r="R133" s="534">
        <f>Tabla1[[#This Row],[Precio Caja2]]</f>
        <v>1500</v>
      </c>
      <c r="S133" s="536">
        <f>Tabla1[[#This Row],[VALOR GANADO]]</f>
        <v>33634.615384615383</v>
      </c>
      <c r="T133" s="537">
        <f>Tabla1[[#This Row],[VALOR  A PAGAR]]</f>
        <v>33634.615384615383</v>
      </c>
      <c r="U133" s="41">
        <f>Tabla1[[#This Row],[Columna1]]</f>
        <v>0</v>
      </c>
    </row>
    <row r="134" spans="2:21" ht="15.75" x14ac:dyDescent="0.25">
      <c r="B134" s="29">
        <f>Tabla1[[#This Row],[FECHA]]</f>
        <v>44488</v>
      </c>
      <c r="C134" s="26">
        <f>_xlfn.ISOWEEKNUM('CAJAS ELABORADAS'!$C134)</f>
        <v>42</v>
      </c>
      <c r="D134" s="27" t="str">
        <f>Tabla1[[#This Row],[FINCA]]</f>
        <v>UVEROS</v>
      </c>
      <c r="E134" s="531">
        <f>Tabla1[[#This Row],[Cajas Elaboradas]]</f>
        <v>80</v>
      </c>
      <c r="F134" s="26">
        <f>Tabla1[[#This Row],[Bolsas Elaboradas]]</f>
        <v>44</v>
      </c>
      <c r="G134" s="26">
        <f>Tabla1[[#This Row],[N° DE PERSONAS EN EL EMBARQUE]]</f>
        <v>8</v>
      </c>
      <c r="H134" s="532">
        <f>Tabla1[[#This Row],[Rasimos Cosechados]]</f>
        <v>373</v>
      </c>
      <c r="I134" s="532">
        <f>Tabla1[[#This Row],[Rasimos Prosesados]]</f>
        <v>348</v>
      </c>
      <c r="J134" s="532">
        <f>Tabla1[[#This Row],[Rasimos Rechasados]]</f>
        <v>25</v>
      </c>
      <c r="K134" s="533">
        <f>Tabla1[[#This Row],[PRECIO CAJA]]</f>
        <v>1500</v>
      </c>
      <c r="L134" s="534">
        <f>Tabla1[[#This Row],[PRECIO BOLSA]]</f>
        <v>500</v>
      </c>
      <c r="M134" s="533">
        <f>Tabla1[[#This Row],[PRODUCIDO CAJA]]</f>
        <v>120000</v>
      </c>
      <c r="N134" s="534">
        <f>Tabla1[[#This Row],[PRODUCIDO BOLSAS]]</f>
        <v>22000</v>
      </c>
      <c r="O134" s="533">
        <f>Tabla1[[#This Row],[TOTAL PRODUCIDO]]</f>
        <v>142000</v>
      </c>
      <c r="P134" s="534">
        <f>Tabla1[[#This Row],[Valor Pagado]]</f>
        <v>240000</v>
      </c>
      <c r="Q134" s="535">
        <f>Tabla1[[#This Row],[COEFICIENTE]]</f>
        <v>1</v>
      </c>
      <c r="R134" s="534">
        <f>Tabla1[[#This Row],[Precio Caja2]]</f>
        <v>2725</v>
      </c>
      <c r="S134" s="536">
        <f>Tabla1[[#This Row],[VALOR GANADO]]</f>
        <v>17750</v>
      </c>
      <c r="T134" s="537">
        <f>Tabla1[[#This Row],[VALOR  A PAGAR]]</f>
        <v>30000</v>
      </c>
      <c r="U134" s="41">
        <f>Tabla1[[#This Row],[Columna1]]</f>
        <v>12250</v>
      </c>
    </row>
    <row r="135" spans="2:21" ht="15.75" x14ac:dyDescent="0.25">
      <c r="B135" s="29">
        <f>Tabla1[[#This Row],[FECHA]]</f>
        <v>44489</v>
      </c>
      <c r="C135" s="26">
        <f>_xlfn.ISOWEEKNUM('CAJAS ELABORADAS'!$C135)</f>
        <v>42</v>
      </c>
      <c r="D135" s="27" t="str">
        <f>Tabla1[[#This Row],[FINCA]]</f>
        <v>SAN PEDRO</v>
      </c>
      <c r="E135" s="531">
        <f>Tabla1[[#This Row],[Cajas Elaboradas]]</f>
        <v>189</v>
      </c>
      <c r="F135" s="26">
        <f>Tabla1[[#This Row],[Bolsas Elaboradas]]</f>
        <v>41</v>
      </c>
      <c r="G135" s="26">
        <f>Tabla1[[#This Row],[N° DE PERSONAS EN EL EMBARQUE]]</f>
        <v>12</v>
      </c>
      <c r="H135" s="532">
        <f>Tabla1[[#This Row],[Rasimos Cosechados]]</f>
        <v>0</v>
      </c>
      <c r="I135" s="532">
        <f>Tabla1[[#This Row],[Rasimos Prosesados]]</f>
        <v>0</v>
      </c>
      <c r="J135" s="532">
        <f>Tabla1[[#This Row],[Rasimos Rechasados]]</f>
        <v>0</v>
      </c>
      <c r="K135" s="533">
        <f>Tabla1[[#This Row],[PRECIO CAJA]]</f>
        <v>1500</v>
      </c>
      <c r="L135" s="534">
        <f>Tabla1[[#This Row],[PRECIO BOLSA]]</f>
        <v>500</v>
      </c>
      <c r="M135" s="533">
        <f>Tabla1[[#This Row],[PRODUCIDO CAJA]]</f>
        <v>283500</v>
      </c>
      <c r="N135" s="534">
        <f>Tabla1[[#This Row],[PRODUCIDO BOLSAS]]</f>
        <v>20500</v>
      </c>
      <c r="O135" s="533">
        <f>Tabla1[[#This Row],[TOTAL PRODUCIDO]]</f>
        <v>304000</v>
      </c>
      <c r="P135" s="534">
        <f>Tabla1[[#This Row],[Valor Pagado]]</f>
        <v>360000</v>
      </c>
      <c r="Q135" s="535">
        <f>Tabla1[[#This Row],[COEFICIENTE]]</f>
        <v>1</v>
      </c>
      <c r="R135" s="534">
        <f>Tabla1[[#This Row],[Precio Caja2]]</f>
        <v>1796.2962962962963</v>
      </c>
      <c r="S135" s="536">
        <f>Tabla1[[#This Row],[VALOR GANADO]]</f>
        <v>25333.333333333332</v>
      </c>
      <c r="T135" s="537">
        <f>Tabla1[[#This Row],[VALOR  A PAGAR]]</f>
        <v>30000</v>
      </c>
      <c r="U135" s="41">
        <f>Tabla1[[#This Row],[Columna1]]</f>
        <v>4666.6666666666679</v>
      </c>
    </row>
    <row r="136" spans="2:21" ht="15.75" x14ac:dyDescent="0.25">
      <c r="B136" s="29">
        <f>Tabla1[[#This Row],[FECHA]]</f>
        <v>44489</v>
      </c>
      <c r="C136" s="26">
        <f>_xlfn.ISOWEEKNUM('CAJAS ELABORADAS'!$C136)</f>
        <v>42</v>
      </c>
      <c r="D136" s="27" t="str">
        <f>Tabla1[[#This Row],[FINCA]]</f>
        <v>DAMAQUIEL</v>
      </c>
      <c r="E136" s="531">
        <f>Tabla1[[#This Row],[Cajas Elaboradas]]</f>
        <v>62</v>
      </c>
      <c r="F136" s="26">
        <f>Tabla1[[#This Row],[Bolsas Elaboradas]]</f>
        <v>108</v>
      </c>
      <c r="G136" s="26">
        <f>Tabla1[[#This Row],[N° DE PERSONAS EN EL EMBARQUE]]</f>
        <v>8</v>
      </c>
      <c r="H136" s="532">
        <f>Tabla1[[#This Row],[Rasimos Cosechados]]</f>
        <v>0</v>
      </c>
      <c r="I136" s="532">
        <f>Tabla1[[#This Row],[Rasimos Prosesados]]</f>
        <v>0</v>
      </c>
      <c r="J136" s="532">
        <f>Tabla1[[#This Row],[Rasimos Rechasados]]</f>
        <v>0</v>
      </c>
      <c r="K136" s="533">
        <f>Tabla1[[#This Row],[PRECIO CAJA]]</f>
        <v>1500</v>
      </c>
      <c r="L136" s="534">
        <f>Tabla1[[#This Row],[PRECIO BOLSA]]</f>
        <v>500</v>
      </c>
      <c r="M136" s="533">
        <f>Tabla1[[#This Row],[PRODUCIDO CAJA]]</f>
        <v>93000</v>
      </c>
      <c r="N136" s="534">
        <f>Tabla1[[#This Row],[PRODUCIDO BOLSAS]]</f>
        <v>54000</v>
      </c>
      <c r="O136" s="533">
        <f>Tabla1[[#This Row],[TOTAL PRODUCIDO]]</f>
        <v>147000</v>
      </c>
      <c r="P136" s="534">
        <f>Tabla1[[#This Row],[Valor Pagado]]</f>
        <v>240000</v>
      </c>
      <c r="Q136" s="535">
        <f>Tabla1[[#This Row],[COEFICIENTE]]</f>
        <v>1</v>
      </c>
      <c r="R136" s="534">
        <f>Tabla1[[#This Row],[Precio Caja2]]</f>
        <v>3000</v>
      </c>
      <c r="S136" s="536">
        <f>Tabla1[[#This Row],[VALOR GANADO]]</f>
        <v>18375</v>
      </c>
      <c r="T136" s="537">
        <f>Tabla1[[#This Row],[VALOR  A PAGAR]]</f>
        <v>30000</v>
      </c>
      <c r="U136" s="41">
        <f>Tabla1[[#This Row],[Columna1]]</f>
        <v>11625</v>
      </c>
    </row>
    <row r="137" spans="2:21" ht="15.75" x14ac:dyDescent="0.25">
      <c r="B137" s="29">
        <f>Tabla1[[#This Row],[FECHA]]</f>
        <v>44495</v>
      </c>
      <c r="C137" s="26">
        <f>_xlfn.ISOWEEKNUM('CAJAS ELABORADAS'!$C137)</f>
        <v>43</v>
      </c>
      <c r="D137" s="27" t="str">
        <f>Tabla1[[#This Row],[FINCA]]</f>
        <v>SAN PEDRO</v>
      </c>
      <c r="E137" s="531">
        <f>Tabla1[[#This Row],[Cajas Elaboradas]]</f>
        <v>225</v>
      </c>
      <c r="F137" s="26">
        <f>Tabla1[[#This Row],[Bolsas Elaboradas]]</f>
        <v>50</v>
      </c>
      <c r="G137" s="26">
        <f>Tabla1[[#This Row],[N° DE PERSONAS EN EL EMBARQUE]]</f>
        <v>12</v>
      </c>
      <c r="H137" s="532">
        <f>Tabla1[[#This Row],[Rasimos Cosechados]]</f>
        <v>983</v>
      </c>
      <c r="I137" s="532">
        <f>Tabla1[[#This Row],[Rasimos Prosesados]]</f>
        <v>31</v>
      </c>
      <c r="J137" s="532">
        <f>Tabla1[[#This Row],[Rasimos Rechasados]]</f>
        <v>952</v>
      </c>
      <c r="K137" s="533">
        <f>Tabla1[[#This Row],[PRECIO CAJA]]</f>
        <v>1500</v>
      </c>
      <c r="L137" s="534">
        <f>Tabla1[[#This Row],[PRECIO BOLSA]]</f>
        <v>500</v>
      </c>
      <c r="M137" s="533">
        <f>Tabla1[[#This Row],[PRODUCIDO CAJA]]</f>
        <v>337500</v>
      </c>
      <c r="N137" s="534">
        <f>Tabla1[[#This Row],[PRODUCIDO BOLSAS]]</f>
        <v>25000</v>
      </c>
      <c r="O137" s="533">
        <f>Tabla1[[#This Row],[TOTAL PRODUCIDO]]</f>
        <v>362500</v>
      </c>
      <c r="P137" s="534">
        <f>Tabla1[[#This Row],[Valor Pagado]]</f>
        <v>362500</v>
      </c>
      <c r="Q137" s="535">
        <f>Tabla1[[#This Row],[COEFICIENTE]]</f>
        <v>1.0069444444444444</v>
      </c>
      <c r="R137" s="534">
        <f>Tabla1[[#This Row],[Precio Caja2]]</f>
        <v>1500</v>
      </c>
      <c r="S137" s="536">
        <f>Tabla1[[#This Row],[VALOR GANADO]]</f>
        <v>30208.333333333332</v>
      </c>
      <c r="T137" s="537">
        <f>Tabla1[[#This Row],[VALOR  A PAGAR]]</f>
        <v>30208.333333333332</v>
      </c>
      <c r="U137" s="41">
        <f>Tabla1[[#This Row],[Columna1]]</f>
        <v>0</v>
      </c>
    </row>
    <row r="138" spans="2:21" ht="15.75" x14ac:dyDescent="0.25">
      <c r="B138" s="29">
        <f>Tabla1[[#This Row],[FECHA]]</f>
        <v>44495</v>
      </c>
      <c r="C138" s="26">
        <f>_xlfn.ISOWEEKNUM('CAJAS ELABORADAS'!$C138)</f>
        <v>43</v>
      </c>
      <c r="D138" s="27" t="str">
        <f>Tabla1[[#This Row],[FINCA]]</f>
        <v>UVEROS</v>
      </c>
      <c r="E138" s="531">
        <f>Tabla1[[#This Row],[Cajas Elaboradas]]</f>
        <v>86</v>
      </c>
      <c r="F138" s="26">
        <f>Tabla1[[#This Row],[Bolsas Elaboradas]]</f>
        <v>25</v>
      </c>
      <c r="G138" s="26">
        <f>Tabla1[[#This Row],[N° DE PERSONAS EN EL EMBARQUE]]</f>
        <v>7</v>
      </c>
      <c r="H138" s="532">
        <f>Tabla1[[#This Row],[Rasimos Cosechados]]</f>
        <v>0</v>
      </c>
      <c r="I138" s="532">
        <f>Tabla1[[#This Row],[Rasimos Prosesados]]</f>
        <v>0</v>
      </c>
      <c r="J138" s="532">
        <f>Tabla1[[#This Row],[Rasimos Rechasados]]</f>
        <v>0</v>
      </c>
      <c r="K138" s="533">
        <f>Tabla1[[#This Row],[PRECIO CAJA]]</f>
        <v>1500</v>
      </c>
      <c r="L138" s="534">
        <f>Tabla1[[#This Row],[PRECIO BOLSA]]</f>
        <v>500</v>
      </c>
      <c r="M138" s="533">
        <f>Tabla1[[#This Row],[PRODUCIDO CAJA]]</f>
        <v>129000</v>
      </c>
      <c r="N138" s="534">
        <f>Tabla1[[#This Row],[PRODUCIDO BOLSAS]]</f>
        <v>12500</v>
      </c>
      <c r="O138" s="533">
        <f>Tabla1[[#This Row],[TOTAL PRODUCIDO]]</f>
        <v>141500</v>
      </c>
      <c r="P138" s="534">
        <f>Tabla1[[#This Row],[Valor Pagado]]</f>
        <v>210000</v>
      </c>
      <c r="Q138" s="535">
        <f>Tabla1[[#This Row],[COEFICIENTE]]</f>
        <v>1</v>
      </c>
      <c r="R138" s="534">
        <f>Tabla1[[#This Row],[Precio Caja2]]</f>
        <v>2296.5116279069766</v>
      </c>
      <c r="S138" s="536">
        <f>Tabla1[[#This Row],[VALOR GANADO]]</f>
        <v>20214.285714285714</v>
      </c>
      <c r="T138" s="537">
        <f>Tabla1[[#This Row],[VALOR  A PAGAR]]</f>
        <v>30000</v>
      </c>
      <c r="U138" s="41">
        <f>Tabla1[[#This Row],[Columna1]]</f>
        <v>9785.7142857142862</v>
      </c>
    </row>
    <row r="139" spans="2:21" ht="15.75" x14ac:dyDescent="0.25">
      <c r="B139" s="29">
        <f>Tabla1[[#This Row],[FECHA]]</f>
        <v>44496</v>
      </c>
      <c r="C139" s="26">
        <f>_xlfn.ISOWEEKNUM('CAJAS ELABORADAS'!$C139)</f>
        <v>43</v>
      </c>
      <c r="D139" s="27" t="str">
        <f>Tabla1[[#This Row],[FINCA]]</f>
        <v>SAN PEDRO</v>
      </c>
      <c r="E139" s="531">
        <f>Tabla1[[#This Row],[Cajas Elaboradas]]</f>
        <v>185</v>
      </c>
      <c r="F139" s="26">
        <f>Tabla1[[#This Row],[Bolsas Elaboradas]]</f>
        <v>50</v>
      </c>
      <c r="G139" s="26">
        <f>Tabla1[[#This Row],[N° DE PERSONAS EN EL EMBARQUE]]</f>
        <v>11</v>
      </c>
      <c r="H139" s="532">
        <f>Tabla1[[#This Row],[Rasimos Cosechados]]</f>
        <v>867</v>
      </c>
      <c r="I139" s="532">
        <f>Tabla1[[#This Row],[Rasimos Prosesados]]</f>
        <v>53</v>
      </c>
      <c r="J139" s="532">
        <f>Tabla1[[#This Row],[Rasimos Rechasados]]</f>
        <v>814</v>
      </c>
      <c r="K139" s="533">
        <f>Tabla1[[#This Row],[PRECIO CAJA]]</f>
        <v>1500</v>
      </c>
      <c r="L139" s="534">
        <f>Tabla1[[#This Row],[PRECIO BOLSA]]</f>
        <v>500</v>
      </c>
      <c r="M139" s="533">
        <f>Tabla1[[#This Row],[PRODUCIDO CAJA]]</f>
        <v>277500</v>
      </c>
      <c r="N139" s="534">
        <f>Tabla1[[#This Row],[PRODUCIDO BOLSAS]]</f>
        <v>25000</v>
      </c>
      <c r="O139" s="533">
        <f>Tabla1[[#This Row],[TOTAL PRODUCIDO]]</f>
        <v>302500</v>
      </c>
      <c r="P139" s="534">
        <f>Tabla1[[#This Row],[Valor Pagado]]</f>
        <v>330000</v>
      </c>
      <c r="Q139" s="535">
        <f>Tabla1[[#This Row],[COEFICIENTE]]</f>
        <v>1</v>
      </c>
      <c r="R139" s="534">
        <f>Tabla1[[#This Row],[Precio Caja2]]</f>
        <v>1648.6486486486488</v>
      </c>
      <c r="S139" s="536">
        <f>Tabla1[[#This Row],[VALOR GANADO]]</f>
        <v>27500</v>
      </c>
      <c r="T139" s="537">
        <f>Tabla1[[#This Row],[VALOR  A PAGAR]]</f>
        <v>30000</v>
      </c>
      <c r="U139" s="41">
        <f>Tabla1[[#This Row],[Columna1]]</f>
        <v>2500</v>
      </c>
    </row>
    <row r="140" spans="2:21" ht="15.75" x14ac:dyDescent="0.25">
      <c r="B140" s="29">
        <f>Tabla1[[#This Row],[FECHA]]</f>
        <v>44496</v>
      </c>
      <c r="C140" s="26">
        <f>_xlfn.ISOWEEKNUM('CAJAS ELABORADAS'!$C140)</f>
        <v>43</v>
      </c>
      <c r="D140" s="27" t="str">
        <f>Tabla1[[#This Row],[FINCA]]</f>
        <v>DAMAQUIEL</v>
      </c>
      <c r="E140" s="531">
        <f>Tabla1[[#This Row],[Cajas Elaboradas]]</f>
        <v>165</v>
      </c>
      <c r="F140" s="26">
        <f>Tabla1[[#This Row],[Bolsas Elaboradas]]</f>
        <v>75</v>
      </c>
      <c r="G140" s="26">
        <f>Tabla1[[#This Row],[N° DE PERSONAS EN EL EMBARQUE]]</f>
        <v>9</v>
      </c>
      <c r="H140" s="532">
        <f>Tabla1[[#This Row],[Rasimos Cosechados]]</f>
        <v>0</v>
      </c>
      <c r="I140" s="532">
        <f>Tabla1[[#This Row],[Rasimos Prosesados]]</f>
        <v>0</v>
      </c>
      <c r="J140" s="532">
        <f>Tabla1[[#This Row],[Rasimos Rechasados]]</f>
        <v>0</v>
      </c>
      <c r="K140" s="533">
        <f>Tabla1[[#This Row],[PRECIO CAJA]]</f>
        <v>1500</v>
      </c>
      <c r="L140" s="534">
        <f>Tabla1[[#This Row],[PRECIO BOLSA]]</f>
        <v>500</v>
      </c>
      <c r="M140" s="533">
        <f>Tabla1[[#This Row],[PRODUCIDO CAJA]]</f>
        <v>247500</v>
      </c>
      <c r="N140" s="534">
        <f>Tabla1[[#This Row],[PRODUCIDO BOLSAS]]</f>
        <v>37500</v>
      </c>
      <c r="O140" s="533">
        <f>Tabla1[[#This Row],[TOTAL PRODUCIDO]]</f>
        <v>285000</v>
      </c>
      <c r="P140" s="534">
        <f>Tabla1[[#This Row],[Valor Pagado]]</f>
        <v>285000</v>
      </c>
      <c r="Q140" s="535">
        <f>Tabla1[[#This Row],[COEFICIENTE]]</f>
        <v>1.0555555555555556</v>
      </c>
      <c r="R140" s="534">
        <f>Tabla1[[#This Row],[Precio Caja2]]</f>
        <v>1500</v>
      </c>
      <c r="S140" s="536">
        <f>Tabla1[[#This Row],[VALOR GANADO]]</f>
        <v>31666.666666666668</v>
      </c>
      <c r="T140" s="537">
        <f>Tabla1[[#This Row],[VALOR  A PAGAR]]</f>
        <v>31666.666666666668</v>
      </c>
      <c r="U140" s="41">
        <f>Tabla1[[#This Row],[Columna1]]</f>
        <v>0</v>
      </c>
    </row>
    <row r="141" spans="2:21" ht="15.75" x14ac:dyDescent="0.25">
      <c r="B141" s="29">
        <f>Tabla1[[#This Row],[FECHA]]</f>
        <v>44496</v>
      </c>
      <c r="C141" s="26">
        <f>_xlfn.ISOWEEKNUM('CAJAS ELABORADAS'!$C141)</f>
        <v>43</v>
      </c>
      <c r="D141" s="27" t="str">
        <f>Tabla1[[#This Row],[FINCA]]</f>
        <v>PEDRITO</v>
      </c>
      <c r="E141" s="531">
        <f>Tabla1[[#This Row],[Cajas Elaboradas]]</f>
        <v>121</v>
      </c>
      <c r="F141" s="26">
        <f>Tabla1[[#This Row],[Bolsas Elaboradas]]</f>
        <v>55</v>
      </c>
      <c r="G141" s="26">
        <f>Tabla1[[#This Row],[N° DE PERSONAS EN EL EMBARQUE]]</f>
        <v>12</v>
      </c>
      <c r="H141" s="532">
        <f>Tabla1[[#This Row],[Rasimos Cosechados]]</f>
        <v>859</v>
      </c>
      <c r="I141" s="532">
        <f>Tabla1[[#This Row],[Rasimos Prosesados]]</f>
        <v>175</v>
      </c>
      <c r="J141" s="532">
        <f>Tabla1[[#This Row],[Rasimos Rechasados]]</f>
        <v>684</v>
      </c>
      <c r="K141" s="533">
        <f>Tabla1[[#This Row],[PRECIO CAJA]]</f>
        <v>3000</v>
      </c>
      <c r="L141" s="534">
        <f>Tabla1[[#This Row],[PRECIO BOLSA]]</f>
        <v>500</v>
      </c>
      <c r="M141" s="533">
        <f>Tabla1[[#This Row],[PRODUCIDO CAJA]]</f>
        <v>363000</v>
      </c>
      <c r="N141" s="534">
        <f>Tabla1[[#This Row],[PRODUCIDO BOLSAS]]</f>
        <v>27500</v>
      </c>
      <c r="O141" s="533">
        <f>Tabla1[[#This Row],[TOTAL PRODUCIDO]]</f>
        <v>390500</v>
      </c>
      <c r="P141" s="534">
        <f>Tabla1[[#This Row],[Valor Pagado]]</f>
        <v>390500</v>
      </c>
      <c r="Q141" s="535">
        <f>Tabla1[[#This Row],[COEFICIENTE]]</f>
        <v>1.0847222222222224</v>
      </c>
      <c r="R141" s="534">
        <f>Tabla1[[#This Row],[Precio Caja2]]</f>
        <v>3000</v>
      </c>
      <c r="S141" s="536">
        <f>Tabla1[[#This Row],[VALOR GANADO]]</f>
        <v>32541.666666666668</v>
      </c>
      <c r="T141" s="537">
        <f>Tabla1[[#This Row],[VALOR  A PAGAR]]</f>
        <v>32541.666666666668</v>
      </c>
      <c r="U141" s="41">
        <f>Tabla1[[#This Row],[Columna1]]</f>
        <v>0</v>
      </c>
    </row>
    <row r="142" spans="2:21" ht="15.75" x14ac:dyDescent="0.25">
      <c r="B142" s="29">
        <f>Tabla1[[#This Row],[FECHA]]</f>
        <v>44497</v>
      </c>
      <c r="C142" s="26">
        <f>_xlfn.ISOWEEKNUM('CAJAS ELABORADAS'!$C142)</f>
        <v>43</v>
      </c>
      <c r="D142" s="27" t="str">
        <f>Tabla1[[#This Row],[FINCA]]</f>
        <v>PEDRITO</v>
      </c>
      <c r="E142" s="531">
        <f>Tabla1[[#This Row],[Cajas Elaboradas]]</f>
        <v>50</v>
      </c>
      <c r="F142" s="26">
        <f>Tabla1[[#This Row],[Bolsas Elaboradas]]</f>
        <v>80.959999999999994</v>
      </c>
      <c r="G142" s="26">
        <f>Tabla1[[#This Row],[N° DE PERSONAS EN EL EMBARQUE]]</f>
        <v>10</v>
      </c>
      <c r="H142" s="532">
        <f>Tabla1[[#This Row],[Rasimos Cosechados]]</f>
        <v>0</v>
      </c>
      <c r="I142" s="532">
        <f>Tabla1[[#This Row],[Rasimos Prosesados]]</f>
        <v>0</v>
      </c>
      <c r="J142" s="532">
        <f>Tabla1[[#This Row],[Rasimos Rechasados]]</f>
        <v>0</v>
      </c>
      <c r="K142" s="533">
        <f>Tabla1[[#This Row],[PRECIO CAJA]]</f>
        <v>3000</v>
      </c>
      <c r="L142" s="534">
        <f>Tabla1[[#This Row],[PRECIO BOLSA]]</f>
        <v>500</v>
      </c>
      <c r="M142" s="533">
        <f>Tabla1[[#This Row],[PRODUCIDO CAJA]]</f>
        <v>150000</v>
      </c>
      <c r="N142" s="534">
        <f>Tabla1[[#This Row],[PRODUCIDO BOLSAS]]</f>
        <v>40480</v>
      </c>
      <c r="O142" s="533">
        <f>Tabla1[[#This Row],[TOTAL PRODUCIDO]]</f>
        <v>190480</v>
      </c>
      <c r="P142" s="534">
        <f>Tabla1[[#This Row],[Valor Pagado]]</f>
        <v>300000</v>
      </c>
      <c r="Q142" s="535">
        <f>Tabla1[[#This Row],[COEFICIENTE]]</f>
        <v>1</v>
      </c>
      <c r="R142" s="534">
        <f>Tabla1[[#This Row],[Precio Caja2]]</f>
        <v>5190.3999999999996</v>
      </c>
      <c r="S142" s="536">
        <f>Tabla1[[#This Row],[VALOR GANADO]]</f>
        <v>19048</v>
      </c>
      <c r="T142" s="537">
        <f>Tabla1[[#This Row],[VALOR  A PAGAR]]</f>
        <v>30000</v>
      </c>
      <c r="U142" s="41">
        <f>Tabla1[[#This Row],[Columna1]]</f>
        <v>10952</v>
      </c>
    </row>
    <row r="143" spans="2:21" ht="15.75" x14ac:dyDescent="0.25">
      <c r="B143" s="29">
        <f>Tabla1[[#This Row],[FECHA]]</f>
        <v>44502</v>
      </c>
      <c r="C143" s="26">
        <f>_xlfn.ISOWEEKNUM('CAJAS ELABORADAS'!$C143)</f>
        <v>44</v>
      </c>
      <c r="D143" s="27" t="str">
        <f>Tabla1[[#This Row],[FINCA]]</f>
        <v>UVERO</v>
      </c>
      <c r="E143" s="531">
        <f>Tabla1[[#This Row],[Cajas Elaboradas]]</f>
        <v>81</v>
      </c>
      <c r="F143" s="26">
        <f>Tabla1[[#This Row],[Bolsas Elaboradas]]</f>
        <v>39</v>
      </c>
      <c r="G143" s="26">
        <f>Tabla1[[#This Row],[N° DE PERSONAS EN EL EMBARQUE]]</f>
        <v>6</v>
      </c>
      <c r="H143" s="532">
        <f>Tabla1[[#This Row],[Rasimos Cosechados]]</f>
        <v>0</v>
      </c>
      <c r="I143" s="532">
        <f>Tabla1[[#This Row],[Rasimos Prosesados]]</f>
        <v>0</v>
      </c>
      <c r="J143" s="532">
        <f>Tabla1[[#This Row],[Rasimos Rechasados]]</f>
        <v>0</v>
      </c>
      <c r="K143" s="533">
        <f>Tabla1[[#This Row],[PRECIO CAJA]]</f>
        <v>1500</v>
      </c>
      <c r="L143" s="534">
        <f>Tabla1[[#This Row],[PRECIO BOLSA]]</f>
        <v>500</v>
      </c>
      <c r="M143" s="533">
        <f>Tabla1[[#This Row],[PRODUCIDO CAJA]]</f>
        <v>121500</v>
      </c>
      <c r="N143" s="534">
        <f>Tabla1[[#This Row],[PRODUCIDO BOLSAS]]</f>
        <v>19500</v>
      </c>
      <c r="O143" s="533">
        <f>Tabla1[[#This Row],[TOTAL PRODUCIDO]]</f>
        <v>141000</v>
      </c>
      <c r="P143" s="534">
        <f>Tabla1[[#This Row],[Valor Pagado]]</f>
        <v>180000</v>
      </c>
      <c r="Q143" s="535">
        <f>Tabla1[[#This Row],[COEFICIENTE]]</f>
        <v>1</v>
      </c>
      <c r="R143" s="534">
        <f>Tabla1[[#This Row],[Precio Caja2]]</f>
        <v>1981.4814814814815</v>
      </c>
      <c r="S143" s="536">
        <f>Tabla1[[#This Row],[VALOR GANADO]]</f>
        <v>23500</v>
      </c>
      <c r="T143" s="537">
        <f>Tabla1[[#This Row],[VALOR  A PAGAR]]</f>
        <v>30000</v>
      </c>
      <c r="U143" s="41">
        <f>Tabla1[[#This Row],[Columna1]]</f>
        <v>6500</v>
      </c>
    </row>
    <row r="144" spans="2:21" ht="15.75" x14ac:dyDescent="0.25">
      <c r="B144" s="29">
        <f>Tabla1[[#This Row],[FECHA]]</f>
        <v>44502</v>
      </c>
      <c r="C144" s="26">
        <f>_xlfn.ISOWEEKNUM('CAJAS ELABORADAS'!$C144)</f>
        <v>44</v>
      </c>
      <c r="D144" s="27" t="str">
        <f>Tabla1[[#This Row],[FINCA]]</f>
        <v>SAN PEDRO</v>
      </c>
      <c r="E144" s="531">
        <f>Tabla1[[#This Row],[Cajas Elaboradas]]</f>
        <v>293</v>
      </c>
      <c r="F144" s="26">
        <f>Tabla1[[#This Row],[Bolsas Elaboradas]]</f>
        <v>40</v>
      </c>
      <c r="G144" s="26">
        <f>Tabla1[[#This Row],[N° DE PERSONAS EN EL EMBARQUE]]</f>
        <v>14</v>
      </c>
      <c r="H144" s="532">
        <f>Tabla1[[#This Row],[Rasimos Cosechados]]</f>
        <v>0</v>
      </c>
      <c r="I144" s="532">
        <f>Tabla1[[#This Row],[Rasimos Prosesados]]</f>
        <v>0</v>
      </c>
      <c r="J144" s="532">
        <f>Tabla1[[#This Row],[Rasimos Rechasados]]</f>
        <v>0</v>
      </c>
      <c r="K144" s="533">
        <f>Tabla1[[#This Row],[PRECIO CAJA]]</f>
        <v>1500</v>
      </c>
      <c r="L144" s="534">
        <f>Tabla1[[#This Row],[PRECIO BOLSA]]</f>
        <v>500</v>
      </c>
      <c r="M144" s="533">
        <f>Tabla1[[#This Row],[PRODUCIDO CAJA]]</f>
        <v>439500</v>
      </c>
      <c r="N144" s="534">
        <f>Tabla1[[#This Row],[PRODUCIDO BOLSAS]]</f>
        <v>20000</v>
      </c>
      <c r="O144" s="533">
        <f>Tabla1[[#This Row],[TOTAL PRODUCIDO]]</f>
        <v>459500</v>
      </c>
      <c r="P144" s="534">
        <f>Tabla1[[#This Row],[Valor Pagado]]</f>
        <v>459500</v>
      </c>
      <c r="Q144" s="535">
        <f>Tabla1[[#This Row],[COEFICIENTE]]</f>
        <v>1.0940476190476192</v>
      </c>
      <c r="R144" s="534">
        <f>Tabla1[[#This Row],[Precio Caja2]]</f>
        <v>1500</v>
      </c>
      <c r="S144" s="536">
        <f>Tabla1[[#This Row],[VALOR GANADO]]</f>
        <v>32821.428571428572</v>
      </c>
      <c r="T144" s="537">
        <f>Tabla1[[#This Row],[VALOR  A PAGAR]]</f>
        <v>32821.428571428572</v>
      </c>
      <c r="U144" s="41">
        <f>Tabla1[[#This Row],[Columna1]]</f>
        <v>0</v>
      </c>
    </row>
    <row r="145" spans="2:21" ht="15.75" x14ac:dyDescent="0.25">
      <c r="B145" s="29">
        <f>Tabla1[[#This Row],[FECHA]]</f>
        <v>44503</v>
      </c>
      <c r="C145" s="26">
        <f>_xlfn.ISOWEEKNUM('CAJAS ELABORADAS'!$C145)</f>
        <v>44</v>
      </c>
      <c r="D145" s="27" t="str">
        <f>Tabla1[[#This Row],[FINCA]]</f>
        <v>SAN PEDRO</v>
      </c>
      <c r="E145" s="531">
        <f>Tabla1[[#This Row],[Cajas Elaboradas]]</f>
        <v>200</v>
      </c>
      <c r="F145" s="26">
        <f>Tabla1[[#This Row],[Bolsas Elaboradas]]</f>
        <v>40</v>
      </c>
      <c r="G145" s="26">
        <f>Tabla1[[#This Row],[N° DE PERSONAS EN EL EMBARQUE]]</f>
        <v>14</v>
      </c>
      <c r="H145" s="532">
        <f>Tabla1[[#This Row],[Rasimos Cosechados]]</f>
        <v>0</v>
      </c>
      <c r="I145" s="532">
        <f>Tabla1[[#This Row],[Rasimos Prosesados]]</f>
        <v>0</v>
      </c>
      <c r="J145" s="532">
        <f>Tabla1[[#This Row],[Rasimos Rechasados]]</f>
        <v>0</v>
      </c>
      <c r="K145" s="533">
        <f>Tabla1[[#This Row],[PRECIO CAJA]]</f>
        <v>1500</v>
      </c>
      <c r="L145" s="534">
        <f>Tabla1[[#This Row],[PRECIO BOLSA]]</f>
        <v>500</v>
      </c>
      <c r="M145" s="533">
        <f>Tabla1[[#This Row],[PRODUCIDO CAJA]]</f>
        <v>300000</v>
      </c>
      <c r="N145" s="534">
        <f>Tabla1[[#This Row],[PRODUCIDO BOLSAS]]</f>
        <v>20000</v>
      </c>
      <c r="O145" s="533">
        <f>Tabla1[[#This Row],[TOTAL PRODUCIDO]]</f>
        <v>320000</v>
      </c>
      <c r="P145" s="534">
        <f>Tabla1[[#This Row],[Valor Pagado]]</f>
        <v>420000</v>
      </c>
      <c r="Q145" s="535">
        <f>Tabla1[[#This Row],[COEFICIENTE]]</f>
        <v>1</v>
      </c>
      <c r="R145" s="534">
        <f>Tabla1[[#This Row],[Precio Caja2]]</f>
        <v>2000</v>
      </c>
      <c r="S145" s="536">
        <f>Tabla1[[#This Row],[VALOR GANADO]]</f>
        <v>22857.142857142859</v>
      </c>
      <c r="T145" s="537">
        <f>Tabla1[[#This Row],[VALOR  A PAGAR]]</f>
        <v>30000</v>
      </c>
      <c r="U145" s="41">
        <f>Tabla1[[#This Row],[Columna1]]</f>
        <v>7142.8571428571413</v>
      </c>
    </row>
    <row r="146" spans="2:21" ht="15.75" x14ac:dyDescent="0.25">
      <c r="B146" s="29">
        <f>Tabla1[[#This Row],[FECHA]]</f>
        <v>44509</v>
      </c>
      <c r="C146" s="26">
        <f>_xlfn.ISOWEEKNUM('CAJAS ELABORADAS'!$C146)</f>
        <v>45</v>
      </c>
      <c r="D146" s="27" t="str">
        <f>Tabla1[[#This Row],[FINCA]]</f>
        <v>SAN PEDRO</v>
      </c>
      <c r="E146" s="531">
        <f>Tabla1[[#This Row],[Cajas Elaboradas]]</f>
        <v>303</v>
      </c>
      <c r="F146" s="26">
        <f>Tabla1[[#This Row],[Bolsas Elaboradas]]</f>
        <v>28</v>
      </c>
      <c r="G146" s="26">
        <f>Tabla1[[#This Row],[N° DE PERSONAS EN EL EMBARQUE]]</f>
        <v>13</v>
      </c>
      <c r="H146" s="532">
        <f>Tabla1[[#This Row],[Rasimos Cosechados]]</f>
        <v>0</v>
      </c>
      <c r="I146" s="532">
        <f>Tabla1[[#This Row],[Rasimos Prosesados]]</f>
        <v>0</v>
      </c>
      <c r="J146" s="532">
        <f>Tabla1[[#This Row],[Rasimos Rechasados]]</f>
        <v>0</v>
      </c>
      <c r="K146" s="533">
        <f>Tabla1[[#This Row],[PRECIO CAJA]]</f>
        <v>1500</v>
      </c>
      <c r="L146" s="534">
        <f>Tabla1[[#This Row],[PRECIO BOLSA]]</f>
        <v>500</v>
      </c>
      <c r="M146" s="533">
        <f>Tabla1[[#This Row],[PRODUCIDO CAJA]]</f>
        <v>454500</v>
      </c>
      <c r="N146" s="534">
        <f>Tabla1[[#This Row],[PRODUCIDO BOLSAS]]</f>
        <v>14000</v>
      </c>
      <c r="O146" s="533">
        <f>Tabla1[[#This Row],[TOTAL PRODUCIDO]]</f>
        <v>468500</v>
      </c>
      <c r="P146" s="534">
        <f>Tabla1[[#This Row],[Valor Pagado]]</f>
        <v>468500</v>
      </c>
      <c r="Q146" s="535">
        <f>Tabla1[[#This Row],[COEFICIENTE]]</f>
        <v>1.2012820512820512</v>
      </c>
      <c r="R146" s="534">
        <f>Tabla1[[#This Row],[Precio Caja2]]</f>
        <v>1500</v>
      </c>
      <c r="S146" s="536">
        <f>Tabla1[[#This Row],[VALOR GANADO]]</f>
        <v>36038.461538461539</v>
      </c>
      <c r="T146" s="537">
        <f>Tabla1[[#This Row],[VALOR  A PAGAR]]</f>
        <v>36038.461538461539</v>
      </c>
      <c r="U146" s="41">
        <f>Tabla1[[#This Row],[Columna1]]</f>
        <v>0</v>
      </c>
    </row>
    <row r="147" spans="2:21" ht="15.75" x14ac:dyDescent="0.25">
      <c r="B147" s="29">
        <f>Tabla1[[#This Row],[FECHA]]</f>
        <v>44509</v>
      </c>
      <c r="C147" s="26">
        <f>_xlfn.ISOWEEKNUM('CAJAS ELABORADAS'!$C147)</f>
        <v>45</v>
      </c>
      <c r="D147" s="27" t="str">
        <f>Tabla1[[#This Row],[FINCA]]</f>
        <v>UVEROS</v>
      </c>
      <c r="E147" s="531">
        <f>Tabla1[[#This Row],[Cajas Elaboradas]]</f>
        <v>82</v>
      </c>
      <c r="F147" s="26">
        <f>Tabla1[[#This Row],[Bolsas Elaboradas]]</f>
        <v>18</v>
      </c>
      <c r="G147" s="26">
        <f>Tabla1[[#This Row],[N° DE PERSONAS EN EL EMBARQUE]]</f>
        <v>5</v>
      </c>
      <c r="H147" s="532">
        <f>Tabla1[[#This Row],[Rasimos Cosechados]]</f>
        <v>0</v>
      </c>
      <c r="I147" s="532">
        <f>Tabla1[[#This Row],[Rasimos Prosesados]]</f>
        <v>0</v>
      </c>
      <c r="J147" s="532">
        <f>Tabla1[[#This Row],[Rasimos Rechasados]]</f>
        <v>0</v>
      </c>
      <c r="K147" s="533">
        <f>Tabla1[[#This Row],[PRECIO CAJA]]</f>
        <v>1500</v>
      </c>
      <c r="L147" s="534">
        <f>Tabla1[[#This Row],[PRECIO BOLSA]]</f>
        <v>500</v>
      </c>
      <c r="M147" s="533">
        <f>Tabla1[[#This Row],[PRODUCIDO CAJA]]</f>
        <v>123000</v>
      </c>
      <c r="N147" s="534">
        <f>Tabla1[[#This Row],[PRODUCIDO BOLSAS]]</f>
        <v>9000</v>
      </c>
      <c r="O147" s="533">
        <f>Tabla1[[#This Row],[TOTAL PRODUCIDO]]</f>
        <v>132000</v>
      </c>
      <c r="P147" s="534">
        <f>Tabla1[[#This Row],[Valor Pagado]]</f>
        <v>150000</v>
      </c>
      <c r="Q147" s="535">
        <f>Tabla1[[#This Row],[COEFICIENTE]]</f>
        <v>1</v>
      </c>
      <c r="R147" s="534">
        <f>Tabla1[[#This Row],[Precio Caja2]]</f>
        <v>1719.5121951219512</v>
      </c>
      <c r="S147" s="536">
        <f>Tabla1[[#This Row],[VALOR GANADO]]</f>
        <v>26400</v>
      </c>
      <c r="T147" s="537">
        <f>Tabla1[[#This Row],[VALOR  A PAGAR]]</f>
        <v>30000</v>
      </c>
      <c r="U147" s="41">
        <f>Tabla1[[#This Row],[Columna1]]</f>
        <v>3600</v>
      </c>
    </row>
    <row r="148" spans="2:21" ht="15.75" x14ac:dyDescent="0.25">
      <c r="B148" s="29">
        <f>Tabla1[[#This Row],[FECHA]]</f>
        <v>44510</v>
      </c>
      <c r="C148" s="26">
        <f>_xlfn.ISOWEEKNUM('CAJAS ELABORADAS'!$C148)</f>
        <v>45</v>
      </c>
      <c r="D148" s="27" t="str">
        <f>Tabla1[[#This Row],[FINCA]]</f>
        <v>SAN PEDRO</v>
      </c>
      <c r="E148" s="531">
        <f>Tabla1[[#This Row],[Cajas Elaboradas]]</f>
        <v>322</v>
      </c>
      <c r="F148" s="26">
        <f>Tabla1[[#This Row],[Bolsas Elaboradas]]</f>
        <v>32</v>
      </c>
      <c r="G148" s="26">
        <f>Tabla1[[#This Row],[N° DE PERSONAS EN EL EMBARQUE]]</f>
        <v>13</v>
      </c>
      <c r="H148" s="532">
        <f>Tabla1[[#This Row],[Rasimos Cosechados]]</f>
        <v>0</v>
      </c>
      <c r="I148" s="532">
        <f>Tabla1[[#This Row],[Rasimos Prosesados]]</f>
        <v>0</v>
      </c>
      <c r="J148" s="532">
        <f>Tabla1[[#This Row],[Rasimos Rechasados]]</f>
        <v>0</v>
      </c>
      <c r="K148" s="533">
        <f>Tabla1[[#This Row],[PRECIO CAJA]]</f>
        <v>1500</v>
      </c>
      <c r="L148" s="534">
        <f>Tabla1[[#This Row],[PRECIO BOLSA]]</f>
        <v>500</v>
      </c>
      <c r="M148" s="533">
        <f>Tabla1[[#This Row],[PRODUCIDO CAJA]]</f>
        <v>483000</v>
      </c>
      <c r="N148" s="534">
        <f>Tabla1[[#This Row],[PRODUCIDO BOLSAS]]</f>
        <v>16000</v>
      </c>
      <c r="O148" s="533">
        <f>Tabla1[[#This Row],[TOTAL PRODUCIDO]]</f>
        <v>499000</v>
      </c>
      <c r="P148" s="534">
        <f>Tabla1[[#This Row],[Valor Pagado]]</f>
        <v>499000</v>
      </c>
      <c r="Q148" s="535">
        <f>Tabla1[[#This Row],[COEFICIENTE]]</f>
        <v>1.2794871794871794</v>
      </c>
      <c r="R148" s="534">
        <f>Tabla1[[#This Row],[Precio Caja2]]</f>
        <v>1500</v>
      </c>
      <c r="S148" s="536">
        <f>Tabla1[[#This Row],[VALOR GANADO]]</f>
        <v>38384.615384615383</v>
      </c>
      <c r="T148" s="537">
        <f>Tabla1[[#This Row],[VALOR  A PAGAR]]</f>
        <v>38384.615384615383</v>
      </c>
      <c r="U148" s="41">
        <f>Tabla1[[#This Row],[Columna1]]</f>
        <v>0</v>
      </c>
    </row>
    <row r="149" spans="2:21" ht="15.75" x14ac:dyDescent="0.25">
      <c r="B149" s="29">
        <f>Tabla1[[#This Row],[FECHA]]</f>
        <v>44510</v>
      </c>
      <c r="C149" s="26">
        <f>_xlfn.ISOWEEKNUM('CAJAS ELABORADAS'!$C149)</f>
        <v>45</v>
      </c>
      <c r="D149" s="27" t="str">
        <f>Tabla1[[#This Row],[FINCA]]</f>
        <v>PEDRITO</v>
      </c>
      <c r="E149" s="531">
        <f>Tabla1[[#This Row],[Cajas Elaboradas]]</f>
        <v>208</v>
      </c>
      <c r="F149" s="26">
        <f>Tabla1[[#This Row],[Bolsas Elaboradas]]</f>
        <v>68.400000000000006</v>
      </c>
      <c r="G149" s="26">
        <f>Tabla1[[#This Row],[N° DE PERSONAS EN EL EMBARQUE]]</f>
        <v>16</v>
      </c>
      <c r="H149" s="532">
        <f>Tabla1[[#This Row],[Rasimos Cosechados]]</f>
        <v>0</v>
      </c>
      <c r="I149" s="532">
        <f>Tabla1[[#This Row],[Rasimos Prosesados]]</f>
        <v>0</v>
      </c>
      <c r="J149" s="532">
        <f>Tabla1[[#This Row],[Rasimos Rechasados]]</f>
        <v>0</v>
      </c>
      <c r="K149" s="533">
        <f>Tabla1[[#This Row],[PRECIO CAJA]]</f>
        <v>3000</v>
      </c>
      <c r="L149" s="534">
        <f>Tabla1[[#This Row],[PRECIO BOLSA]]</f>
        <v>500</v>
      </c>
      <c r="M149" s="533">
        <f>Tabla1[[#This Row],[PRODUCIDO CAJA]]</f>
        <v>624000</v>
      </c>
      <c r="N149" s="534">
        <f>Tabla1[[#This Row],[PRODUCIDO BOLSAS]]</f>
        <v>34200</v>
      </c>
      <c r="O149" s="533">
        <f>Tabla1[[#This Row],[TOTAL PRODUCIDO]]</f>
        <v>658200</v>
      </c>
      <c r="P149" s="534">
        <f>Tabla1[[#This Row],[Valor Pagado]]</f>
        <v>658200</v>
      </c>
      <c r="Q149" s="535">
        <f>Tabla1[[#This Row],[COEFICIENTE]]</f>
        <v>1.3712500000000001</v>
      </c>
      <c r="R149" s="534">
        <f>Tabla1[[#This Row],[Precio Caja2]]</f>
        <v>3000</v>
      </c>
      <c r="S149" s="536">
        <f>Tabla1[[#This Row],[VALOR GANADO]]</f>
        <v>41137.5</v>
      </c>
      <c r="T149" s="537">
        <f>Tabla1[[#This Row],[VALOR  A PAGAR]]</f>
        <v>41137.5</v>
      </c>
      <c r="U149" s="41">
        <f>Tabla1[[#This Row],[Columna1]]</f>
        <v>0</v>
      </c>
    </row>
    <row r="150" spans="2:21" ht="15.75" x14ac:dyDescent="0.25">
      <c r="B150" s="29">
        <f>Tabla1[[#This Row],[FECHA]]</f>
        <v>44510</v>
      </c>
      <c r="C150" s="26">
        <f>_xlfn.ISOWEEKNUM('CAJAS ELABORADAS'!$C150)</f>
        <v>45</v>
      </c>
      <c r="D150" s="27" t="str">
        <f>Tabla1[[#This Row],[FINCA]]</f>
        <v>DAMAQUIEL</v>
      </c>
      <c r="E150" s="531">
        <f>Tabla1[[#This Row],[Cajas Elaboradas]]</f>
        <v>196</v>
      </c>
      <c r="F150" s="26">
        <f>Tabla1[[#This Row],[Bolsas Elaboradas]]</f>
        <v>57.6</v>
      </c>
      <c r="G150" s="26">
        <f>Tabla1[[#This Row],[N° DE PERSONAS EN EL EMBARQUE]]</f>
        <v>9</v>
      </c>
      <c r="H150" s="532">
        <f>Tabla1[[#This Row],[Rasimos Cosechados]]</f>
        <v>0</v>
      </c>
      <c r="I150" s="532">
        <f>Tabla1[[#This Row],[Rasimos Prosesados]]</f>
        <v>0</v>
      </c>
      <c r="J150" s="532">
        <f>Tabla1[[#This Row],[Rasimos Rechasados]]</f>
        <v>0</v>
      </c>
      <c r="K150" s="533">
        <f>Tabla1[[#This Row],[PRECIO CAJA]]</f>
        <v>1500</v>
      </c>
      <c r="L150" s="534">
        <f>Tabla1[[#This Row],[PRECIO BOLSA]]</f>
        <v>500</v>
      </c>
      <c r="M150" s="533">
        <f>Tabla1[[#This Row],[PRODUCIDO CAJA]]</f>
        <v>294000</v>
      </c>
      <c r="N150" s="534">
        <f>Tabla1[[#This Row],[PRODUCIDO BOLSAS]]</f>
        <v>28800</v>
      </c>
      <c r="O150" s="533">
        <f>Tabla1[[#This Row],[TOTAL PRODUCIDO]]</f>
        <v>322800</v>
      </c>
      <c r="P150" s="534">
        <f>Tabla1[[#This Row],[Valor Pagado]]</f>
        <v>322800</v>
      </c>
      <c r="Q150" s="535">
        <f>Tabla1[[#This Row],[COEFICIENTE]]</f>
        <v>1.1955555555555555</v>
      </c>
      <c r="R150" s="534">
        <f>Tabla1[[#This Row],[Precio Caja2]]</f>
        <v>1500</v>
      </c>
      <c r="S150" s="536">
        <f>Tabla1[[#This Row],[VALOR GANADO]]</f>
        <v>35866.666666666664</v>
      </c>
      <c r="T150" s="537">
        <f>Tabla1[[#This Row],[VALOR  A PAGAR]]</f>
        <v>35866.666666666664</v>
      </c>
      <c r="U150" s="41">
        <f>Tabla1[[#This Row],[Columna1]]</f>
        <v>0</v>
      </c>
    </row>
    <row r="151" spans="2:21" ht="15.75" x14ac:dyDescent="0.25">
      <c r="B151" s="29">
        <f>Tabla1[[#This Row],[FECHA]]</f>
        <v>44516</v>
      </c>
      <c r="C151" s="26">
        <f>_xlfn.ISOWEEKNUM('CAJAS ELABORADAS'!$C151)</f>
        <v>46</v>
      </c>
      <c r="D151" s="27" t="str">
        <f>Tabla1[[#This Row],[FINCA]]</f>
        <v>SAN PEDRO</v>
      </c>
      <c r="E151" s="531">
        <f>Tabla1[[#This Row],[Cajas Elaboradas]]</f>
        <v>252</v>
      </c>
      <c r="F151" s="26">
        <f>Tabla1[[#This Row],[Bolsas Elaboradas]]</f>
        <v>27</v>
      </c>
      <c r="G151" s="26">
        <f>Tabla1[[#This Row],[N° DE PERSONAS EN EL EMBARQUE]]</f>
        <v>12</v>
      </c>
      <c r="H151" s="532">
        <f>Tabla1[[#This Row],[Rasimos Cosechados]]</f>
        <v>1035</v>
      </c>
      <c r="I151" s="532">
        <f>Tabla1[[#This Row],[Rasimos Prosesados]]</f>
        <v>0</v>
      </c>
      <c r="J151" s="532">
        <f>Tabla1[[#This Row],[Rasimos Rechasados]]</f>
        <v>1035</v>
      </c>
      <c r="K151" s="533">
        <f>Tabla1[[#This Row],[PRECIO CAJA]]</f>
        <v>1500</v>
      </c>
      <c r="L151" s="534">
        <f>Tabla1[[#This Row],[PRECIO BOLSA]]</f>
        <v>500</v>
      </c>
      <c r="M151" s="533">
        <f>Tabla1[[#This Row],[PRODUCIDO CAJA]]</f>
        <v>378000</v>
      </c>
      <c r="N151" s="534">
        <f>Tabla1[[#This Row],[PRODUCIDO BOLSAS]]</f>
        <v>13500</v>
      </c>
      <c r="O151" s="533">
        <f>Tabla1[[#This Row],[TOTAL PRODUCIDO]]</f>
        <v>391500</v>
      </c>
      <c r="P151" s="534">
        <f>Tabla1[[#This Row],[Valor Pagado]]</f>
        <v>391500</v>
      </c>
      <c r="Q151" s="535">
        <f>Tabla1[[#This Row],[COEFICIENTE]]</f>
        <v>1.0874999999999999</v>
      </c>
      <c r="R151" s="534">
        <f>Tabla1[[#This Row],[Precio Caja2]]</f>
        <v>1500</v>
      </c>
      <c r="S151" s="536">
        <f>Tabla1[[#This Row],[VALOR GANADO]]</f>
        <v>32625</v>
      </c>
      <c r="T151" s="537">
        <f>Tabla1[[#This Row],[VALOR  A PAGAR]]</f>
        <v>32625</v>
      </c>
      <c r="U151" s="41">
        <f>Tabla1[[#This Row],[Columna1]]</f>
        <v>0</v>
      </c>
    </row>
    <row r="152" spans="2:21" ht="15.75" x14ac:dyDescent="0.25">
      <c r="B152" s="29">
        <f>Tabla1[[#This Row],[FECHA]]</f>
        <v>44516</v>
      </c>
      <c r="C152" s="26">
        <f>_xlfn.ISOWEEKNUM('CAJAS ELABORADAS'!$C152)</f>
        <v>46</v>
      </c>
      <c r="D152" s="27" t="str">
        <f>Tabla1[[#This Row],[FINCA]]</f>
        <v>UVEROS</v>
      </c>
      <c r="E152" s="531">
        <f>Tabla1[[#This Row],[Cajas Elaboradas]]</f>
        <v>90</v>
      </c>
      <c r="F152" s="26">
        <f>Tabla1[[#This Row],[Bolsas Elaboradas]]</f>
        <v>10.5</v>
      </c>
      <c r="G152" s="26">
        <f>Tabla1[[#This Row],[N° DE PERSONAS EN EL EMBARQUE]]</f>
        <v>5</v>
      </c>
      <c r="H152" s="532">
        <f>Tabla1[[#This Row],[Rasimos Cosechados]]</f>
        <v>390</v>
      </c>
      <c r="I152" s="532">
        <f>Tabla1[[#This Row],[Rasimos Prosesados]]</f>
        <v>348</v>
      </c>
      <c r="J152" s="532">
        <f>Tabla1[[#This Row],[Rasimos Rechasados]]</f>
        <v>42</v>
      </c>
      <c r="K152" s="533">
        <f>Tabla1[[#This Row],[PRECIO CAJA]]</f>
        <v>1500</v>
      </c>
      <c r="L152" s="534">
        <f>Tabla1[[#This Row],[PRECIO BOLSA]]</f>
        <v>500</v>
      </c>
      <c r="M152" s="533">
        <f>Tabla1[[#This Row],[PRODUCIDO CAJA]]</f>
        <v>135000</v>
      </c>
      <c r="N152" s="534">
        <f>Tabla1[[#This Row],[PRODUCIDO BOLSAS]]</f>
        <v>5250</v>
      </c>
      <c r="O152" s="533">
        <f>Tabla1[[#This Row],[TOTAL PRODUCIDO]]</f>
        <v>140250</v>
      </c>
      <c r="P152" s="534">
        <f>Tabla1[[#This Row],[Valor Pagado]]</f>
        <v>150000</v>
      </c>
      <c r="Q152" s="535">
        <f>Tabla1[[#This Row],[COEFICIENTE]]</f>
        <v>1</v>
      </c>
      <c r="R152" s="534">
        <f>Tabla1[[#This Row],[Precio Caja2]]</f>
        <v>1608.3333333333333</v>
      </c>
      <c r="S152" s="536">
        <f>Tabla1[[#This Row],[VALOR GANADO]]</f>
        <v>28050</v>
      </c>
      <c r="T152" s="537">
        <f>Tabla1[[#This Row],[VALOR  A PAGAR]]</f>
        <v>30000</v>
      </c>
      <c r="U152" s="41">
        <f>Tabla1[[#This Row],[Columna1]]</f>
        <v>1950</v>
      </c>
    </row>
    <row r="153" spans="2:21" ht="15.75" x14ac:dyDescent="0.25">
      <c r="B153" s="29">
        <f>Tabla1[[#This Row],[FECHA]]</f>
        <v>44517</v>
      </c>
      <c r="C153" s="26">
        <f>_xlfn.ISOWEEKNUM('CAJAS ELABORADAS'!$C153)</f>
        <v>46</v>
      </c>
      <c r="D153" s="27" t="str">
        <f>Tabla1[[#This Row],[FINCA]]</f>
        <v>SAN PEDRO</v>
      </c>
      <c r="E153" s="531">
        <f>Tabla1[[#This Row],[Cajas Elaboradas]]</f>
        <v>229</v>
      </c>
      <c r="F153" s="26">
        <f>Tabla1[[#This Row],[Bolsas Elaboradas]]</f>
        <v>14</v>
      </c>
      <c r="G153" s="26">
        <f>Tabla1[[#This Row],[N° DE PERSONAS EN EL EMBARQUE]]</f>
        <v>8</v>
      </c>
      <c r="H153" s="532">
        <f>Tabla1[[#This Row],[Rasimos Cosechados]]</f>
        <v>925</v>
      </c>
      <c r="I153" s="532">
        <f>Tabla1[[#This Row],[Rasimos Prosesados]]</f>
        <v>875</v>
      </c>
      <c r="J153" s="532">
        <f>Tabla1[[#This Row],[Rasimos Rechasados]]</f>
        <v>50</v>
      </c>
      <c r="K153" s="533">
        <f>Tabla1[[#This Row],[PRECIO CAJA]]</f>
        <v>1500</v>
      </c>
      <c r="L153" s="534">
        <f>Tabla1[[#This Row],[PRECIO BOLSA]]</f>
        <v>500</v>
      </c>
      <c r="M153" s="533">
        <f>Tabla1[[#This Row],[PRODUCIDO CAJA]]</f>
        <v>343500</v>
      </c>
      <c r="N153" s="534">
        <f>Tabla1[[#This Row],[PRODUCIDO BOLSAS]]</f>
        <v>7000</v>
      </c>
      <c r="O153" s="533">
        <f>Tabla1[[#This Row],[TOTAL PRODUCIDO]]</f>
        <v>350500</v>
      </c>
      <c r="P153" s="534">
        <f>Tabla1[[#This Row],[Valor Pagado]]</f>
        <v>350500</v>
      </c>
      <c r="Q153" s="535">
        <f>Tabla1[[#This Row],[COEFICIENTE]]</f>
        <v>1.4604166666666667</v>
      </c>
      <c r="R153" s="534">
        <f>Tabla1[[#This Row],[Precio Caja2]]</f>
        <v>1500</v>
      </c>
      <c r="S153" s="536">
        <f>Tabla1[[#This Row],[VALOR GANADO]]</f>
        <v>43812.5</v>
      </c>
      <c r="T153" s="537">
        <f>Tabla1[[#This Row],[VALOR  A PAGAR]]</f>
        <v>43812.5</v>
      </c>
      <c r="U153" s="41">
        <f>Tabla1[[#This Row],[Columna1]]</f>
        <v>0</v>
      </c>
    </row>
    <row r="154" spans="2:21" ht="15.75" x14ac:dyDescent="0.25">
      <c r="B154" s="29">
        <f>Tabla1[[#This Row],[FECHA]]</f>
        <v>44517</v>
      </c>
      <c r="C154" s="26">
        <f>_xlfn.ISOWEEKNUM('CAJAS ELABORADAS'!$C154)</f>
        <v>46</v>
      </c>
      <c r="D154" s="27" t="str">
        <f>Tabla1[[#This Row],[FINCA]]</f>
        <v>DAMAQUIEL</v>
      </c>
      <c r="E154" s="531">
        <f>Tabla1[[#This Row],[Cajas Elaboradas]]</f>
        <v>148.96</v>
      </c>
      <c r="F154" s="26">
        <f>Tabla1[[#This Row],[Bolsas Elaboradas]]</f>
        <v>43.2</v>
      </c>
      <c r="G154" s="26">
        <f>Tabla1[[#This Row],[N° DE PERSONAS EN EL EMBARQUE]]</f>
        <v>8</v>
      </c>
      <c r="H154" s="532">
        <f>Tabla1[[#This Row],[Rasimos Cosechados]]</f>
        <v>0</v>
      </c>
      <c r="I154" s="532">
        <f>Tabla1[[#This Row],[Rasimos Prosesados]]</f>
        <v>0</v>
      </c>
      <c r="J154" s="532">
        <f>Tabla1[[#This Row],[Rasimos Rechasados]]</f>
        <v>0</v>
      </c>
      <c r="K154" s="533">
        <f>Tabla1[[#This Row],[PRECIO CAJA]]</f>
        <v>1500</v>
      </c>
      <c r="L154" s="534">
        <f>Tabla1[[#This Row],[PRECIO BOLSA]]</f>
        <v>500</v>
      </c>
      <c r="M154" s="533">
        <f>Tabla1[[#This Row],[PRODUCIDO CAJA]]</f>
        <v>223440</v>
      </c>
      <c r="N154" s="534">
        <f>Tabla1[[#This Row],[PRODUCIDO BOLSAS]]</f>
        <v>21600</v>
      </c>
      <c r="O154" s="533">
        <f>Tabla1[[#This Row],[TOTAL PRODUCIDO]]</f>
        <v>245040</v>
      </c>
      <c r="P154" s="534">
        <f>Tabla1[[#This Row],[Valor Pagado]]</f>
        <v>245040</v>
      </c>
      <c r="Q154" s="535">
        <f>Tabla1[[#This Row],[COEFICIENTE]]</f>
        <v>1.0209999999999999</v>
      </c>
      <c r="R154" s="534">
        <f>Tabla1[[#This Row],[Precio Caja2]]</f>
        <v>1500</v>
      </c>
      <c r="S154" s="536">
        <f>Tabla1[[#This Row],[VALOR GANADO]]</f>
        <v>30630</v>
      </c>
      <c r="T154" s="537">
        <f>Tabla1[[#This Row],[VALOR  A PAGAR]]</f>
        <v>30630</v>
      </c>
      <c r="U154" s="41">
        <f>Tabla1[[#This Row],[Columna1]]</f>
        <v>0</v>
      </c>
    </row>
    <row r="155" spans="2:21" ht="15.75" x14ac:dyDescent="0.25">
      <c r="B155" s="29">
        <f>Tabla1[[#This Row],[FECHA]]</f>
        <v>44517</v>
      </c>
      <c r="C155" s="26">
        <f>_xlfn.ISOWEEKNUM('CAJAS ELABORADAS'!$C155)</f>
        <v>46</v>
      </c>
      <c r="D155" s="27" t="str">
        <f>Tabla1[[#This Row],[FINCA]]</f>
        <v>PEDRITO</v>
      </c>
      <c r="E155" s="531">
        <f>Tabla1[[#This Row],[Cajas Elaboradas]]</f>
        <v>186</v>
      </c>
      <c r="F155" s="26">
        <f>Tabla1[[#This Row],[Bolsas Elaboradas]]</f>
        <v>43.120000000000005</v>
      </c>
      <c r="G155" s="26">
        <f>Tabla1[[#This Row],[N° DE PERSONAS EN EL EMBARQUE]]</f>
        <v>14</v>
      </c>
      <c r="H155" s="532">
        <f>Tabla1[[#This Row],[Rasimos Cosechados]]</f>
        <v>745</v>
      </c>
      <c r="I155" s="532">
        <f>Tabla1[[#This Row],[Rasimos Prosesados]]</f>
        <v>658</v>
      </c>
      <c r="J155" s="532">
        <f>Tabla1[[#This Row],[Rasimos Rechasados]]</f>
        <v>87</v>
      </c>
      <c r="K155" s="533">
        <f>Tabla1[[#This Row],[PRECIO CAJA]]</f>
        <v>3000</v>
      </c>
      <c r="L155" s="534">
        <f>Tabla1[[#This Row],[PRECIO BOLSA]]</f>
        <v>500</v>
      </c>
      <c r="M155" s="533">
        <f>Tabla1[[#This Row],[PRODUCIDO CAJA]]</f>
        <v>558000</v>
      </c>
      <c r="N155" s="534">
        <f>Tabla1[[#This Row],[PRODUCIDO BOLSAS]]</f>
        <v>21560.000000000004</v>
      </c>
      <c r="O155" s="533">
        <f>Tabla1[[#This Row],[TOTAL PRODUCIDO]]</f>
        <v>579560</v>
      </c>
      <c r="P155" s="534">
        <f>Tabla1[[#This Row],[Valor Pagado]]</f>
        <v>579560</v>
      </c>
      <c r="Q155" s="535">
        <f>Tabla1[[#This Row],[COEFICIENTE]]</f>
        <v>1.3799047619047617</v>
      </c>
      <c r="R155" s="534">
        <f>Tabla1[[#This Row],[Precio Caja2]]</f>
        <v>3000</v>
      </c>
      <c r="S155" s="536">
        <f>Tabla1[[#This Row],[VALOR GANADO]]</f>
        <v>41397.142857142855</v>
      </c>
      <c r="T155" s="537">
        <f>Tabla1[[#This Row],[VALOR  A PAGAR]]</f>
        <v>41397.142857142855</v>
      </c>
      <c r="U155" s="41">
        <f>Tabla1[[#This Row],[Columna1]]</f>
        <v>0</v>
      </c>
    </row>
    <row r="156" spans="2:21" ht="15.75" x14ac:dyDescent="0.25">
      <c r="B156" s="29">
        <f>Tabla1[[#This Row],[FECHA]]</f>
        <v>44523</v>
      </c>
      <c r="C156" s="26">
        <f>_xlfn.ISOWEEKNUM('CAJAS ELABORADAS'!$C156)</f>
        <v>47</v>
      </c>
      <c r="D156" s="27" t="str">
        <f>Tabla1[[#This Row],[FINCA]]</f>
        <v>SAN PEDRO</v>
      </c>
      <c r="E156" s="531">
        <f>Tabla1[[#This Row],[Cajas Elaboradas]]</f>
        <v>331</v>
      </c>
      <c r="F156" s="26">
        <f>Tabla1[[#This Row],[Bolsas Elaboradas]]</f>
        <v>0</v>
      </c>
      <c r="G156" s="26">
        <f>Tabla1[[#This Row],[N° DE PERSONAS EN EL EMBARQUE]]</f>
        <v>11</v>
      </c>
      <c r="H156" s="532">
        <f>Tabla1[[#This Row],[Rasimos Cosechados]]</f>
        <v>1131</v>
      </c>
      <c r="I156" s="532">
        <f>Tabla1[[#This Row],[Rasimos Prosesados]]</f>
        <v>1103</v>
      </c>
      <c r="J156" s="532">
        <f>Tabla1[[#This Row],[Rasimos Rechasados]]</f>
        <v>28</v>
      </c>
      <c r="K156" s="533">
        <f>Tabla1[[#This Row],[PRECIO CAJA]]</f>
        <v>1500</v>
      </c>
      <c r="L156" s="534">
        <f>Tabla1[[#This Row],[PRECIO BOLSA]]</f>
        <v>0</v>
      </c>
      <c r="M156" s="533">
        <f>Tabla1[[#This Row],[PRODUCIDO CAJA]]</f>
        <v>496500</v>
      </c>
      <c r="N156" s="534">
        <f>Tabla1[[#This Row],[PRODUCIDO BOLSAS]]</f>
        <v>0</v>
      </c>
      <c r="O156" s="533">
        <f>Tabla1[[#This Row],[TOTAL PRODUCIDO]]</f>
        <v>496500</v>
      </c>
      <c r="P156" s="534">
        <f>Tabla1[[#This Row],[Valor Pagado]]</f>
        <v>496500.00000000006</v>
      </c>
      <c r="Q156" s="535">
        <f>Tabla1[[#This Row],[COEFICIENTE]]</f>
        <v>1.5045454545454546</v>
      </c>
      <c r="R156" s="534">
        <f>Tabla1[[#This Row],[Precio Caja2]]</f>
        <v>1500.0000000000002</v>
      </c>
      <c r="S156" s="536">
        <f>Tabla1[[#This Row],[VALOR GANADO]]</f>
        <v>45136.36363636364</v>
      </c>
      <c r="T156" s="537">
        <f>Tabla1[[#This Row],[VALOR  A PAGAR]]</f>
        <v>45136.36363636364</v>
      </c>
      <c r="U156" s="41">
        <f>Tabla1[[#This Row],[Columna1]]</f>
        <v>0</v>
      </c>
    </row>
    <row r="157" spans="2:21" ht="15.75" x14ac:dyDescent="0.25">
      <c r="B157" s="29">
        <f>Tabla1[[#This Row],[FECHA]]</f>
        <v>44524</v>
      </c>
      <c r="C157" s="26">
        <f>_xlfn.ISOWEEKNUM('CAJAS ELABORADAS'!$C157)</f>
        <v>47</v>
      </c>
      <c r="D157" s="27" t="str">
        <f>Tabla1[[#This Row],[FINCA]]</f>
        <v>PEDRITO</v>
      </c>
      <c r="E157" s="531">
        <f>Tabla1[[#This Row],[Cajas Elaboradas]]</f>
        <v>100</v>
      </c>
      <c r="F157" s="26">
        <f>Tabla1[[#This Row],[Bolsas Elaboradas]]</f>
        <v>25.2</v>
      </c>
      <c r="G157" s="26">
        <f>Tabla1[[#This Row],[N° DE PERSONAS EN EL EMBARQUE]]</f>
        <v>10</v>
      </c>
      <c r="H157" s="532">
        <f>Tabla1[[#This Row],[Rasimos Cosechados]]</f>
        <v>713</v>
      </c>
      <c r="I157" s="532">
        <f>Tabla1[[#This Row],[Rasimos Prosesados]]</f>
        <v>689</v>
      </c>
      <c r="J157" s="532">
        <f>Tabla1[[#This Row],[Rasimos Rechasados]]</f>
        <v>24</v>
      </c>
      <c r="K157" s="533">
        <f>Tabla1[[#This Row],[PRECIO CAJA]]</f>
        <v>3000</v>
      </c>
      <c r="L157" s="534">
        <f>Tabla1[[#This Row],[PRECIO BOLSA]]</f>
        <v>500</v>
      </c>
      <c r="M157" s="533">
        <f>Tabla1[[#This Row],[PRODUCIDO CAJA]]</f>
        <v>300000</v>
      </c>
      <c r="N157" s="534">
        <f>Tabla1[[#This Row],[PRODUCIDO BOLSAS]]</f>
        <v>12600</v>
      </c>
      <c r="O157" s="533">
        <f>Tabla1[[#This Row],[TOTAL PRODUCIDO]]</f>
        <v>312600</v>
      </c>
      <c r="P157" s="534">
        <f>Tabla1[[#This Row],[Valor Pagado]]</f>
        <v>312600</v>
      </c>
      <c r="Q157" s="535">
        <f>Tabla1[[#This Row],[COEFICIENTE]]</f>
        <v>1.042</v>
      </c>
      <c r="R157" s="534">
        <f>Tabla1[[#This Row],[Precio Caja2]]</f>
        <v>3000</v>
      </c>
      <c r="S157" s="536">
        <f>Tabla1[[#This Row],[VALOR GANADO]]</f>
        <v>31260</v>
      </c>
      <c r="T157" s="537">
        <f>Tabla1[[#This Row],[VALOR  A PAGAR]]</f>
        <v>31260</v>
      </c>
      <c r="U157" s="41">
        <f>Tabla1[[#This Row],[Columna1]]</f>
        <v>0</v>
      </c>
    </row>
    <row r="158" spans="2:21" ht="15.75" x14ac:dyDescent="0.25">
      <c r="B158" s="29">
        <f>Tabla1[[#This Row],[FECHA]]</f>
        <v>44524</v>
      </c>
      <c r="C158" s="26">
        <f>_xlfn.ISOWEEKNUM('CAJAS ELABORADAS'!$C158)</f>
        <v>47</v>
      </c>
      <c r="D158" s="27" t="str">
        <f>Tabla1[[#This Row],[FINCA]]</f>
        <v>SAN PEDRO</v>
      </c>
      <c r="E158" s="531">
        <f>Tabla1[[#This Row],[Cajas Elaboradas]]</f>
        <v>65</v>
      </c>
      <c r="F158" s="26">
        <f>Tabla1[[#This Row],[Bolsas Elaboradas]]</f>
        <v>39.6</v>
      </c>
      <c r="G158" s="26">
        <f>Tabla1[[#This Row],[N° DE PERSONAS EN EL EMBARQUE]]</f>
        <v>4</v>
      </c>
      <c r="H158" s="532">
        <f>Tabla1[[#This Row],[Rasimos Cosechados]]</f>
        <v>129</v>
      </c>
      <c r="I158" s="532">
        <f>Tabla1[[#This Row],[Rasimos Prosesados]]</f>
        <v>113</v>
      </c>
      <c r="J158" s="532">
        <f>Tabla1[[#This Row],[Rasimos Rechasados]]</f>
        <v>16</v>
      </c>
      <c r="K158" s="533">
        <f>Tabla1[[#This Row],[PRECIO CAJA]]</f>
        <v>1500</v>
      </c>
      <c r="L158" s="534">
        <f>Tabla1[[#This Row],[PRECIO BOLSA]]</f>
        <v>500</v>
      </c>
      <c r="M158" s="533">
        <f>Tabla1[[#This Row],[PRODUCIDO CAJA]]</f>
        <v>97500</v>
      </c>
      <c r="N158" s="534">
        <f>Tabla1[[#This Row],[PRODUCIDO BOLSAS]]</f>
        <v>19800</v>
      </c>
      <c r="O158" s="533">
        <f>Tabla1[[#This Row],[TOTAL PRODUCIDO]]</f>
        <v>117300</v>
      </c>
      <c r="P158" s="534">
        <f>Tabla1[[#This Row],[Valor Pagado]]</f>
        <v>120000</v>
      </c>
      <c r="Q158" s="535">
        <f>Tabla1[[#This Row],[COEFICIENTE]]</f>
        <v>1</v>
      </c>
      <c r="R158" s="534">
        <f>Tabla1[[#This Row],[Precio Caja2]]</f>
        <v>1541.5384615384614</v>
      </c>
      <c r="S158" s="536">
        <f>Tabla1[[#This Row],[VALOR GANADO]]</f>
        <v>29325</v>
      </c>
      <c r="T158" s="537">
        <f>Tabla1[[#This Row],[VALOR  A PAGAR]]</f>
        <v>30000</v>
      </c>
      <c r="U158" s="41">
        <f>Tabla1[[#This Row],[Columna1]]</f>
        <v>675</v>
      </c>
    </row>
    <row r="159" spans="2:21" ht="15.75" x14ac:dyDescent="0.25">
      <c r="B159" s="29">
        <f>Tabla1[[#This Row],[FECHA]]</f>
        <v>44530</v>
      </c>
      <c r="C159" s="26">
        <f>_xlfn.ISOWEEKNUM('CAJAS ELABORADAS'!$C159)</f>
        <v>48</v>
      </c>
      <c r="D159" s="27" t="str">
        <f>Tabla1[[#This Row],[FINCA]]</f>
        <v>SAN PEDRO</v>
      </c>
      <c r="E159" s="531">
        <f>Tabla1[[#This Row],[Cajas Elaboradas]]</f>
        <v>265</v>
      </c>
      <c r="F159" s="26">
        <f>Tabla1[[#This Row],[Bolsas Elaboradas]]</f>
        <v>21.6</v>
      </c>
      <c r="G159" s="26">
        <f>Tabla1[[#This Row],[N° DE PERSONAS EN EL EMBARQUE]]</f>
        <v>12</v>
      </c>
      <c r="H159" s="532">
        <f>Tabla1[[#This Row],[Rasimos Cosechados]]</f>
        <v>1118</v>
      </c>
      <c r="I159" s="532">
        <f>Tabla1[[#This Row],[Rasimos Prosesados]]</f>
        <v>1084</v>
      </c>
      <c r="J159" s="532">
        <f>Tabla1[[#This Row],[Rasimos Rechasados]]</f>
        <v>34</v>
      </c>
      <c r="K159" s="533">
        <f>Tabla1[[#This Row],[PRECIO CAJA]]</f>
        <v>1500</v>
      </c>
      <c r="L159" s="534">
        <f>Tabla1[[#This Row],[PRECIO BOLSA]]</f>
        <v>500</v>
      </c>
      <c r="M159" s="533">
        <f>Tabla1[[#This Row],[PRODUCIDO CAJA]]</f>
        <v>397500</v>
      </c>
      <c r="N159" s="534">
        <f>Tabla1[[#This Row],[PRODUCIDO BOLSAS]]</f>
        <v>10800</v>
      </c>
      <c r="O159" s="533">
        <f>Tabla1[[#This Row],[TOTAL PRODUCIDO]]</f>
        <v>408300</v>
      </c>
      <c r="P159" s="534">
        <f>Tabla1[[#This Row],[Valor Pagado]]</f>
        <v>408300</v>
      </c>
      <c r="Q159" s="535">
        <f>Tabla1[[#This Row],[COEFICIENTE]]</f>
        <v>1.1341666666666668</v>
      </c>
      <c r="R159" s="534">
        <f>Tabla1[[#This Row],[Precio Caja2]]</f>
        <v>1500</v>
      </c>
      <c r="S159" s="536">
        <f>Tabla1[[#This Row],[VALOR GANADO]]</f>
        <v>34025</v>
      </c>
      <c r="T159" s="537">
        <f>Tabla1[[#This Row],[VALOR  A PAGAR]]</f>
        <v>34025</v>
      </c>
      <c r="U159" s="41">
        <f>Tabla1[[#This Row],[Columna1]]</f>
        <v>0</v>
      </c>
    </row>
    <row r="160" spans="2:21" ht="15.75" x14ac:dyDescent="0.25">
      <c r="B160" s="29">
        <f>Tabla1[[#This Row],[FECHA]]</f>
        <v>44530</v>
      </c>
      <c r="C160" s="26">
        <f>_xlfn.ISOWEEKNUM('CAJAS ELABORADAS'!$C160)</f>
        <v>48</v>
      </c>
      <c r="D160" s="27" t="str">
        <f>Tabla1[[#This Row],[FINCA]]</f>
        <v>UVEROS</v>
      </c>
      <c r="E160" s="531">
        <f>Tabla1[[#This Row],[Cajas Elaboradas]]</f>
        <v>110</v>
      </c>
      <c r="F160" s="26">
        <f>Tabla1[[#This Row],[Bolsas Elaboradas]]</f>
        <v>14.4</v>
      </c>
      <c r="G160" s="26">
        <f>Tabla1[[#This Row],[N° DE PERSONAS EN EL EMBARQUE]]</f>
        <v>5</v>
      </c>
      <c r="H160" s="532">
        <f>Tabla1[[#This Row],[Rasimos Cosechados]]</f>
        <v>0</v>
      </c>
      <c r="I160" s="532">
        <f>Tabla1[[#This Row],[Rasimos Prosesados]]</f>
        <v>0</v>
      </c>
      <c r="J160" s="532">
        <f>Tabla1[[#This Row],[Rasimos Rechasados]]</f>
        <v>0</v>
      </c>
      <c r="K160" s="533">
        <f>Tabla1[[#This Row],[PRECIO CAJA]]</f>
        <v>1500</v>
      </c>
      <c r="L160" s="534">
        <f>Tabla1[[#This Row],[PRECIO BOLSA]]</f>
        <v>500</v>
      </c>
      <c r="M160" s="533">
        <f>Tabla1[[#This Row],[PRODUCIDO CAJA]]</f>
        <v>165000</v>
      </c>
      <c r="N160" s="534">
        <f>Tabla1[[#This Row],[PRODUCIDO BOLSAS]]</f>
        <v>7200</v>
      </c>
      <c r="O160" s="533">
        <f>Tabla1[[#This Row],[TOTAL PRODUCIDO]]</f>
        <v>172200</v>
      </c>
      <c r="P160" s="534">
        <f>Tabla1[[#This Row],[Valor Pagado]]</f>
        <v>172200</v>
      </c>
      <c r="Q160" s="535">
        <f>Tabla1[[#This Row],[COEFICIENTE]]</f>
        <v>1.1479999999999999</v>
      </c>
      <c r="R160" s="534">
        <f>Tabla1[[#This Row],[Precio Caja2]]</f>
        <v>1500</v>
      </c>
      <c r="S160" s="536">
        <f>Tabla1[[#This Row],[VALOR GANADO]]</f>
        <v>34440</v>
      </c>
      <c r="T160" s="537">
        <f>Tabla1[[#This Row],[VALOR  A PAGAR]]</f>
        <v>34440</v>
      </c>
      <c r="U160" s="41">
        <f>Tabla1[[#This Row],[Columna1]]</f>
        <v>0</v>
      </c>
    </row>
    <row r="161" spans="2:21" ht="15.75" x14ac:dyDescent="0.25">
      <c r="B161" s="29">
        <f>Tabla1[[#This Row],[FECHA]]</f>
        <v>44531</v>
      </c>
      <c r="C161" s="26">
        <f>_xlfn.ISOWEEKNUM('CAJAS ELABORADAS'!$C161)</f>
        <v>48</v>
      </c>
      <c r="D161" s="27" t="str">
        <f>Tabla1[[#This Row],[FINCA]]</f>
        <v>SAN PEDRO</v>
      </c>
      <c r="E161" s="531">
        <f>Tabla1[[#This Row],[Cajas Elaboradas]]</f>
        <v>111</v>
      </c>
      <c r="F161" s="26">
        <f>Tabla1[[#This Row],[Bolsas Elaboradas]]</f>
        <v>3.6</v>
      </c>
      <c r="G161" s="26">
        <f>Tabla1[[#This Row],[N° DE PERSONAS EN EL EMBARQUE]]</f>
        <v>7</v>
      </c>
      <c r="H161" s="532">
        <f>Tabla1[[#This Row],[Rasimos Cosechados]]</f>
        <v>427</v>
      </c>
      <c r="I161" s="532">
        <f>Tabla1[[#This Row],[Rasimos Prosesados]]</f>
        <v>396</v>
      </c>
      <c r="J161" s="532">
        <f>Tabla1[[#This Row],[Rasimos Rechasados]]</f>
        <v>31</v>
      </c>
      <c r="K161" s="533">
        <f>Tabla1[[#This Row],[PRECIO CAJA]]</f>
        <v>1500</v>
      </c>
      <c r="L161" s="534">
        <f>Tabla1[[#This Row],[PRECIO BOLSA]]</f>
        <v>500</v>
      </c>
      <c r="M161" s="533">
        <f>Tabla1[[#This Row],[PRODUCIDO CAJA]]</f>
        <v>166500</v>
      </c>
      <c r="N161" s="534">
        <f>Tabla1[[#This Row],[PRODUCIDO BOLSAS]]</f>
        <v>1800</v>
      </c>
      <c r="O161" s="533">
        <f>Tabla1[[#This Row],[TOTAL PRODUCIDO]]</f>
        <v>168300</v>
      </c>
      <c r="P161" s="534">
        <f>Tabla1[[#This Row],[Valor Pagado]]</f>
        <v>210000</v>
      </c>
      <c r="Q161" s="535">
        <f>Tabla1[[#This Row],[COEFICIENTE]]</f>
        <v>1</v>
      </c>
      <c r="R161" s="534">
        <f>Tabla1[[#This Row],[Precio Caja2]]</f>
        <v>1875.6756756756756</v>
      </c>
      <c r="S161" s="536">
        <f>Tabla1[[#This Row],[VALOR GANADO]]</f>
        <v>24042.857142857141</v>
      </c>
      <c r="T161" s="537">
        <f>Tabla1[[#This Row],[VALOR  A PAGAR]]</f>
        <v>30000</v>
      </c>
      <c r="U161" s="41">
        <f>Tabla1[[#This Row],[Columna1]]</f>
        <v>5957.1428571428587</v>
      </c>
    </row>
    <row r="162" spans="2:21" ht="15.75" x14ac:dyDescent="0.25">
      <c r="B162" s="29">
        <f>Tabla1[[#This Row],[FECHA]]</f>
        <v>44531</v>
      </c>
      <c r="C162" s="26">
        <f>_xlfn.ISOWEEKNUM('CAJAS ELABORADAS'!$C162)</f>
        <v>48</v>
      </c>
      <c r="D162" s="27" t="str">
        <f>Tabla1[[#This Row],[FINCA]]</f>
        <v>PEDRITO</v>
      </c>
      <c r="E162" s="531">
        <f>Tabla1[[#This Row],[Cajas Elaboradas]]</f>
        <v>32</v>
      </c>
      <c r="F162" s="26">
        <f>Tabla1[[#This Row],[Bolsas Elaboradas]]</f>
        <v>12.5</v>
      </c>
      <c r="G162" s="26">
        <f>Tabla1[[#This Row],[N° DE PERSONAS EN EL EMBARQUE]]</f>
        <v>5</v>
      </c>
      <c r="H162" s="532">
        <f>Tabla1[[#This Row],[Rasimos Cosechados]]</f>
        <v>213</v>
      </c>
      <c r="I162" s="532">
        <f>Tabla1[[#This Row],[Rasimos Prosesados]]</f>
        <v>196</v>
      </c>
      <c r="J162" s="532">
        <f>Tabla1[[#This Row],[Rasimos Rechasados]]</f>
        <v>17</v>
      </c>
      <c r="K162" s="533">
        <f>Tabla1[[#This Row],[PRECIO CAJA]]</f>
        <v>3000</v>
      </c>
      <c r="L162" s="534">
        <f>Tabla1[[#This Row],[PRECIO BOLSA]]</f>
        <v>500</v>
      </c>
      <c r="M162" s="533">
        <f>Tabla1[[#This Row],[PRODUCIDO CAJA]]</f>
        <v>96000</v>
      </c>
      <c r="N162" s="534">
        <f>Tabla1[[#This Row],[PRODUCIDO BOLSAS]]</f>
        <v>6250</v>
      </c>
      <c r="O162" s="533">
        <f>Tabla1[[#This Row],[TOTAL PRODUCIDO]]</f>
        <v>102250</v>
      </c>
      <c r="P162" s="534">
        <f>Tabla1[[#This Row],[Valor Pagado]]</f>
        <v>150000</v>
      </c>
      <c r="Q162" s="535">
        <f>Tabla1[[#This Row],[COEFICIENTE]]</f>
        <v>1</v>
      </c>
      <c r="R162" s="534">
        <f>Tabla1[[#This Row],[Precio Caja2]]</f>
        <v>4492.1875</v>
      </c>
      <c r="S162" s="536">
        <f>Tabla1[[#This Row],[VALOR GANADO]]</f>
        <v>20450</v>
      </c>
      <c r="T162" s="537">
        <f>Tabla1[[#This Row],[VALOR  A PAGAR]]</f>
        <v>30000</v>
      </c>
      <c r="U162" s="41">
        <f>Tabla1[[#This Row],[Columna1]]</f>
        <v>9550</v>
      </c>
    </row>
    <row r="163" spans="2:21" ht="15.75" x14ac:dyDescent="0.25">
      <c r="B163" s="29">
        <f>Tabla1[[#This Row],[FECHA]]</f>
        <v>44531</v>
      </c>
      <c r="C163" s="26">
        <f>_xlfn.ISOWEEKNUM('CAJAS ELABORADAS'!$C163)</f>
        <v>48</v>
      </c>
      <c r="D163" s="27" t="str">
        <f>Tabla1[[#This Row],[FINCA]]</f>
        <v>DAMAQUIEL</v>
      </c>
      <c r="E163" s="531">
        <f>Tabla1[[#This Row],[Cajas Elaboradas]]</f>
        <v>121</v>
      </c>
      <c r="F163" s="26">
        <f>Tabla1[[#This Row],[Bolsas Elaboradas]]</f>
        <v>39.6</v>
      </c>
      <c r="G163" s="26">
        <f>Tabla1[[#This Row],[N° DE PERSONAS EN EL EMBARQUE]]</f>
        <v>9</v>
      </c>
      <c r="H163" s="532">
        <f>Tabla1[[#This Row],[Rasimos Cosechados]]</f>
        <v>396</v>
      </c>
      <c r="I163" s="532">
        <f>Tabla1[[#This Row],[Rasimos Prosesados]]</f>
        <v>368</v>
      </c>
      <c r="J163" s="532">
        <f>Tabla1[[#This Row],[Rasimos Rechasados]]</f>
        <v>28</v>
      </c>
      <c r="K163" s="533">
        <f>Tabla1[[#This Row],[PRECIO CAJA]]</f>
        <v>1500</v>
      </c>
      <c r="L163" s="534">
        <f>Tabla1[[#This Row],[PRECIO BOLSA]]</f>
        <v>500</v>
      </c>
      <c r="M163" s="533">
        <f>Tabla1[[#This Row],[PRODUCIDO CAJA]]</f>
        <v>181500</v>
      </c>
      <c r="N163" s="534">
        <f>Tabla1[[#This Row],[PRODUCIDO BOLSAS]]</f>
        <v>19800</v>
      </c>
      <c r="O163" s="533">
        <f>Tabla1[[#This Row],[TOTAL PRODUCIDO]]</f>
        <v>201300</v>
      </c>
      <c r="P163" s="534">
        <f>Tabla1[[#This Row],[Valor Pagado]]</f>
        <v>270000</v>
      </c>
      <c r="Q163" s="535">
        <f>Tabla1[[#This Row],[COEFICIENTE]]</f>
        <v>1</v>
      </c>
      <c r="R163" s="534">
        <f>Tabla1[[#This Row],[Precio Caja2]]</f>
        <v>2067.7685950413224</v>
      </c>
      <c r="S163" s="536">
        <f>Tabla1[[#This Row],[VALOR GANADO]]</f>
        <v>22366.666666666668</v>
      </c>
      <c r="T163" s="537">
        <f>Tabla1[[#This Row],[VALOR  A PAGAR]]</f>
        <v>30000</v>
      </c>
      <c r="U163" s="41">
        <f>Tabla1[[#This Row],[Columna1]]</f>
        <v>7633.3333333333321</v>
      </c>
    </row>
    <row r="164" spans="2:21" ht="15.75" x14ac:dyDescent="0.25">
      <c r="B164" s="29">
        <f>Tabla1[[#This Row],[FECHA]]</f>
        <v>44537</v>
      </c>
      <c r="C164" s="26">
        <f>_xlfn.ISOWEEKNUM('CAJAS ELABORADAS'!$C164)</f>
        <v>49</v>
      </c>
      <c r="D164" s="27" t="str">
        <f>Tabla1[[#This Row],[FINCA]]</f>
        <v>UVEROS</v>
      </c>
      <c r="E164" s="531">
        <f>Tabla1[[#This Row],[Cajas Elaboradas]]</f>
        <v>77</v>
      </c>
      <c r="F164" s="26">
        <f>Tabla1[[#This Row],[Bolsas Elaboradas]]</f>
        <v>1</v>
      </c>
      <c r="G164" s="26">
        <f>Tabla1[[#This Row],[N° DE PERSONAS EN EL EMBARQUE]]</f>
        <v>4</v>
      </c>
      <c r="H164" s="532">
        <f>Tabla1[[#This Row],[Rasimos Cosechados]]</f>
        <v>338</v>
      </c>
      <c r="I164" s="532">
        <f>Tabla1[[#This Row],[Rasimos Prosesados]]</f>
        <v>57</v>
      </c>
      <c r="J164" s="532">
        <f>Tabla1[[#This Row],[Rasimos Rechasados]]</f>
        <v>281</v>
      </c>
      <c r="K164" s="533">
        <f>Tabla1[[#This Row],[PRECIO CAJA]]</f>
        <v>1500</v>
      </c>
      <c r="L164" s="534">
        <f>Tabla1[[#This Row],[PRECIO BOLSA]]</f>
        <v>500</v>
      </c>
      <c r="M164" s="533">
        <f>Tabla1[[#This Row],[PRODUCIDO CAJA]]</f>
        <v>115500</v>
      </c>
      <c r="N164" s="534">
        <f>Tabla1[[#This Row],[PRODUCIDO BOLSAS]]</f>
        <v>500</v>
      </c>
      <c r="O164" s="533">
        <f>Tabla1[[#This Row],[TOTAL PRODUCIDO]]</f>
        <v>116000</v>
      </c>
      <c r="P164" s="534">
        <f>Tabla1[[#This Row],[Valor Pagado]]</f>
        <v>120000</v>
      </c>
      <c r="Q164" s="535">
        <f>Tabla1[[#This Row],[COEFICIENTE]]</f>
        <v>1</v>
      </c>
      <c r="R164" s="534">
        <f>Tabla1[[#This Row],[Precio Caja2]]</f>
        <v>1551.9480519480519</v>
      </c>
      <c r="S164" s="536">
        <f>Tabla1[[#This Row],[VALOR GANADO]]</f>
        <v>29000</v>
      </c>
      <c r="T164" s="537">
        <f>Tabla1[[#This Row],[VALOR  A PAGAR]]</f>
        <v>30000</v>
      </c>
      <c r="U164" s="41">
        <f>Tabla1[[#This Row],[Columna1]]</f>
        <v>1000</v>
      </c>
    </row>
    <row r="165" spans="2:21" ht="15.75" x14ac:dyDescent="0.25">
      <c r="B165" s="29">
        <f>Tabla1[[#This Row],[FECHA]]</f>
        <v>44537</v>
      </c>
      <c r="C165" s="26">
        <f>_xlfn.ISOWEEKNUM('CAJAS ELABORADAS'!$C165)</f>
        <v>49</v>
      </c>
      <c r="D165" s="27" t="str">
        <f>Tabla1[[#This Row],[FINCA]]</f>
        <v>SAN PEDRO</v>
      </c>
      <c r="E165" s="531">
        <f>Tabla1[[#This Row],[Cajas Elaboradas]]</f>
        <v>406</v>
      </c>
      <c r="F165" s="26">
        <f>Tabla1[[#This Row],[Bolsas Elaboradas]]</f>
        <v>45</v>
      </c>
      <c r="G165" s="26">
        <f>Tabla1[[#This Row],[N° DE PERSONAS EN EL EMBARQUE]]</f>
        <v>18</v>
      </c>
      <c r="H165" s="532">
        <f>Tabla1[[#This Row],[Rasimos Cosechados]]</f>
        <v>771</v>
      </c>
      <c r="I165" s="532">
        <f>Tabla1[[#This Row],[Rasimos Prosesados]]</f>
        <v>726</v>
      </c>
      <c r="J165" s="532">
        <f>Tabla1[[#This Row],[Rasimos Rechasados]]</f>
        <v>45</v>
      </c>
      <c r="K165" s="533">
        <f>Tabla1[[#This Row],[PRECIO CAJA]]</f>
        <v>1500</v>
      </c>
      <c r="L165" s="534">
        <f>Tabla1[[#This Row],[PRECIO BOLSA]]</f>
        <v>500</v>
      </c>
      <c r="M165" s="533">
        <f>Tabla1[[#This Row],[PRODUCIDO CAJA]]</f>
        <v>609000</v>
      </c>
      <c r="N165" s="534">
        <f>Tabla1[[#This Row],[PRODUCIDO BOLSAS]]</f>
        <v>22500</v>
      </c>
      <c r="O165" s="533">
        <f>Tabla1[[#This Row],[TOTAL PRODUCIDO]]</f>
        <v>631500</v>
      </c>
      <c r="P165" s="534">
        <f>Tabla1[[#This Row],[Valor Pagado]]</f>
        <v>631500</v>
      </c>
      <c r="Q165" s="535">
        <f>Tabla1[[#This Row],[COEFICIENTE]]</f>
        <v>1.1694444444444445</v>
      </c>
      <c r="R165" s="534">
        <f>Tabla1[[#This Row],[Precio Caja2]]</f>
        <v>1500</v>
      </c>
      <c r="S165" s="536">
        <f>Tabla1[[#This Row],[VALOR GANADO]]</f>
        <v>35083.333333333336</v>
      </c>
      <c r="T165" s="537">
        <f>Tabla1[[#This Row],[VALOR  A PAGAR]]</f>
        <v>35083.333333333336</v>
      </c>
      <c r="U165" s="41">
        <f>Tabla1[[#This Row],[Columna1]]</f>
        <v>0</v>
      </c>
    </row>
    <row r="166" spans="2:21" ht="15.75" x14ac:dyDescent="0.25">
      <c r="B166" s="29">
        <f>Tabla1[[#This Row],[FECHA]]</f>
        <v>44538</v>
      </c>
      <c r="C166" s="26">
        <f>_xlfn.ISOWEEKNUM('CAJAS ELABORADAS'!$C166)</f>
        <v>49</v>
      </c>
      <c r="D166" s="27" t="str">
        <f>Tabla1[[#This Row],[FINCA]]</f>
        <v>DAMAQUIEL</v>
      </c>
      <c r="E166" s="531">
        <f>Tabla1[[#This Row],[Cajas Elaboradas]]</f>
        <v>71</v>
      </c>
      <c r="F166" s="26">
        <f>Tabla1[[#This Row],[Bolsas Elaboradas]]</f>
        <v>6.4</v>
      </c>
      <c r="G166" s="26">
        <f>Tabla1[[#This Row],[N° DE PERSONAS EN EL EMBARQUE]]</f>
        <v>4</v>
      </c>
      <c r="H166" s="532">
        <f>Tabla1[[#This Row],[Rasimos Cosechados]]</f>
        <v>617</v>
      </c>
      <c r="I166" s="532">
        <f>Tabla1[[#This Row],[Rasimos Prosesados]]</f>
        <v>617</v>
      </c>
      <c r="J166" s="532">
        <f>Tabla1[[#This Row],[Rasimos Rechasados]]</f>
        <v>0</v>
      </c>
      <c r="K166" s="533">
        <f>Tabla1[[#This Row],[PRECIO CAJA]]</f>
        <v>1500</v>
      </c>
      <c r="L166" s="534">
        <f>Tabla1[[#This Row],[PRECIO BOLSA]]</f>
        <v>500</v>
      </c>
      <c r="M166" s="533">
        <f>Tabla1[[#This Row],[PRODUCIDO CAJA]]</f>
        <v>106500</v>
      </c>
      <c r="N166" s="534">
        <f>Tabla1[[#This Row],[PRODUCIDO BOLSAS]]</f>
        <v>3200</v>
      </c>
      <c r="O166" s="533">
        <f>Tabla1[[#This Row],[TOTAL PRODUCIDO]]</f>
        <v>109700</v>
      </c>
      <c r="P166" s="534">
        <f>Tabla1[[#This Row],[Valor Pagado]]</f>
        <v>120000</v>
      </c>
      <c r="Q166" s="535">
        <f>Tabla1[[#This Row],[COEFICIENTE]]</f>
        <v>1</v>
      </c>
      <c r="R166" s="534">
        <f>Tabla1[[#This Row],[Precio Caja2]]</f>
        <v>1645.0704225352113</v>
      </c>
      <c r="S166" s="536">
        <f>Tabla1[[#This Row],[VALOR GANADO]]</f>
        <v>27425</v>
      </c>
      <c r="T166" s="537">
        <f>Tabla1[[#This Row],[VALOR  A PAGAR]]</f>
        <v>30000</v>
      </c>
      <c r="U166" s="41">
        <f>Tabla1[[#This Row],[Columna1]]</f>
        <v>2575</v>
      </c>
    </row>
    <row r="167" spans="2:21" ht="15.75" x14ac:dyDescent="0.25">
      <c r="B167" s="29">
        <f>Tabla1[[#This Row],[FECHA]]</f>
        <v>44544</v>
      </c>
      <c r="C167" s="26">
        <f>_xlfn.ISOWEEKNUM('CAJAS ELABORADAS'!$C167)</f>
        <v>50</v>
      </c>
      <c r="D167" s="27" t="str">
        <f>Tabla1[[#This Row],[FINCA]]</f>
        <v>SAN PEDRO</v>
      </c>
      <c r="E167" s="531">
        <f>Tabla1[[#This Row],[Cajas Elaboradas]]</f>
        <v>218</v>
      </c>
      <c r="F167" s="26">
        <f>Tabla1[[#This Row],[Bolsas Elaboradas]]</f>
        <v>52.7</v>
      </c>
      <c r="G167" s="26">
        <f>Tabla1[[#This Row],[N° DE PERSONAS EN EL EMBARQUE]]</f>
        <v>13</v>
      </c>
      <c r="H167" s="532">
        <f>Tabla1[[#This Row],[Rasimos Cosechados]]</f>
        <v>828</v>
      </c>
      <c r="I167" s="532">
        <f>Tabla1[[#This Row],[Rasimos Prosesados]]</f>
        <v>91</v>
      </c>
      <c r="J167" s="532">
        <f>Tabla1[[#This Row],[Rasimos Rechasados]]</f>
        <v>737</v>
      </c>
      <c r="K167" s="533">
        <f>Tabla1[[#This Row],[PRECIO CAJA]]</f>
        <v>1500</v>
      </c>
      <c r="L167" s="534">
        <f>Tabla1[[#This Row],[PRECIO BOLSA]]</f>
        <v>500</v>
      </c>
      <c r="M167" s="533">
        <f>Tabla1[[#This Row],[PRODUCIDO CAJA]]</f>
        <v>327000</v>
      </c>
      <c r="N167" s="534">
        <f>Tabla1[[#This Row],[PRODUCIDO BOLSAS]]</f>
        <v>26350</v>
      </c>
      <c r="O167" s="533">
        <f>Tabla1[[#This Row],[TOTAL PRODUCIDO]]</f>
        <v>353350</v>
      </c>
      <c r="P167" s="534">
        <f>Tabla1[[#This Row],[Valor Pagado]]</f>
        <v>390000</v>
      </c>
      <c r="Q167" s="535">
        <f>Tabla1[[#This Row],[COEFICIENTE]]</f>
        <v>1</v>
      </c>
      <c r="R167" s="534">
        <f>Tabla1[[#This Row],[Precio Caja2]]</f>
        <v>1668.119266055046</v>
      </c>
      <c r="S167" s="536">
        <f>Tabla1[[#This Row],[VALOR GANADO]]</f>
        <v>27180.76923076923</v>
      </c>
      <c r="T167" s="537">
        <f>Tabla1[[#This Row],[VALOR  A PAGAR]]</f>
        <v>30000</v>
      </c>
      <c r="U167" s="41">
        <f>Tabla1[[#This Row],[Columna1]]</f>
        <v>2819.2307692307695</v>
      </c>
    </row>
    <row r="168" spans="2:21" ht="15.75" x14ac:dyDescent="0.25">
      <c r="B168" s="29">
        <f>Tabla1[[#This Row],[FECHA]]</f>
        <v>44545</v>
      </c>
      <c r="C168" s="26">
        <f>_xlfn.ISOWEEKNUM('CAJAS ELABORADAS'!$C168)</f>
        <v>50</v>
      </c>
      <c r="D168" s="27" t="str">
        <f>Tabla1[[#This Row],[FINCA]]</f>
        <v>SAN PEDRO</v>
      </c>
      <c r="E168" s="531">
        <f>Tabla1[[#This Row],[Cajas Elaboradas]]</f>
        <v>318</v>
      </c>
      <c r="F168" s="26">
        <f>Tabla1[[#This Row],[Bolsas Elaboradas]]</f>
        <v>12</v>
      </c>
      <c r="G168" s="26">
        <f>Tabla1[[#This Row],[N° DE PERSONAS EN EL EMBARQUE]]</f>
        <v>14</v>
      </c>
      <c r="H168" s="532">
        <f>Tabla1[[#This Row],[Rasimos Cosechados]]</f>
        <v>1001</v>
      </c>
      <c r="I168" s="532">
        <f>Tabla1[[#This Row],[Rasimos Prosesados]]</f>
        <v>886</v>
      </c>
      <c r="J168" s="532">
        <f>Tabla1[[#This Row],[Rasimos Rechasados]]</f>
        <v>115</v>
      </c>
      <c r="K168" s="533">
        <f>Tabla1[[#This Row],[PRECIO CAJA]]</f>
        <v>1500</v>
      </c>
      <c r="L168" s="534">
        <f>Tabla1[[#This Row],[PRECIO BOLSA]]</f>
        <v>500</v>
      </c>
      <c r="M168" s="533">
        <f>Tabla1[[#This Row],[PRODUCIDO CAJA]]</f>
        <v>477000</v>
      </c>
      <c r="N168" s="534">
        <f>Tabla1[[#This Row],[PRODUCIDO BOLSAS]]</f>
        <v>6000</v>
      </c>
      <c r="O168" s="533">
        <f>Tabla1[[#This Row],[TOTAL PRODUCIDO]]</f>
        <v>483000</v>
      </c>
      <c r="P168" s="534">
        <f>Tabla1[[#This Row],[Valor Pagado]]</f>
        <v>483000</v>
      </c>
      <c r="Q168" s="535">
        <f>Tabla1[[#This Row],[COEFICIENTE]]</f>
        <v>1.1499999999999999</v>
      </c>
      <c r="R168" s="534">
        <f>Tabla1[[#This Row],[Precio Caja2]]</f>
        <v>1500</v>
      </c>
      <c r="S168" s="536">
        <f>Tabla1[[#This Row],[VALOR GANADO]]</f>
        <v>34500</v>
      </c>
      <c r="T168" s="537">
        <f>Tabla1[[#This Row],[VALOR  A PAGAR]]</f>
        <v>34500</v>
      </c>
      <c r="U168" s="41">
        <f>Tabla1[[#This Row],[Columna1]]</f>
        <v>0</v>
      </c>
    </row>
    <row r="169" spans="2:21" ht="15.75" x14ac:dyDescent="0.25">
      <c r="B169" s="29">
        <f>Tabla1[[#This Row],[FECHA]]</f>
        <v>44544</v>
      </c>
      <c r="C169" s="26">
        <f>_xlfn.ISOWEEKNUM('CAJAS ELABORADAS'!$C169)</f>
        <v>50</v>
      </c>
      <c r="D169" s="27" t="str">
        <f>Tabla1[[#This Row],[FINCA]]</f>
        <v>UVEROS</v>
      </c>
      <c r="E169" s="531">
        <f>Tabla1[[#This Row],[Cajas Elaboradas]]</f>
        <v>54</v>
      </c>
      <c r="F169" s="26">
        <f>Tabla1[[#This Row],[Bolsas Elaboradas]]</f>
        <v>10</v>
      </c>
      <c r="G169" s="26">
        <f>Tabla1[[#This Row],[N° DE PERSONAS EN EL EMBARQUE]]</f>
        <v>4</v>
      </c>
      <c r="H169" s="532">
        <f>Tabla1[[#This Row],[Rasimos Cosechados]]</f>
        <v>357</v>
      </c>
      <c r="I169" s="532">
        <f>Tabla1[[#This Row],[Rasimos Prosesados]]</f>
        <v>329</v>
      </c>
      <c r="J169" s="532">
        <f>Tabla1[[#This Row],[Rasimos Rechasados]]</f>
        <v>28</v>
      </c>
      <c r="K169" s="533">
        <f>Tabla1[[#This Row],[PRECIO CAJA]]</f>
        <v>1500</v>
      </c>
      <c r="L169" s="534">
        <f>Tabla1[[#This Row],[PRECIO BOLSA]]</f>
        <v>500</v>
      </c>
      <c r="M169" s="533">
        <f>Tabla1[[#This Row],[PRODUCIDO CAJA]]</f>
        <v>81000</v>
      </c>
      <c r="N169" s="534">
        <f>Tabla1[[#This Row],[PRODUCIDO BOLSAS]]</f>
        <v>5000</v>
      </c>
      <c r="O169" s="533">
        <f>Tabla1[[#This Row],[TOTAL PRODUCIDO]]</f>
        <v>86000</v>
      </c>
      <c r="P169" s="534">
        <f>Tabla1[[#This Row],[Valor Pagado]]</f>
        <v>120000</v>
      </c>
      <c r="Q169" s="535">
        <f>Tabla1[[#This Row],[COEFICIENTE]]</f>
        <v>1</v>
      </c>
      <c r="R169" s="534">
        <f>Tabla1[[#This Row],[Precio Caja2]]</f>
        <v>2129.6296296296296</v>
      </c>
      <c r="S169" s="536">
        <f>Tabla1[[#This Row],[VALOR GANADO]]</f>
        <v>21500</v>
      </c>
      <c r="T169" s="537">
        <f>Tabla1[[#This Row],[VALOR  A PAGAR]]</f>
        <v>30000</v>
      </c>
      <c r="U169" s="41">
        <f>Tabla1[[#This Row],[Columna1]]</f>
        <v>8500</v>
      </c>
    </row>
    <row r="170" spans="2:21" ht="15.75" x14ac:dyDescent="0.25">
      <c r="B170" s="29">
        <f>Tabla1[[#This Row],[FECHA]]</f>
        <v>44546</v>
      </c>
      <c r="C170" s="26">
        <f>_xlfn.ISOWEEKNUM('CAJAS ELABORADAS'!$C170)</f>
        <v>50</v>
      </c>
      <c r="D170" s="27" t="str">
        <f>Tabla1[[#This Row],[FINCA]]</f>
        <v>PEDRITO</v>
      </c>
      <c r="E170" s="531">
        <f>Tabla1[[#This Row],[Cajas Elaboradas]]</f>
        <v>103</v>
      </c>
      <c r="F170" s="26">
        <f>Tabla1[[#This Row],[Bolsas Elaboradas]]</f>
        <v>61.199999999999996</v>
      </c>
      <c r="G170" s="26">
        <f>Tabla1[[#This Row],[N° DE PERSONAS EN EL EMBARQUE]]</f>
        <v>6</v>
      </c>
      <c r="H170" s="532">
        <f>Tabla1[[#This Row],[Rasimos Cosechados]]</f>
        <v>688</v>
      </c>
      <c r="I170" s="532">
        <f>Tabla1[[#This Row],[Rasimos Prosesados]]</f>
        <v>585</v>
      </c>
      <c r="J170" s="532">
        <f>Tabla1[[#This Row],[Rasimos Rechasados]]</f>
        <v>103</v>
      </c>
      <c r="K170" s="533">
        <f>Tabla1[[#This Row],[PRECIO CAJA]]</f>
        <v>2100</v>
      </c>
      <c r="L170" s="534">
        <f>Tabla1[[#This Row],[PRECIO BOLSA]]</f>
        <v>500</v>
      </c>
      <c r="M170" s="533">
        <f>Tabla1[[#This Row],[PRODUCIDO CAJA]]</f>
        <v>216300</v>
      </c>
      <c r="N170" s="534">
        <f>Tabla1[[#This Row],[PRODUCIDO BOLSAS]]</f>
        <v>30599.999999999996</v>
      </c>
      <c r="O170" s="533">
        <f>Tabla1[[#This Row],[TOTAL PRODUCIDO]]</f>
        <v>246900</v>
      </c>
      <c r="P170" s="534">
        <f>Tabla1[[#This Row],[Valor Pagado]]</f>
        <v>246900</v>
      </c>
      <c r="Q170" s="535">
        <f>Tabla1[[#This Row],[COEFICIENTE]]</f>
        <v>1.3716666666666666</v>
      </c>
      <c r="R170" s="534">
        <f>Tabla1[[#This Row],[Precio Caja2]]</f>
        <v>2100</v>
      </c>
      <c r="S170" s="536">
        <f>Tabla1[[#This Row],[VALOR GANADO]]</f>
        <v>41150</v>
      </c>
      <c r="T170" s="537">
        <f>Tabla1[[#This Row],[VALOR  A PAGAR]]</f>
        <v>41150</v>
      </c>
      <c r="U170" s="41">
        <f>Tabla1[[#This Row],[Columna1]]</f>
        <v>0</v>
      </c>
    </row>
    <row r="171" spans="2:21" ht="15.75" x14ac:dyDescent="0.25">
      <c r="B171" s="29">
        <f>Tabla1[[#This Row],[FECHA]]</f>
        <v>44545</v>
      </c>
      <c r="C171" s="26">
        <f>_xlfn.ISOWEEKNUM('CAJAS ELABORADAS'!$C171)</f>
        <v>50</v>
      </c>
      <c r="D171" s="27" t="str">
        <f>Tabla1[[#This Row],[FINCA]]</f>
        <v>DAMAQUIEL</v>
      </c>
      <c r="E171" s="531">
        <f>Tabla1[[#This Row],[Cajas Elaboradas]]</f>
        <v>51</v>
      </c>
      <c r="F171" s="26">
        <f>Tabla1[[#This Row],[Bolsas Elaboradas]]</f>
        <v>9</v>
      </c>
      <c r="G171" s="26">
        <f>Tabla1[[#This Row],[N° DE PERSONAS EN EL EMBARQUE]]</f>
        <v>5</v>
      </c>
      <c r="H171" s="532">
        <f>Tabla1[[#This Row],[Rasimos Cosechados]]</f>
        <v>777</v>
      </c>
      <c r="I171" s="532">
        <f>Tabla1[[#This Row],[Rasimos Prosesados]]</f>
        <v>727</v>
      </c>
      <c r="J171" s="532">
        <f>Tabla1[[#This Row],[Rasimos Rechasados]]</f>
        <v>50</v>
      </c>
      <c r="K171" s="533">
        <f>Tabla1[[#This Row],[PRECIO CAJA]]</f>
        <v>1500</v>
      </c>
      <c r="L171" s="534">
        <f>Tabla1[[#This Row],[PRECIO BOLSA]]</f>
        <v>500</v>
      </c>
      <c r="M171" s="533">
        <f>Tabla1[[#This Row],[PRODUCIDO CAJA]]</f>
        <v>76500</v>
      </c>
      <c r="N171" s="534">
        <f>Tabla1[[#This Row],[PRODUCIDO BOLSAS]]</f>
        <v>4500</v>
      </c>
      <c r="O171" s="533">
        <f>Tabla1[[#This Row],[TOTAL PRODUCIDO]]</f>
        <v>81000</v>
      </c>
      <c r="P171" s="534">
        <f>Tabla1[[#This Row],[Valor Pagado]]</f>
        <v>150000</v>
      </c>
      <c r="Q171" s="535">
        <f>Tabla1[[#This Row],[COEFICIENTE]]</f>
        <v>1</v>
      </c>
      <c r="R171" s="534">
        <f>Tabla1[[#This Row],[Precio Caja2]]</f>
        <v>2852.9411764705883</v>
      </c>
      <c r="S171" s="536">
        <f>Tabla1[[#This Row],[VALOR GANADO]]</f>
        <v>16200</v>
      </c>
      <c r="T171" s="537">
        <f>Tabla1[[#This Row],[VALOR  A PAGAR]]</f>
        <v>30000</v>
      </c>
      <c r="U171" s="41">
        <f>Tabla1[[#This Row],[Columna1]]</f>
        <v>13800</v>
      </c>
    </row>
    <row r="172" spans="2:21" ht="15.75" x14ac:dyDescent="0.25">
      <c r="B172" s="29">
        <f>Tabla1[[#This Row],[FECHA]]</f>
        <v>44551</v>
      </c>
      <c r="C172" s="26">
        <f>_xlfn.ISOWEEKNUM('CAJAS ELABORADAS'!$C172)</f>
        <v>51</v>
      </c>
      <c r="D172" s="27" t="str">
        <f>Tabla1[[#This Row],[FINCA]]</f>
        <v>SAN PEDRO</v>
      </c>
      <c r="E172" s="531">
        <f>Tabla1[[#This Row],[Cajas Elaboradas]]</f>
        <v>377</v>
      </c>
      <c r="F172" s="26">
        <f>Tabla1[[#This Row],[Bolsas Elaboradas]]</f>
        <v>25.5</v>
      </c>
      <c r="G172" s="26">
        <f>Tabla1[[#This Row],[N° DE PERSONAS EN EL EMBARQUE]]</f>
        <v>19</v>
      </c>
      <c r="H172" s="532">
        <f>Tabla1[[#This Row],[Rasimos Cosechados]]</f>
        <v>1398</v>
      </c>
      <c r="I172" s="532">
        <f>Tabla1[[#This Row],[Rasimos Prosesados]]</f>
        <v>1209</v>
      </c>
      <c r="J172" s="532">
        <f>Tabla1[[#This Row],[Rasimos Rechasados]]</f>
        <v>189</v>
      </c>
      <c r="K172" s="533">
        <f>Tabla1[[#This Row],[PRECIO CAJA]]</f>
        <v>1500</v>
      </c>
      <c r="L172" s="534">
        <f>Tabla1[[#This Row],[PRECIO BOLSA]]</f>
        <v>500</v>
      </c>
      <c r="M172" s="533">
        <f>Tabla1[[#This Row],[PRODUCIDO CAJA]]</f>
        <v>565500</v>
      </c>
      <c r="N172" s="534">
        <f>Tabla1[[#This Row],[PRODUCIDO BOLSAS]]</f>
        <v>12750</v>
      </c>
      <c r="O172" s="533">
        <f>Tabla1[[#This Row],[TOTAL PRODUCIDO]]</f>
        <v>578250</v>
      </c>
      <c r="P172" s="534">
        <f>Tabla1[[#This Row],[Valor Pagado]]</f>
        <v>578250</v>
      </c>
      <c r="Q172" s="535">
        <f>Tabla1[[#This Row],[COEFICIENTE]]</f>
        <v>1.0144736842105264</v>
      </c>
      <c r="R172" s="534">
        <f>Tabla1[[#This Row],[Precio Caja2]]</f>
        <v>1500</v>
      </c>
      <c r="S172" s="536">
        <f>Tabla1[[#This Row],[VALOR GANADO]]</f>
        <v>30434.21052631579</v>
      </c>
      <c r="T172" s="537">
        <f>Tabla1[[#This Row],[VALOR  A PAGAR]]</f>
        <v>30434.21052631579</v>
      </c>
      <c r="U172" s="41">
        <f>Tabla1[[#This Row],[Columna1]]</f>
        <v>0</v>
      </c>
    </row>
    <row r="173" spans="2:21" ht="15.75" x14ac:dyDescent="0.25">
      <c r="B173" s="29">
        <f>Tabla1[[#This Row],[FECHA]]</f>
        <v>44558</v>
      </c>
      <c r="C173" s="26">
        <f>_xlfn.ISOWEEKNUM('CAJAS ELABORADAS'!$C173)</f>
        <v>52</v>
      </c>
      <c r="D173" s="27" t="str">
        <f>Tabla1[[#This Row],[FINCA]]</f>
        <v>SAN PEDRO</v>
      </c>
      <c r="E173" s="531">
        <f>Tabla1[[#This Row],[Cajas Elaboradas]]</f>
        <v>312</v>
      </c>
      <c r="F173" s="26">
        <f>Tabla1[[#This Row],[Bolsas Elaboradas]]</f>
        <v>20.399999999999999</v>
      </c>
      <c r="G173" s="26">
        <f>Tabla1[[#This Row],[N° DE PERSONAS EN EL EMBARQUE]]</f>
        <v>15</v>
      </c>
      <c r="H173" s="532">
        <f>Tabla1[[#This Row],[Rasimos Cosechados]]</f>
        <v>978</v>
      </c>
      <c r="I173" s="532">
        <f>Tabla1[[#This Row],[Rasimos Prosesados]]</f>
        <v>849</v>
      </c>
      <c r="J173" s="532">
        <f>Tabla1[[#This Row],[Rasimos Rechasados]]</f>
        <v>129</v>
      </c>
      <c r="K173" s="533">
        <f>Tabla1[[#This Row],[PRECIO CAJA]]</f>
        <v>1500</v>
      </c>
      <c r="L173" s="534">
        <f>Tabla1[[#This Row],[PRECIO BOLSA]]</f>
        <v>500</v>
      </c>
      <c r="M173" s="533">
        <f>Tabla1[[#This Row],[PRODUCIDO CAJA]]</f>
        <v>468000</v>
      </c>
      <c r="N173" s="534">
        <f>Tabla1[[#This Row],[PRODUCIDO BOLSAS]]</f>
        <v>10200</v>
      </c>
      <c r="O173" s="533">
        <f>Tabla1[[#This Row],[TOTAL PRODUCIDO]]</f>
        <v>478200</v>
      </c>
      <c r="P173" s="534">
        <f>Tabla1[[#This Row],[Valor Pagado]]</f>
        <v>478200</v>
      </c>
      <c r="Q173" s="535">
        <f>Tabla1[[#This Row],[COEFICIENTE]]</f>
        <v>1.0626666666666666</v>
      </c>
      <c r="R173" s="534">
        <f>Tabla1[[#This Row],[Precio Caja2]]</f>
        <v>1500</v>
      </c>
      <c r="S173" s="536">
        <f>Tabla1[[#This Row],[VALOR GANADO]]</f>
        <v>31880</v>
      </c>
      <c r="T173" s="537">
        <f>Tabla1[[#This Row],[VALOR  A PAGAR]]</f>
        <v>31880</v>
      </c>
      <c r="U173" s="41">
        <f>Tabla1[[#This Row],[Columna1]]</f>
        <v>0</v>
      </c>
    </row>
    <row r="174" spans="2:21" ht="15.75" x14ac:dyDescent="0.25">
      <c r="B174" s="29">
        <f>Tabla1[[#This Row],[FECHA]]</f>
        <v>44558</v>
      </c>
      <c r="C174" s="26">
        <f>_xlfn.ISOWEEKNUM('CAJAS ELABORADAS'!$C174)</f>
        <v>52</v>
      </c>
      <c r="D174" s="27" t="str">
        <f>Tabla1[[#This Row],[FINCA]]</f>
        <v>UVEROS</v>
      </c>
      <c r="E174" s="531">
        <f>Tabla1[[#This Row],[Cajas Elaboradas]]</f>
        <v>80</v>
      </c>
      <c r="F174" s="26">
        <f>Tabla1[[#This Row],[Bolsas Elaboradas]]</f>
        <v>10.199999999999999</v>
      </c>
      <c r="G174" s="26">
        <f>Tabla1[[#This Row],[N° DE PERSONAS EN EL EMBARQUE]]</f>
        <v>4</v>
      </c>
      <c r="H174" s="532">
        <f>Tabla1[[#This Row],[Rasimos Cosechados]]</f>
        <v>331</v>
      </c>
      <c r="I174" s="532">
        <f>Tabla1[[#This Row],[Rasimos Prosesados]]</f>
        <v>322</v>
      </c>
      <c r="J174" s="532">
        <f>Tabla1[[#This Row],[Rasimos Rechasados]]</f>
        <v>9</v>
      </c>
      <c r="K174" s="533">
        <f>Tabla1[[#This Row],[PRECIO CAJA]]</f>
        <v>1500</v>
      </c>
      <c r="L174" s="534">
        <f>Tabla1[[#This Row],[PRECIO BOLSA]]</f>
        <v>500</v>
      </c>
      <c r="M174" s="533">
        <f>Tabla1[[#This Row],[PRODUCIDO CAJA]]</f>
        <v>120000</v>
      </c>
      <c r="N174" s="534">
        <f>Tabla1[[#This Row],[PRODUCIDO BOLSAS]]</f>
        <v>5100</v>
      </c>
      <c r="O174" s="533">
        <f>Tabla1[[#This Row],[TOTAL PRODUCIDO]]</f>
        <v>125100</v>
      </c>
      <c r="P174" s="534">
        <f>Tabla1[[#This Row],[Valor Pagado]]</f>
        <v>125100</v>
      </c>
      <c r="Q174" s="535">
        <f>Tabla1[[#This Row],[COEFICIENTE]]</f>
        <v>1.0425</v>
      </c>
      <c r="R174" s="534">
        <f>Tabla1[[#This Row],[Precio Caja2]]</f>
        <v>1500</v>
      </c>
      <c r="S174" s="536">
        <f>Tabla1[[#This Row],[VALOR GANADO]]</f>
        <v>31275</v>
      </c>
      <c r="T174" s="537">
        <f>Tabla1[[#This Row],[VALOR  A PAGAR]]</f>
        <v>31275</v>
      </c>
      <c r="U174" s="41">
        <f>Tabla1[[#This Row],[Columna1]]</f>
        <v>0</v>
      </c>
    </row>
    <row r="175" spans="2:21" ht="15.75" x14ac:dyDescent="0.25">
      <c r="B175" s="29">
        <f>Tabla1[[#This Row],[FECHA]]</f>
        <v>44559</v>
      </c>
      <c r="C175" s="26">
        <f>_xlfn.ISOWEEKNUM('CAJAS ELABORADAS'!$C175)</f>
        <v>52</v>
      </c>
      <c r="D175" s="27" t="str">
        <f>Tabla1[[#This Row],[FINCA]]</f>
        <v>SAN PEDRO</v>
      </c>
      <c r="E175" s="531">
        <f>Tabla1[[#This Row],[Cajas Elaboradas]]</f>
        <v>221</v>
      </c>
      <c r="F175" s="26">
        <f>Tabla1[[#This Row],[Bolsas Elaboradas]]</f>
        <v>6</v>
      </c>
      <c r="G175" s="26">
        <f>Tabla1[[#This Row],[N° DE PERSONAS EN EL EMBARQUE]]</f>
        <v>12</v>
      </c>
      <c r="H175" s="532">
        <f>Tabla1[[#This Row],[Rasimos Cosechados]]</f>
        <v>978</v>
      </c>
      <c r="I175" s="532">
        <f>Tabla1[[#This Row],[Rasimos Prosesados]]</f>
        <v>849</v>
      </c>
      <c r="J175" s="532">
        <f>Tabla1[[#This Row],[Rasimos Rechasados]]</f>
        <v>129</v>
      </c>
      <c r="K175" s="533">
        <f>Tabla1[[#This Row],[PRECIO CAJA]]</f>
        <v>1500</v>
      </c>
      <c r="L175" s="534">
        <f>Tabla1[[#This Row],[PRECIO BOLSA]]</f>
        <v>500</v>
      </c>
      <c r="M175" s="533">
        <f>Tabla1[[#This Row],[PRODUCIDO CAJA]]</f>
        <v>331500</v>
      </c>
      <c r="N175" s="534">
        <f>Tabla1[[#This Row],[PRODUCIDO BOLSAS]]</f>
        <v>3000</v>
      </c>
      <c r="O175" s="533">
        <f>Tabla1[[#This Row],[TOTAL PRODUCIDO]]</f>
        <v>334500</v>
      </c>
      <c r="P175" s="534">
        <f>Tabla1[[#This Row],[Valor Pagado]]</f>
        <v>360000</v>
      </c>
      <c r="Q175" s="535">
        <f>Tabla1[[#This Row],[COEFICIENTE]]</f>
        <v>1</v>
      </c>
      <c r="R175" s="534">
        <f>Tabla1[[#This Row],[Precio Caja2]]</f>
        <v>1615.3846153846155</v>
      </c>
      <c r="S175" s="536">
        <f>Tabla1[[#This Row],[VALOR GANADO]]</f>
        <v>27875</v>
      </c>
      <c r="T175" s="537">
        <f>Tabla1[[#This Row],[VALOR  A PAGAR]]</f>
        <v>30000</v>
      </c>
      <c r="U175" s="41">
        <f>Tabla1[[#This Row],[Columna1]]</f>
        <v>2125</v>
      </c>
    </row>
    <row r="176" spans="2:21" ht="15.75" x14ac:dyDescent="0.25">
      <c r="B176" s="29">
        <f>Tabla1[[#This Row],[FECHA]]</f>
        <v>44559</v>
      </c>
      <c r="C176" s="26">
        <f>_xlfn.ISOWEEKNUM('CAJAS ELABORADAS'!$C176)</f>
        <v>52</v>
      </c>
      <c r="D176" s="27" t="str">
        <f>Tabla1[[#This Row],[FINCA]]</f>
        <v>DAMAQUIEL</v>
      </c>
      <c r="E176" s="531">
        <f>Tabla1[[#This Row],[Cajas Elaboradas]]</f>
        <v>120</v>
      </c>
      <c r="F176" s="26">
        <f>Tabla1[[#This Row],[Bolsas Elaboradas]]</f>
        <v>36</v>
      </c>
      <c r="G176" s="26">
        <f>Tabla1[[#This Row],[N° DE PERSONAS EN EL EMBARQUE]]</f>
        <v>5</v>
      </c>
      <c r="H176" s="532">
        <f>Tabla1[[#This Row],[Rasimos Cosechados]]</f>
        <v>735</v>
      </c>
      <c r="I176" s="532">
        <f>Tabla1[[#This Row],[Rasimos Prosesados]]</f>
        <v>689</v>
      </c>
      <c r="J176" s="532">
        <f>Tabla1[[#This Row],[Rasimos Rechasados]]</f>
        <v>46</v>
      </c>
      <c r="K176" s="533">
        <f>Tabla1[[#This Row],[PRECIO CAJA]]</f>
        <v>1500</v>
      </c>
      <c r="L176" s="534">
        <f>Tabla1[[#This Row],[PRECIO BOLSA]]</f>
        <v>500</v>
      </c>
      <c r="M176" s="533">
        <f>Tabla1[[#This Row],[PRODUCIDO CAJA]]</f>
        <v>180000</v>
      </c>
      <c r="N176" s="534">
        <f>Tabla1[[#This Row],[PRODUCIDO BOLSAS]]</f>
        <v>18000</v>
      </c>
      <c r="O176" s="533">
        <f>Tabla1[[#This Row],[TOTAL PRODUCIDO]]</f>
        <v>198000</v>
      </c>
      <c r="P176" s="534">
        <f>Tabla1[[#This Row],[Valor Pagado]]</f>
        <v>198000</v>
      </c>
      <c r="Q176" s="535">
        <f>Tabla1[[#This Row],[COEFICIENTE]]</f>
        <v>1.32</v>
      </c>
      <c r="R176" s="534">
        <f>Tabla1[[#This Row],[Precio Caja2]]</f>
        <v>1500</v>
      </c>
      <c r="S176" s="536">
        <f>Tabla1[[#This Row],[VALOR GANADO]]</f>
        <v>39600</v>
      </c>
      <c r="T176" s="537">
        <f>Tabla1[[#This Row],[VALOR  A PAGAR]]</f>
        <v>39600</v>
      </c>
      <c r="U176" s="41">
        <f>Tabla1[[#This Row],[Columna1]]</f>
        <v>0</v>
      </c>
    </row>
    <row r="177" spans="2:21" ht="15.75" x14ac:dyDescent="0.25">
      <c r="B177" s="29">
        <f>Tabla1[[#This Row],[FECHA]]</f>
        <v>44559</v>
      </c>
      <c r="C177" s="26">
        <f>_xlfn.ISOWEEKNUM('CAJAS ELABORADAS'!$C177)</f>
        <v>52</v>
      </c>
      <c r="D177" s="27" t="str">
        <f>Tabla1[[#This Row],[FINCA]]</f>
        <v>PEDRITO</v>
      </c>
      <c r="E177" s="531">
        <f>Tabla1[[#This Row],[Cajas Elaboradas]]</f>
        <v>81</v>
      </c>
      <c r="F177" s="26">
        <f>Tabla1[[#This Row],[Bolsas Elaboradas]]</f>
        <v>11</v>
      </c>
      <c r="G177" s="26">
        <f>Tabla1[[#This Row],[N° DE PERSONAS EN EL EMBARQUE]]</f>
        <v>7</v>
      </c>
      <c r="H177" s="532">
        <f>Tabla1[[#This Row],[Rasimos Cosechados]]</f>
        <v>523</v>
      </c>
      <c r="I177" s="532">
        <f>Tabla1[[#This Row],[Rasimos Prosesados]]</f>
        <v>498</v>
      </c>
      <c r="J177" s="532">
        <f>Tabla1[[#This Row],[Rasimos Rechasados]]</f>
        <v>25</v>
      </c>
      <c r="K177" s="533">
        <f>Tabla1[[#This Row],[PRECIO CAJA]]</f>
        <v>2100</v>
      </c>
      <c r="L177" s="534">
        <f>Tabla1[[#This Row],[PRECIO BOLSA]]</f>
        <v>500</v>
      </c>
      <c r="M177" s="533">
        <f>Tabla1[[#This Row],[PRODUCIDO CAJA]]</f>
        <v>170100</v>
      </c>
      <c r="N177" s="534">
        <f>Tabla1[[#This Row],[PRODUCIDO BOLSAS]]</f>
        <v>5500</v>
      </c>
      <c r="O177" s="533">
        <f>Tabla1[[#This Row],[TOTAL PRODUCIDO]]</f>
        <v>175600</v>
      </c>
      <c r="P177" s="534">
        <f>Tabla1[[#This Row],[Valor Pagado]]</f>
        <v>210000</v>
      </c>
      <c r="Q177" s="535">
        <f>Tabla1[[#This Row],[COEFICIENTE]]</f>
        <v>1</v>
      </c>
      <c r="R177" s="534">
        <f>Tabla1[[#This Row],[Precio Caja2]]</f>
        <v>2524.6913580246915</v>
      </c>
      <c r="S177" s="536">
        <f>Tabla1[[#This Row],[VALOR GANADO]]</f>
        <v>25085.714285714286</v>
      </c>
      <c r="T177" s="537">
        <f>Tabla1[[#This Row],[VALOR  A PAGAR]]</f>
        <v>30000</v>
      </c>
      <c r="U177" s="41">
        <f>Tabla1[[#This Row],[Columna1]]</f>
        <v>4914.2857142857138</v>
      </c>
    </row>
    <row r="178" spans="2:21" ht="15.75" x14ac:dyDescent="0.25">
      <c r="B178" s="29">
        <f>Tabla1[[#This Row],[FECHA]]</f>
        <v>44565</v>
      </c>
      <c r="C178" s="26">
        <f>_xlfn.ISOWEEKNUM('CAJAS ELABORADAS'!$C178)</f>
        <v>1</v>
      </c>
      <c r="D178" s="27" t="str">
        <f>Tabla1[[#This Row],[FINCA]]</f>
        <v>SAN PEDRO</v>
      </c>
      <c r="E178" s="531">
        <f>Tabla1[[#This Row],[Cajas Elaboradas]]</f>
        <v>330</v>
      </c>
      <c r="F178" s="26">
        <f>Tabla1[[#This Row],[Bolsas Elaboradas]]</f>
        <v>21</v>
      </c>
      <c r="G178" s="26">
        <f>Tabla1[[#This Row],[N° DE PERSONAS EN EL EMBARQUE]]</f>
        <v>13</v>
      </c>
      <c r="H178" s="532">
        <f>Tabla1[[#This Row],[Rasimos Cosechados]]</f>
        <v>1091</v>
      </c>
      <c r="I178" s="532">
        <f>Tabla1[[#This Row],[Rasimos Prosesados]]</f>
        <v>962</v>
      </c>
      <c r="J178" s="532">
        <f>Tabla1[[#This Row],[Rasimos Rechasados]]</f>
        <v>129</v>
      </c>
      <c r="K178" s="533">
        <f>Tabla1[[#This Row],[PRECIO CAJA]]</f>
        <v>1500</v>
      </c>
      <c r="L178" s="534">
        <f>Tabla1[[#This Row],[PRECIO BOLSA]]</f>
        <v>500</v>
      </c>
      <c r="M178" s="533">
        <f>Tabla1[[#This Row],[PRODUCIDO CAJA]]</f>
        <v>495000</v>
      </c>
      <c r="N178" s="534">
        <f>Tabla1[[#This Row],[PRODUCIDO BOLSAS]]</f>
        <v>10500</v>
      </c>
      <c r="O178" s="533">
        <f>Tabla1[[#This Row],[TOTAL PRODUCIDO]]</f>
        <v>505500</v>
      </c>
      <c r="P178" s="534">
        <f>Tabla1[[#This Row],[Valor Pagado]]</f>
        <v>505500</v>
      </c>
      <c r="Q178" s="535">
        <f>Tabla1[[#This Row],[COEFICIENTE]]</f>
        <v>1.296153846153846</v>
      </c>
      <c r="R178" s="534">
        <f>Tabla1[[#This Row],[Precio Caja2]]</f>
        <v>1500</v>
      </c>
      <c r="S178" s="536">
        <f>Tabla1[[#This Row],[VALOR GANADO]]</f>
        <v>38884.615384615383</v>
      </c>
      <c r="T178" s="537">
        <f>Tabla1[[#This Row],[VALOR  A PAGAR]]</f>
        <v>38884.615384615383</v>
      </c>
      <c r="U178" s="41">
        <f>Tabla1[[#This Row],[Columna1]]</f>
        <v>0</v>
      </c>
    </row>
    <row r="179" spans="2:21" ht="15.75" x14ac:dyDescent="0.25">
      <c r="B179" s="29">
        <f>Tabla1[[#This Row],[FECHA]]</f>
        <v>44565</v>
      </c>
      <c r="C179" s="26">
        <f>_xlfn.ISOWEEKNUM('CAJAS ELABORADAS'!$C179)</f>
        <v>1</v>
      </c>
      <c r="D179" s="27" t="str">
        <f>Tabla1[[#This Row],[FINCA]]</f>
        <v>UVEROS</v>
      </c>
      <c r="E179" s="531">
        <f>Tabla1[[#This Row],[Cajas Elaboradas]]</f>
        <v>82</v>
      </c>
      <c r="F179" s="26">
        <f>Tabla1[[#This Row],[Bolsas Elaboradas]]</f>
        <v>3.4</v>
      </c>
      <c r="G179" s="26">
        <f>Tabla1[[#This Row],[N° DE PERSONAS EN EL EMBARQUE]]</f>
        <v>4</v>
      </c>
      <c r="H179" s="532">
        <f>Tabla1[[#This Row],[Rasimos Cosechados]]</f>
        <v>362</v>
      </c>
      <c r="I179" s="532">
        <f>Tabla1[[#This Row],[Rasimos Prosesados]]</f>
        <v>0</v>
      </c>
      <c r="J179" s="532">
        <f>Tabla1[[#This Row],[Rasimos Rechasados]]</f>
        <v>362</v>
      </c>
      <c r="K179" s="533">
        <f>Tabla1[[#This Row],[PRECIO CAJA]]</f>
        <v>1500</v>
      </c>
      <c r="L179" s="534">
        <f>Tabla1[[#This Row],[PRECIO BOLSA]]</f>
        <v>500</v>
      </c>
      <c r="M179" s="533">
        <f>Tabla1[[#This Row],[PRODUCIDO CAJA]]</f>
        <v>123000</v>
      </c>
      <c r="N179" s="534">
        <f>Tabla1[[#This Row],[PRODUCIDO BOLSAS]]</f>
        <v>1700</v>
      </c>
      <c r="O179" s="533">
        <f>Tabla1[[#This Row],[TOTAL PRODUCIDO]]</f>
        <v>124700</v>
      </c>
      <c r="P179" s="534">
        <f>Tabla1[[#This Row],[Valor Pagado]]</f>
        <v>124700</v>
      </c>
      <c r="Q179" s="535">
        <f>Tabla1[[#This Row],[COEFICIENTE]]</f>
        <v>1.0391666666666666</v>
      </c>
      <c r="R179" s="534">
        <f>Tabla1[[#This Row],[Precio Caja2]]</f>
        <v>1500</v>
      </c>
      <c r="S179" s="536">
        <f>Tabla1[[#This Row],[VALOR GANADO]]</f>
        <v>31175</v>
      </c>
      <c r="T179" s="537">
        <f>Tabla1[[#This Row],[VALOR  A PAGAR]]</f>
        <v>31175</v>
      </c>
      <c r="U179" s="41">
        <f>Tabla1[[#This Row],[Columna1]]</f>
        <v>0</v>
      </c>
    </row>
    <row r="180" spans="2:21" ht="15.75" x14ac:dyDescent="0.25">
      <c r="B180" s="29">
        <f>Tabla1[[#This Row],[FECHA]]</f>
        <v>44566</v>
      </c>
      <c r="C180" s="26">
        <f>_xlfn.ISOWEEKNUM('CAJAS ELABORADAS'!$C180)</f>
        <v>1</v>
      </c>
      <c r="D180" s="27" t="str">
        <f>Tabla1[[#This Row],[FINCA]]</f>
        <v>SAN PEDRO</v>
      </c>
      <c r="E180" s="531">
        <f>Tabla1[[#This Row],[Cajas Elaboradas]]</f>
        <v>303</v>
      </c>
      <c r="F180" s="26">
        <f>Tabla1[[#This Row],[Bolsas Elaboradas]]</f>
        <v>13</v>
      </c>
      <c r="G180" s="26">
        <f>Tabla1[[#This Row],[N° DE PERSONAS EN EL EMBARQUE]]</f>
        <v>14</v>
      </c>
      <c r="H180" s="532">
        <f>Tabla1[[#This Row],[Rasimos Cosechados]]</f>
        <v>917</v>
      </c>
      <c r="I180" s="532">
        <f>Tabla1[[#This Row],[Rasimos Prosesados]]</f>
        <v>814</v>
      </c>
      <c r="J180" s="532">
        <f>Tabla1[[#This Row],[Rasimos Rechasados]]</f>
        <v>103</v>
      </c>
      <c r="K180" s="533">
        <f>Tabla1[[#This Row],[PRECIO CAJA]]</f>
        <v>1500</v>
      </c>
      <c r="L180" s="534">
        <f>Tabla1[[#This Row],[PRECIO BOLSA]]</f>
        <v>500</v>
      </c>
      <c r="M180" s="533">
        <f>Tabla1[[#This Row],[PRODUCIDO CAJA]]</f>
        <v>454500</v>
      </c>
      <c r="N180" s="534">
        <f>Tabla1[[#This Row],[PRODUCIDO BOLSAS]]</f>
        <v>6500</v>
      </c>
      <c r="O180" s="533">
        <f>Tabla1[[#This Row],[TOTAL PRODUCIDO]]</f>
        <v>461000</v>
      </c>
      <c r="P180" s="534">
        <f>Tabla1[[#This Row],[Valor Pagado]]</f>
        <v>461000</v>
      </c>
      <c r="Q180" s="535">
        <f>Tabla1[[#This Row],[COEFICIENTE]]</f>
        <v>1.0976190476190475</v>
      </c>
      <c r="R180" s="534">
        <f>Tabla1[[#This Row],[Precio Caja2]]</f>
        <v>1500</v>
      </c>
      <c r="S180" s="536">
        <f>Tabla1[[#This Row],[VALOR GANADO]]</f>
        <v>32928.571428571428</v>
      </c>
      <c r="T180" s="537">
        <f>Tabla1[[#This Row],[VALOR  A PAGAR]]</f>
        <v>32928.571428571428</v>
      </c>
      <c r="U180" s="41">
        <f>Tabla1[[#This Row],[Columna1]]</f>
        <v>0</v>
      </c>
    </row>
    <row r="181" spans="2:21" ht="15.75" x14ac:dyDescent="0.25">
      <c r="B181" s="29">
        <f>Tabla1[[#This Row],[FECHA]]</f>
        <v>44566</v>
      </c>
      <c r="C181" s="26">
        <f>_xlfn.ISOWEEKNUM('CAJAS ELABORADAS'!$C181)</f>
        <v>1</v>
      </c>
      <c r="D181" s="27" t="str">
        <f>Tabla1[[#This Row],[FINCA]]</f>
        <v>PEDRITO</v>
      </c>
      <c r="E181" s="531">
        <f>Tabla1[[#This Row],[Cajas Elaboradas]]</f>
        <v>77</v>
      </c>
      <c r="F181" s="26">
        <f>Tabla1[[#This Row],[Bolsas Elaboradas]]</f>
        <v>49</v>
      </c>
      <c r="G181" s="26">
        <f>Tabla1[[#This Row],[N° DE PERSONAS EN EL EMBARQUE]]</f>
        <v>6</v>
      </c>
      <c r="H181" s="532">
        <f>Tabla1[[#This Row],[Rasimos Cosechados]]</f>
        <v>434</v>
      </c>
      <c r="I181" s="532">
        <f>Tabla1[[#This Row],[Rasimos Prosesados]]</f>
        <v>364</v>
      </c>
      <c r="J181" s="532">
        <f>Tabla1[[#This Row],[Rasimos Rechasados]]</f>
        <v>70</v>
      </c>
      <c r="K181" s="533">
        <f>Tabla1[[#This Row],[PRECIO CAJA]]</f>
        <v>2100</v>
      </c>
      <c r="L181" s="534">
        <f>Tabla1[[#This Row],[PRECIO BOLSA]]</f>
        <v>500</v>
      </c>
      <c r="M181" s="533">
        <f>Tabla1[[#This Row],[PRODUCIDO CAJA]]</f>
        <v>161700</v>
      </c>
      <c r="N181" s="534">
        <f>Tabla1[[#This Row],[PRODUCIDO BOLSAS]]</f>
        <v>24500</v>
      </c>
      <c r="O181" s="533">
        <f>Tabla1[[#This Row],[TOTAL PRODUCIDO]]</f>
        <v>186200</v>
      </c>
      <c r="P181" s="534">
        <f>Tabla1[[#This Row],[Valor Pagado]]</f>
        <v>186200</v>
      </c>
      <c r="Q181" s="535">
        <f>Tabla1[[#This Row],[COEFICIENTE]]</f>
        <v>1.0344444444444445</v>
      </c>
      <c r="R181" s="534">
        <f>Tabla1[[#This Row],[Precio Caja2]]</f>
        <v>2100</v>
      </c>
      <c r="S181" s="536">
        <f>Tabla1[[#This Row],[VALOR GANADO]]</f>
        <v>31033.333333333332</v>
      </c>
      <c r="T181" s="537">
        <f>Tabla1[[#This Row],[VALOR  A PAGAR]]</f>
        <v>31033.333333333332</v>
      </c>
      <c r="U181" s="41">
        <f>Tabla1[[#This Row],[Columna1]]</f>
        <v>0</v>
      </c>
    </row>
    <row r="182" spans="2:21" ht="15.75" x14ac:dyDescent="0.25">
      <c r="B182" s="29">
        <f>Tabla1[[#This Row],[FECHA]]</f>
        <v>44566</v>
      </c>
      <c r="C182" s="26">
        <f>_xlfn.ISOWEEKNUM('CAJAS ELABORADAS'!$C182)</f>
        <v>1</v>
      </c>
      <c r="D182" s="27" t="str">
        <f>Tabla1[[#This Row],[FINCA]]</f>
        <v>DAMAQUIEL</v>
      </c>
      <c r="E182" s="531">
        <f>Tabla1[[#This Row],[Cajas Elaboradas]]</f>
        <v>100</v>
      </c>
      <c r="F182" s="26">
        <f>Tabla1[[#This Row],[Bolsas Elaboradas]]</f>
        <v>10.199999999999999</v>
      </c>
      <c r="G182" s="26">
        <f>Tabla1[[#This Row],[N° DE PERSONAS EN EL EMBARQUE]]</f>
        <v>5</v>
      </c>
      <c r="H182" s="532">
        <f>Tabla1[[#This Row],[Rasimos Cosechados]]</f>
        <v>606</v>
      </c>
      <c r="I182" s="532">
        <f>Tabla1[[#This Row],[Rasimos Prosesados]]</f>
        <v>602</v>
      </c>
      <c r="J182" s="532">
        <f>Tabla1[[#This Row],[Rasimos Rechasados]]</f>
        <v>4</v>
      </c>
      <c r="K182" s="533">
        <f>Tabla1[[#This Row],[PRECIO CAJA]]</f>
        <v>1500</v>
      </c>
      <c r="L182" s="534">
        <f>Tabla1[[#This Row],[PRECIO BOLSA]]</f>
        <v>500</v>
      </c>
      <c r="M182" s="533">
        <f>Tabla1[[#This Row],[PRODUCIDO CAJA]]</f>
        <v>150000</v>
      </c>
      <c r="N182" s="534">
        <f>Tabla1[[#This Row],[PRODUCIDO BOLSAS]]</f>
        <v>5100</v>
      </c>
      <c r="O182" s="533">
        <f>Tabla1[[#This Row],[TOTAL PRODUCIDO]]</f>
        <v>155100</v>
      </c>
      <c r="P182" s="534">
        <f>Tabla1[[#This Row],[Valor Pagado]]</f>
        <v>155100</v>
      </c>
      <c r="Q182" s="535">
        <f>Tabla1[[#This Row],[COEFICIENTE]]</f>
        <v>1.034</v>
      </c>
      <c r="R182" s="534">
        <f>Tabla1[[#This Row],[Precio Caja2]]</f>
        <v>1500</v>
      </c>
      <c r="S182" s="536">
        <f>Tabla1[[#This Row],[VALOR GANADO]]</f>
        <v>31020</v>
      </c>
      <c r="T182" s="537">
        <f>Tabla1[[#This Row],[VALOR  A PAGAR]]</f>
        <v>31020</v>
      </c>
      <c r="U182" s="41">
        <f>Tabla1[[#This Row],[Columna1]]</f>
        <v>0</v>
      </c>
    </row>
    <row r="183" spans="2:21" ht="15.75" x14ac:dyDescent="0.25">
      <c r="B183" s="29">
        <f>Tabla1[[#This Row],[FECHA]]</f>
        <v>44572</v>
      </c>
      <c r="C183" s="26">
        <f>_xlfn.ISOWEEKNUM('CAJAS ELABORADAS'!$C183)</f>
        <v>2</v>
      </c>
      <c r="D183" s="27" t="str">
        <f>Tabla1[[#This Row],[FINCA]]</f>
        <v>SAN PEDRO</v>
      </c>
      <c r="E183" s="531">
        <f>Tabla1[[#This Row],[Cajas Elaboradas]]</f>
        <v>333</v>
      </c>
      <c r="F183" s="26">
        <f>Tabla1[[#This Row],[Bolsas Elaboradas]]</f>
        <v>11.9</v>
      </c>
      <c r="G183" s="26">
        <f>Tabla1[[#This Row],[N° DE PERSONAS EN EL EMBARQUE]]</f>
        <v>13</v>
      </c>
      <c r="H183" s="532">
        <f>Tabla1[[#This Row],[Rasimos Cosechados]]</f>
        <v>1132</v>
      </c>
      <c r="I183" s="532">
        <f>Tabla1[[#This Row],[Rasimos Prosesados]]</f>
        <v>1031</v>
      </c>
      <c r="J183" s="532">
        <f>Tabla1[[#This Row],[Rasimos Rechasados]]</f>
        <v>101</v>
      </c>
      <c r="K183" s="533">
        <f>Tabla1[[#This Row],[PRECIO CAJA]]</f>
        <v>1500</v>
      </c>
      <c r="L183" s="534">
        <f>Tabla1[[#This Row],[PRECIO BOLSA]]</f>
        <v>500</v>
      </c>
      <c r="M183" s="533">
        <f>Tabla1[[#This Row],[PRODUCIDO CAJA]]</f>
        <v>499500</v>
      </c>
      <c r="N183" s="534">
        <f>Tabla1[[#This Row],[PRODUCIDO BOLSAS]]</f>
        <v>5950</v>
      </c>
      <c r="O183" s="533">
        <f>Tabla1[[#This Row],[TOTAL PRODUCIDO]]</f>
        <v>505450</v>
      </c>
      <c r="P183" s="534">
        <f>Tabla1[[#This Row],[Valor Pagado]]</f>
        <v>505450.00000000006</v>
      </c>
      <c r="Q183" s="535">
        <f>Tabla1[[#This Row],[COEFICIENTE]]</f>
        <v>1.2960256410256412</v>
      </c>
      <c r="R183" s="534">
        <f>Tabla1[[#This Row],[Precio Caja2]]</f>
        <v>1500.0000000000002</v>
      </c>
      <c r="S183" s="536">
        <f>Tabla1[[#This Row],[VALOR GANADO]]</f>
        <v>38880.769230769234</v>
      </c>
      <c r="T183" s="537">
        <f>Tabla1[[#This Row],[VALOR  A PAGAR]]</f>
        <v>38880.769230769234</v>
      </c>
      <c r="U183" s="41">
        <f>Tabla1[[#This Row],[Columna1]]</f>
        <v>0</v>
      </c>
    </row>
    <row r="184" spans="2:21" ht="15.75" x14ac:dyDescent="0.25">
      <c r="B184" s="29">
        <f>Tabla1[[#This Row],[FECHA]]</f>
        <v>44572</v>
      </c>
      <c r="C184" s="26">
        <f>_xlfn.ISOWEEKNUM('CAJAS ELABORADAS'!$C184)</f>
        <v>2</v>
      </c>
      <c r="D184" s="27" t="str">
        <f>Tabla1[[#This Row],[FINCA]]</f>
        <v>UVEROS</v>
      </c>
      <c r="E184" s="531">
        <f>Tabla1[[#This Row],[Cajas Elaboradas]]</f>
        <v>65</v>
      </c>
      <c r="F184" s="26">
        <f>Tabla1[[#This Row],[Bolsas Elaboradas]]</f>
        <v>4</v>
      </c>
      <c r="G184" s="26">
        <f>Tabla1[[#This Row],[N° DE PERSONAS EN EL EMBARQUE]]</f>
        <v>4</v>
      </c>
      <c r="H184" s="532">
        <f>Tabla1[[#This Row],[Rasimos Cosechados]]</f>
        <v>283</v>
      </c>
      <c r="I184" s="532">
        <f>Tabla1[[#This Row],[Rasimos Prosesados]]</f>
        <v>0</v>
      </c>
      <c r="J184" s="532">
        <f>Tabla1[[#This Row],[Rasimos Rechasados]]</f>
        <v>283</v>
      </c>
      <c r="K184" s="533">
        <f>Tabla1[[#This Row],[PRECIO CAJA]]</f>
        <v>1500</v>
      </c>
      <c r="L184" s="534">
        <f>Tabla1[[#This Row],[PRECIO BOLSA]]</f>
        <v>500</v>
      </c>
      <c r="M184" s="533">
        <f>Tabla1[[#This Row],[PRODUCIDO CAJA]]</f>
        <v>97500</v>
      </c>
      <c r="N184" s="534">
        <f>Tabla1[[#This Row],[PRODUCIDO BOLSAS]]</f>
        <v>2000</v>
      </c>
      <c r="O184" s="533">
        <f>Tabla1[[#This Row],[TOTAL PRODUCIDO]]</f>
        <v>99500</v>
      </c>
      <c r="P184" s="534">
        <f>Tabla1[[#This Row],[Valor Pagado]]</f>
        <v>120000</v>
      </c>
      <c r="Q184" s="535">
        <f>Tabla1[[#This Row],[COEFICIENTE]]</f>
        <v>1</v>
      </c>
      <c r="R184" s="534">
        <f>Tabla1[[#This Row],[Precio Caja2]]</f>
        <v>1815.3846153846155</v>
      </c>
      <c r="S184" s="536">
        <f>Tabla1[[#This Row],[VALOR GANADO]]</f>
        <v>24875</v>
      </c>
      <c r="T184" s="537">
        <f>Tabla1[[#This Row],[VALOR  A PAGAR]]</f>
        <v>30000</v>
      </c>
      <c r="U184" s="41">
        <f>Tabla1[[#This Row],[Columna1]]</f>
        <v>5125</v>
      </c>
    </row>
    <row r="185" spans="2:21" ht="15.75" x14ac:dyDescent="0.25">
      <c r="B185" s="29">
        <f>Tabla1[[#This Row],[FECHA]]</f>
        <v>44573</v>
      </c>
      <c r="C185" s="26">
        <f>_xlfn.ISOWEEKNUM('CAJAS ELABORADAS'!$C185)</f>
        <v>2</v>
      </c>
      <c r="D185" s="27" t="str">
        <f>Tabla1[[#This Row],[FINCA]]</f>
        <v>SAN PEDRO</v>
      </c>
      <c r="E185" s="531">
        <f>Tabla1[[#This Row],[Cajas Elaboradas]]</f>
        <v>296</v>
      </c>
      <c r="F185" s="26">
        <f>Tabla1[[#This Row],[Bolsas Elaboradas]]</f>
        <v>13.6</v>
      </c>
      <c r="G185" s="26">
        <f>Tabla1[[#This Row],[N° DE PERSONAS EN EL EMBARQUE]]</f>
        <v>14</v>
      </c>
      <c r="H185" s="532">
        <f>Tabla1[[#This Row],[Rasimos Cosechados]]</f>
        <v>1086</v>
      </c>
      <c r="I185" s="532">
        <f>Tabla1[[#This Row],[Rasimos Prosesados]]</f>
        <v>0</v>
      </c>
      <c r="J185" s="532">
        <f>Tabla1[[#This Row],[Rasimos Rechasados]]</f>
        <v>1086</v>
      </c>
      <c r="K185" s="533">
        <f>Tabla1[[#This Row],[PRECIO CAJA]]</f>
        <v>1500</v>
      </c>
      <c r="L185" s="534">
        <f>Tabla1[[#This Row],[PRECIO BOLSA]]</f>
        <v>500</v>
      </c>
      <c r="M185" s="533">
        <f>Tabla1[[#This Row],[PRODUCIDO CAJA]]</f>
        <v>444000</v>
      </c>
      <c r="N185" s="534">
        <f>Tabla1[[#This Row],[PRODUCIDO BOLSAS]]</f>
        <v>6800</v>
      </c>
      <c r="O185" s="533">
        <f>Tabla1[[#This Row],[TOTAL PRODUCIDO]]</f>
        <v>450800</v>
      </c>
      <c r="P185" s="534">
        <f>Tabla1[[#This Row],[Valor Pagado]]</f>
        <v>450800</v>
      </c>
      <c r="Q185" s="535">
        <f>Tabla1[[#This Row],[COEFICIENTE]]</f>
        <v>1.0733333333333333</v>
      </c>
      <c r="R185" s="534">
        <f>Tabla1[[#This Row],[Precio Caja2]]</f>
        <v>1500</v>
      </c>
      <c r="S185" s="536">
        <f>Tabla1[[#This Row],[VALOR GANADO]]</f>
        <v>32200</v>
      </c>
      <c r="T185" s="537">
        <f>Tabla1[[#This Row],[VALOR  A PAGAR]]</f>
        <v>32200</v>
      </c>
      <c r="U185" s="41">
        <f>Tabla1[[#This Row],[Columna1]]</f>
        <v>0</v>
      </c>
    </row>
    <row r="186" spans="2:21" ht="15.75" x14ac:dyDescent="0.25">
      <c r="B186" s="29">
        <f>Tabla1[[#This Row],[FECHA]]</f>
        <v>44573</v>
      </c>
      <c r="C186" s="26">
        <f>_xlfn.ISOWEEKNUM('CAJAS ELABORADAS'!$C186)</f>
        <v>2</v>
      </c>
      <c r="D186" s="27" t="str">
        <f>Tabla1[[#This Row],[FINCA]]</f>
        <v>DAMAQUIEL</v>
      </c>
      <c r="E186" s="531">
        <f>Tabla1[[#This Row],[Cajas Elaboradas]]</f>
        <v>81</v>
      </c>
      <c r="F186" s="26">
        <f>Tabla1[[#This Row],[Bolsas Elaboradas]]</f>
        <v>10.199999999999999</v>
      </c>
      <c r="G186" s="26">
        <f>Tabla1[[#This Row],[N° DE PERSONAS EN EL EMBARQUE]]</f>
        <v>5</v>
      </c>
      <c r="H186" s="532">
        <f>Tabla1[[#This Row],[Rasimos Cosechados]]</f>
        <v>461</v>
      </c>
      <c r="I186" s="532">
        <f>Tabla1[[#This Row],[Rasimos Prosesados]]</f>
        <v>458</v>
      </c>
      <c r="J186" s="532">
        <f>Tabla1[[#This Row],[Rasimos Rechasados]]</f>
        <v>3</v>
      </c>
      <c r="K186" s="533">
        <f>Tabla1[[#This Row],[PRECIO CAJA]]</f>
        <v>1500</v>
      </c>
      <c r="L186" s="534">
        <f>Tabla1[[#This Row],[PRECIO BOLSA]]</f>
        <v>500</v>
      </c>
      <c r="M186" s="533">
        <f>Tabla1[[#This Row],[PRODUCIDO CAJA]]</f>
        <v>121500</v>
      </c>
      <c r="N186" s="534">
        <f>Tabla1[[#This Row],[PRODUCIDO BOLSAS]]</f>
        <v>5100</v>
      </c>
      <c r="O186" s="533">
        <f>Tabla1[[#This Row],[TOTAL PRODUCIDO]]</f>
        <v>126600</v>
      </c>
      <c r="P186" s="534">
        <f>Tabla1[[#This Row],[Valor Pagado]]</f>
        <v>150000</v>
      </c>
      <c r="Q186" s="535">
        <f>Tabla1[[#This Row],[COEFICIENTE]]</f>
        <v>1</v>
      </c>
      <c r="R186" s="534">
        <f>Tabla1[[#This Row],[Precio Caja2]]</f>
        <v>1788.8888888888889</v>
      </c>
      <c r="S186" s="536">
        <f>Tabla1[[#This Row],[VALOR GANADO]]</f>
        <v>25320</v>
      </c>
      <c r="T186" s="537">
        <f>Tabla1[[#This Row],[VALOR  A PAGAR]]</f>
        <v>30000</v>
      </c>
      <c r="U186" s="41">
        <f>Tabla1[[#This Row],[Columna1]]</f>
        <v>4680</v>
      </c>
    </row>
    <row r="187" spans="2:21" ht="15.75" x14ac:dyDescent="0.25">
      <c r="B187" s="29">
        <f>Tabla1[[#This Row],[FECHA]]</f>
        <v>44579</v>
      </c>
      <c r="C187" s="26">
        <f>_xlfn.ISOWEEKNUM('CAJAS ELABORADAS'!$C187)</f>
        <v>3</v>
      </c>
      <c r="D187" s="27" t="str">
        <f>Tabla1[[#This Row],[FINCA]]</f>
        <v>PEDRITO</v>
      </c>
      <c r="E187" s="531">
        <f>Tabla1[[#This Row],[Cajas Elaboradas]]</f>
        <v>87</v>
      </c>
      <c r="F187" s="26">
        <f>Tabla1[[#This Row],[Bolsas Elaboradas]]</f>
        <v>37.4</v>
      </c>
      <c r="G187" s="26">
        <f>Tabla1[[#This Row],[N° DE PERSONAS EN EL EMBARQUE]]</f>
        <v>7</v>
      </c>
      <c r="H187" s="532">
        <f>Tabla1[[#This Row],[Rasimos Cosechados]]</f>
        <v>522</v>
      </c>
      <c r="I187" s="532">
        <f>Tabla1[[#This Row],[Rasimos Prosesados]]</f>
        <v>438</v>
      </c>
      <c r="J187" s="532">
        <f>Tabla1[[#This Row],[Rasimos Rechasados]]</f>
        <v>84</v>
      </c>
      <c r="K187" s="533">
        <f>Tabla1[[#This Row],[PRECIO CAJA]]</f>
        <v>2100</v>
      </c>
      <c r="L187" s="534">
        <f>Tabla1[[#This Row],[PRECIO BOLSA]]</f>
        <v>500</v>
      </c>
      <c r="M187" s="533">
        <f>Tabla1[[#This Row],[PRODUCIDO CAJA]]</f>
        <v>182700</v>
      </c>
      <c r="N187" s="534">
        <f>Tabla1[[#This Row],[PRODUCIDO BOLSAS]]</f>
        <v>18700</v>
      </c>
      <c r="O187" s="533">
        <f>Tabla1[[#This Row],[TOTAL PRODUCIDO]]</f>
        <v>201400</v>
      </c>
      <c r="P187" s="534">
        <f>Tabla1[[#This Row],[Valor Pagado]]</f>
        <v>210000</v>
      </c>
      <c r="Q187" s="535">
        <f>Tabla1[[#This Row],[COEFICIENTE]]</f>
        <v>1</v>
      </c>
      <c r="R187" s="534">
        <f>Tabla1[[#This Row],[Precio Caja2]]</f>
        <v>2198.8505747126437</v>
      </c>
      <c r="S187" s="536">
        <f>Tabla1[[#This Row],[VALOR GANADO]]</f>
        <v>28771.428571428572</v>
      </c>
      <c r="T187" s="537">
        <f>Tabla1[[#This Row],[VALOR  A PAGAR]]</f>
        <v>30000</v>
      </c>
      <c r="U187" s="41">
        <f>Tabla1[[#This Row],[Columna1]]</f>
        <v>1228.5714285714275</v>
      </c>
    </row>
    <row r="188" spans="2:21" ht="15.75" x14ac:dyDescent="0.25">
      <c r="B188" s="29">
        <f>Tabla1[[#This Row],[FECHA]]</f>
        <v>44579</v>
      </c>
      <c r="C188" s="26">
        <f>_xlfn.ISOWEEKNUM('CAJAS ELABORADAS'!$C188)</f>
        <v>3</v>
      </c>
      <c r="D188" s="27" t="str">
        <f>Tabla1[[#This Row],[FINCA]]</f>
        <v>DAMAQUIEL</v>
      </c>
      <c r="E188" s="531">
        <f>Tabla1[[#This Row],[Cajas Elaboradas]]</f>
        <v>162</v>
      </c>
      <c r="F188" s="26">
        <f>Tabla1[[#This Row],[Bolsas Elaboradas]]</f>
        <v>18</v>
      </c>
      <c r="G188" s="26">
        <f>Tabla1[[#This Row],[N° DE PERSONAS EN EL EMBARQUE]]</f>
        <v>7</v>
      </c>
      <c r="H188" s="532">
        <f>Tabla1[[#This Row],[Rasimos Cosechados]]</f>
        <v>735</v>
      </c>
      <c r="I188" s="532">
        <f>Tabla1[[#This Row],[Rasimos Prosesados]]</f>
        <v>735</v>
      </c>
      <c r="J188" s="532">
        <f>Tabla1[[#This Row],[Rasimos Rechasados]]</f>
        <v>0</v>
      </c>
      <c r="K188" s="533">
        <f>Tabla1[[#This Row],[PRECIO CAJA]]</f>
        <v>1500</v>
      </c>
      <c r="L188" s="534">
        <f>Tabla1[[#This Row],[PRECIO BOLSA]]</f>
        <v>500</v>
      </c>
      <c r="M188" s="533">
        <f>Tabla1[[#This Row],[PRODUCIDO CAJA]]</f>
        <v>243000</v>
      </c>
      <c r="N188" s="534">
        <f>Tabla1[[#This Row],[PRODUCIDO BOLSAS]]</f>
        <v>9000</v>
      </c>
      <c r="O188" s="533">
        <f>Tabla1[[#This Row],[TOTAL PRODUCIDO]]</f>
        <v>252000</v>
      </c>
      <c r="P188" s="534">
        <f>Tabla1[[#This Row],[Valor Pagado]]</f>
        <v>252000</v>
      </c>
      <c r="Q188" s="535">
        <f>Tabla1[[#This Row],[COEFICIENTE]]</f>
        <v>1.2</v>
      </c>
      <c r="R188" s="534">
        <f>Tabla1[[#This Row],[Precio Caja2]]</f>
        <v>1500</v>
      </c>
      <c r="S188" s="536">
        <f>Tabla1[[#This Row],[VALOR GANADO]]</f>
        <v>36000</v>
      </c>
      <c r="T188" s="537">
        <f>Tabla1[[#This Row],[VALOR  A PAGAR]]</f>
        <v>36000</v>
      </c>
      <c r="U188" s="41">
        <f>Tabla1[[#This Row],[Columna1]]</f>
        <v>0</v>
      </c>
    </row>
    <row r="189" spans="2:21" ht="15.75" x14ac:dyDescent="0.25">
      <c r="B189" s="29">
        <f>Tabla1[[#This Row],[FECHA]]</f>
        <v>44580</v>
      </c>
      <c r="C189" s="26">
        <f>_xlfn.ISOWEEKNUM('CAJAS ELABORADAS'!$C189)</f>
        <v>3</v>
      </c>
      <c r="D189" s="27" t="str">
        <f>Tabla1[[#This Row],[FINCA]]</f>
        <v>SAN PEDRO</v>
      </c>
      <c r="E189" s="531">
        <f>Tabla1[[#This Row],[Cajas Elaboradas]]</f>
        <v>412</v>
      </c>
      <c r="F189" s="26">
        <f>Tabla1[[#This Row],[Bolsas Elaboradas]]</f>
        <v>17</v>
      </c>
      <c r="G189" s="26">
        <f>Tabla1[[#This Row],[N° DE PERSONAS EN EL EMBARQUE]]</f>
        <v>15</v>
      </c>
      <c r="H189" s="532">
        <f>Tabla1[[#This Row],[Rasimos Cosechados]]</f>
        <v>1287</v>
      </c>
      <c r="I189" s="532">
        <f>Tabla1[[#This Row],[Rasimos Prosesados]]</f>
        <v>1096</v>
      </c>
      <c r="J189" s="532">
        <f>Tabla1[[#This Row],[Rasimos Rechasados]]</f>
        <v>191</v>
      </c>
      <c r="K189" s="533">
        <f>Tabla1[[#This Row],[PRECIO CAJA]]</f>
        <v>1500</v>
      </c>
      <c r="L189" s="534">
        <f>Tabla1[[#This Row],[PRECIO BOLSA]]</f>
        <v>500</v>
      </c>
      <c r="M189" s="533">
        <f>Tabla1[[#This Row],[PRODUCIDO CAJA]]</f>
        <v>618000</v>
      </c>
      <c r="N189" s="534">
        <f>Tabla1[[#This Row],[PRODUCIDO BOLSAS]]</f>
        <v>8500</v>
      </c>
      <c r="O189" s="533">
        <f>Tabla1[[#This Row],[TOTAL PRODUCIDO]]</f>
        <v>626500</v>
      </c>
      <c r="P189" s="534">
        <f>Tabla1[[#This Row],[Valor Pagado]]</f>
        <v>626500</v>
      </c>
      <c r="Q189" s="535">
        <f>Tabla1[[#This Row],[COEFICIENTE]]</f>
        <v>1.3922222222222222</v>
      </c>
      <c r="R189" s="534">
        <f>Tabla1[[#This Row],[Precio Caja2]]</f>
        <v>1500</v>
      </c>
      <c r="S189" s="536">
        <f>Tabla1[[#This Row],[VALOR GANADO]]</f>
        <v>41766.666666666664</v>
      </c>
      <c r="T189" s="537">
        <f>Tabla1[[#This Row],[VALOR  A PAGAR]]</f>
        <v>41766.666666666664</v>
      </c>
      <c r="U189" s="41">
        <f>Tabla1[[#This Row],[Columna1]]</f>
        <v>0</v>
      </c>
    </row>
    <row r="190" spans="2:21" ht="15.75" x14ac:dyDescent="0.25">
      <c r="B190" s="29">
        <f>Tabla1[[#This Row],[FECHA]]</f>
        <v>44586</v>
      </c>
      <c r="C190" s="26">
        <f>_xlfn.ISOWEEKNUM('CAJAS ELABORADAS'!$C190)</f>
        <v>4</v>
      </c>
      <c r="D190" s="27" t="str">
        <f>Tabla1[[#This Row],[FINCA]]</f>
        <v>SAN PEDRO</v>
      </c>
      <c r="E190" s="531">
        <f>Tabla1[[#This Row],[Cajas Elaboradas]]</f>
        <v>339</v>
      </c>
      <c r="F190" s="26">
        <f>Tabla1[[#This Row],[Bolsas Elaboradas]]</f>
        <v>17</v>
      </c>
      <c r="G190" s="26">
        <f>Tabla1[[#This Row],[N° DE PERSONAS EN EL EMBARQUE]]</f>
        <v>11</v>
      </c>
      <c r="H190" s="532">
        <f>Tabla1[[#This Row],[Rasimos Cosechados]]</f>
        <v>1029</v>
      </c>
      <c r="I190" s="532">
        <f>Tabla1[[#This Row],[Rasimos Prosesados]]</f>
        <v>886</v>
      </c>
      <c r="J190" s="532">
        <f>Tabla1[[#This Row],[Rasimos Rechasados]]</f>
        <v>143</v>
      </c>
      <c r="K190" s="533">
        <f>Tabla1[[#This Row],[PRECIO CAJA]]</f>
        <v>1500</v>
      </c>
      <c r="L190" s="534">
        <f>Tabla1[[#This Row],[PRECIO BOLSA]]</f>
        <v>500</v>
      </c>
      <c r="M190" s="533">
        <f>Tabla1[[#This Row],[PRODUCIDO CAJA]]</f>
        <v>508500</v>
      </c>
      <c r="N190" s="534">
        <f>Tabla1[[#This Row],[PRODUCIDO BOLSAS]]</f>
        <v>8500</v>
      </c>
      <c r="O190" s="533">
        <f>Tabla1[[#This Row],[TOTAL PRODUCIDO]]</f>
        <v>517000</v>
      </c>
      <c r="P190" s="534">
        <f>Tabla1[[#This Row],[Valor Pagado]]</f>
        <v>517000</v>
      </c>
      <c r="Q190" s="535">
        <f>Tabla1[[#This Row],[COEFICIENTE]]</f>
        <v>1.5666666666666667</v>
      </c>
      <c r="R190" s="534">
        <f>Tabla1[[#This Row],[Precio Caja2]]</f>
        <v>1500</v>
      </c>
      <c r="S190" s="536">
        <f>Tabla1[[#This Row],[VALOR GANADO]]</f>
        <v>47000</v>
      </c>
      <c r="T190" s="537">
        <f>Tabla1[[#This Row],[VALOR  A PAGAR]]</f>
        <v>47000</v>
      </c>
      <c r="U190" s="41">
        <f>Tabla1[[#This Row],[Columna1]]</f>
        <v>0</v>
      </c>
    </row>
    <row r="191" spans="2:21" ht="15.75" x14ac:dyDescent="0.25">
      <c r="B191" s="29">
        <f>Tabla1[[#This Row],[FECHA]]</f>
        <v>44586</v>
      </c>
      <c r="C191" s="26">
        <f>_xlfn.ISOWEEKNUM('CAJAS ELABORADAS'!$C191)</f>
        <v>4</v>
      </c>
      <c r="D191" s="27" t="str">
        <f>Tabla1[[#This Row],[FINCA]]</f>
        <v>UVEROS</v>
      </c>
      <c r="E191" s="531">
        <f>Tabla1[[#This Row],[Cajas Elaboradas]]</f>
        <v>77</v>
      </c>
      <c r="F191" s="26">
        <f>Tabla1[[#This Row],[Bolsas Elaboradas]]</f>
        <v>3.4</v>
      </c>
      <c r="G191" s="26">
        <f>Tabla1[[#This Row],[N° DE PERSONAS EN EL EMBARQUE]]</f>
        <v>3</v>
      </c>
      <c r="H191" s="532">
        <f>Tabla1[[#This Row],[Rasimos Cosechados]]</f>
        <v>309</v>
      </c>
      <c r="I191" s="532">
        <f>Tabla1[[#This Row],[Rasimos Prosesados]]</f>
        <v>309</v>
      </c>
      <c r="J191" s="532">
        <f>Tabla1[[#This Row],[Rasimos Rechasados]]</f>
        <v>0</v>
      </c>
      <c r="K191" s="533">
        <f>Tabla1[[#This Row],[PRECIO CAJA]]</f>
        <v>1500</v>
      </c>
      <c r="L191" s="534">
        <f>Tabla1[[#This Row],[PRECIO BOLSA]]</f>
        <v>500</v>
      </c>
      <c r="M191" s="533">
        <f>Tabla1[[#This Row],[PRODUCIDO CAJA]]</f>
        <v>115500</v>
      </c>
      <c r="N191" s="534">
        <f>Tabla1[[#This Row],[PRODUCIDO BOLSAS]]</f>
        <v>1700</v>
      </c>
      <c r="O191" s="533">
        <f>Tabla1[[#This Row],[TOTAL PRODUCIDO]]</f>
        <v>117200</v>
      </c>
      <c r="P191" s="534">
        <f>Tabla1[[#This Row],[Valor Pagado]]</f>
        <v>117200</v>
      </c>
      <c r="Q191" s="535">
        <f>Tabla1[[#This Row],[COEFICIENTE]]</f>
        <v>1.3022222222222222</v>
      </c>
      <c r="R191" s="534">
        <f>Tabla1[[#This Row],[Precio Caja2]]</f>
        <v>1500</v>
      </c>
      <c r="S191" s="536">
        <f>Tabla1[[#This Row],[VALOR GANADO]]</f>
        <v>39066.666666666664</v>
      </c>
      <c r="T191" s="537">
        <f>Tabla1[[#This Row],[VALOR  A PAGAR]]</f>
        <v>39066.666666666664</v>
      </c>
      <c r="U191" s="41">
        <f>Tabla1[[#This Row],[Columna1]]</f>
        <v>0</v>
      </c>
    </row>
    <row r="192" spans="2:21" ht="15.75" x14ac:dyDescent="0.25">
      <c r="B192" s="29">
        <f>Tabla1[[#This Row],[FECHA]]</f>
        <v>44587</v>
      </c>
      <c r="C192" s="26">
        <f>_xlfn.ISOWEEKNUM('CAJAS ELABORADAS'!$C192)</f>
        <v>4</v>
      </c>
      <c r="D192" s="27" t="str">
        <f>Tabla1[[#This Row],[FINCA]]</f>
        <v>PEDRITO</v>
      </c>
      <c r="E192" s="531">
        <f>Tabla1[[#This Row],[Cajas Elaboradas]]</f>
        <v>87</v>
      </c>
      <c r="F192" s="26">
        <f>Tabla1[[#This Row],[Bolsas Elaboradas]]</f>
        <v>42.5</v>
      </c>
      <c r="G192" s="26">
        <f>Tabla1[[#This Row],[N° DE PERSONAS EN EL EMBARQUE]]</f>
        <v>6</v>
      </c>
      <c r="H192" s="532">
        <f>Tabla1[[#This Row],[Rasimos Cosechados]]</f>
        <v>556</v>
      </c>
      <c r="I192" s="532">
        <f>Tabla1[[#This Row],[Rasimos Prosesados]]</f>
        <v>464</v>
      </c>
      <c r="J192" s="532">
        <f>Tabla1[[#This Row],[Rasimos Rechasados]]</f>
        <v>92</v>
      </c>
      <c r="K192" s="533">
        <f>Tabla1[[#This Row],[PRECIO CAJA]]</f>
        <v>2100</v>
      </c>
      <c r="L192" s="534">
        <f>Tabla1[[#This Row],[PRECIO BOLSA]]</f>
        <v>500</v>
      </c>
      <c r="M192" s="533">
        <f>Tabla1[[#This Row],[PRODUCIDO CAJA]]</f>
        <v>182700</v>
      </c>
      <c r="N192" s="534">
        <f>Tabla1[[#This Row],[PRODUCIDO BOLSAS]]</f>
        <v>21250</v>
      </c>
      <c r="O192" s="533">
        <f>Tabla1[[#This Row],[TOTAL PRODUCIDO]]</f>
        <v>203950</v>
      </c>
      <c r="P192" s="534">
        <f>Tabla1[[#This Row],[Valor Pagado]]</f>
        <v>203950</v>
      </c>
      <c r="Q192" s="535">
        <f>Tabla1[[#This Row],[COEFICIENTE]]</f>
        <v>1.1330555555555555</v>
      </c>
      <c r="R192" s="534">
        <f>Tabla1[[#This Row],[Precio Caja2]]</f>
        <v>2100</v>
      </c>
      <c r="S192" s="536">
        <f>Tabla1[[#This Row],[VALOR GANADO]]</f>
        <v>33991.666666666664</v>
      </c>
      <c r="T192" s="537">
        <f>Tabla1[[#This Row],[VALOR  A PAGAR]]</f>
        <v>33991.666666666664</v>
      </c>
      <c r="U192" s="41">
        <f>Tabla1[[#This Row],[Columna1]]</f>
        <v>0</v>
      </c>
    </row>
    <row r="193" spans="2:21" ht="15.75" x14ac:dyDescent="0.25">
      <c r="B193" s="29">
        <f>Tabla1[[#This Row],[FECHA]]</f>
        <v>44587</v>
      </c>
      <c r="C193" s="26">
        <f>_xlfn.ISOWEEKNUM('CAJAS ELABORADAS'!$C193)</f>
        <v>4</v>
      </c>
      <c r="D193" s="27" t="str">
        <f>Tabla1[[#This Row],[FINCA]]</f>
        <v>DAMAQUIEL</v>
      </c>
      <c r="E193" s="531">
        <f>Tabla1[[#This Row],[Cajas Elaboradas]]</f>
        <v>120</v>
      </c>
      <c r="F193" s="26">
        <f>Tabla1[[#This Row],[Bolsas Elaboradas]]</f>
        <v>14.4</v>
      </c>
      <c r="G193" s="26">
        <f>Tabla1[[#This Row],[N° DE PERSONAS EN EL EMBARQUE]]</f>
        <v>6</v>
      </c>
      <c r="H193" s="532">
        <f>Tabla1[[#This Row],[Rasimos Cosechados]]</f>
        <v>681</v>
      </c>
      <c r="I193" s="532">
        <f>Tabla1[[#This Row],[Rasimos Prosesados]]</f>
        <v>493</v>
      </c>
      <c r="J193" s="532">
        <f>Tabla1[[#This Row],[Rasimos Rechasados]]</f>
        <v>188</v>
      </c>
      <c r="K193" s="533">
        <f>Tabla1[[#This Row],[PRECIO CAJA]]</f>
        <v>1500</v>
      </c>
      <c r="L193" s="534">
        <f>Tabla1[[#This Row],[PRECIO BOLSA]]</f>
        <v>500</v>
      </c>
      <c r="M193" s="533">
        <f>Tabla1[[#This Row],[PRODUCIDO CAJA]]</f>
        <v>180000</v>
      </c>
      <c r="N193" s="534">
        <f>Tabla1[[#This Row],[PRODUCIDO BOLSAS]]</f>
        <v>7200</v>
      </c>
      <c r="O193" s="533">
        <f>Tabla1[[#This Row],[TOTAL PRODUCIDO]]</f>
        <v>187200</v>
      </c>
      <c r="P193" s="534">
        <f>Tabla1[[#This Row],[Valor Pagado]]</f>
        <v>187200</v>
      </c>
      <c r="Q193" s="535">
        <f>Tabla1[[#This Row],[COEFICIENTE]]</f>
        <v>1.04</v>
      </c>
      <c r="R193" s="534">
        <f>Tabla1[[#This Row],[Precio Caja2]]</f>
        <v>1500</v>
      </c>
      <c r="S193" s="536">
        <f>Tabla1[[#This Row],[VALOR GANADO]]</f>
        <v>31200</v>
      </c>
      <c r="T193" s="537">
        <f>Tabla1[[#This Row],[VALOR  A PAGAR]]</f>
        <v>31200</v>
      </c>
      <c r="U193" s="41">
        <f>Tabla1[[#This Row],[Columna1]]</f>
        <v>0</v>
      </c>
    </row>
    <row r="194" spans="2:21" ht="15.75" x14ac:dyDescent="0.25">
      <c r="B194" s="29">
        <f>Tabla1[[#This Row],[FECHA]]</f>
        <v>44588</v>
      </c>
      <c r="C194" s="26">
        <f>_xlfn.ISOWEEKNUM('CAJAS ELABORADAS'!$C194)</f>
        <v>4</v>
      </c>
      <c r="D194" s="27" t="str">
        <f>Tabla1[[#This Row],[FINCA]]</f>
        <v>SAN PEDRO</v>
      </c>
      <c r="E194" s="531">
        <f>Tabla1[[#This Row],[Cajas Elaboradas]]</f>
        <v>273</v>
      </c>
      <c r="F194" s="26">
        <f>Tabla1[[#This Row],[Bolsas Elaboradas]]</f>
        <v>51</v>
      </c>
      <c r="G194" s="26">
        <f>Tabla1[[#This Row],[N° DE PERSONAS EN EL EMBARQUE]]</f>
        <v>12</v>
      </c>
      <c r="H194" s="532">
        <f>Tabla1[[#This Row],[Rasimos Cosechados]]</f>
        <v>979</v>
      </c>
      <c r="I194" s="532">
        <f>Tabla1[[#This Row],[Rasimos Prosesados]]</f>
        <v>854</v>
      </c>
      <c r="J194" s="532">
        <f>Tabla1[[#This Row],[Rasimos Rechasados]]</f>
        <v>125</v>
      </c>
      <c r="K194" s="533">
        <f>Tabla1[[#This Row],[PRECIO CAJA]]</f>
        <v>1500</v>
      </c>
      <c r="L194" s="534">
        <f>Tabla1[[#This Row],[PRECIO BOLSA]]</f>
        <v>500</v>
      </c>
      <c r="M194" s="533">
        <f>Tabla1[[#This Row],[PRODUCIDO CAJA]]</f>
        <v>409500</v>
      </c>
      <c r="N194" s="534">
        <f>Tabla1[[#This Row],[PRODUCIDO BOLSAS]]</f>
        <v>25500</v>
      </c>
      <c r="O194" s="533">
        <f>Tabla1[[#This Row],[TOTAL PRODUCIDO]]</f>
        <v>435000</v>
      </c>
      <c r="P194" s="534">
        <f>Tabla1[[#This Row],[Valor Pagado]]</f>
        <v>435000</v>
      </c>
      <c r="Q194" s="535">
        <f>Tabla1[[#This Row],[COEFICIENTE]]</f>
        <v>1.2083333333333333</v>
      </c>
      <c r="R194" s="534">
        <f>Tabla1[[#This Row],[Precio Caja2]]</f>
        <v>1500</v>
      </c>
      <c r="S194" s="536">
        <f>Tabla1[[#This Row],[VALOR GANADO]]</f>
        <v>36250</v>
      </c>
      <c r="T194" s="537">
        <f>Tabla1[[#This Row],[VALOR  A PAGAR]]</f>
        <v>36250</v>
      </c>
      <c r="U194" s="41">
        <f>Tabla1[[#This Row],[Columna1]]</f>
        <v>0</v>
      </c>
    </row>
    <row r="195" spans="2:21" ht="15.75" x14ac:dyDescent="0.25">
      <c r="B195" s="29">
        <f>Tabla1[[#This Row],[FECHA]]</f>
        <v>44593</v>
      </c>
      <c r="C195" s="26">
        <f>_xlfn.ISOWEEKNUM('CAJAS ELABORADAS'!$C195)</f>
        <v>5</v>
      </c>
      <c r="D195" s="27" t="str">
        <f>Tabla1[[#This Row],[FINCA]]</f>
        <v>SAN PEDRO</v>
      </c>
      <c r="E195" s="531">
        <f>Tabla1[[#This Row],[Cajas Elaboradas]]</f>
        <v>435</v>
      </c>
      <c r="F195" s="26">
        <f>Tabla1[[#This Row],[Bolsas Elaboradas]]</f>
        <v>27.2</v>
      </c>
      <c r="G195" s="26">
        <f>Tabla1[[#This Row],[N° DE PERSONAS EN EL EMBARQUE]]</f>
        <v>22</v>
      </c>
      <c r="H195" s="532">
        <f>Tabla1[[#This Row],[Rasimos Cosechados]]</f>
        <v>1389</v>
      </c>
      <c r="I195" s="532">
        <f>Tabla1[[#This Row],[Rasimos Prosesados]]</f>
        <v>1000</v>
      </c>
      <c r="J195" s="532">
        <f>Tabla1[[#This Row],[Rasimos Rechasados]]</f>
        <v>389</v>
      </c>
      <c r="K195" s="533">
        <f>Tabla1[[#This Row],[PRECIO CAJA]]</f>
        <v>1500</v>
      </c>
      <c r="L195" s="534">
        <f>Tabla1[[#This Row],[PRECIO BOLSA]]</f>
        <v>500</v>
      </c>
      <c r="M195" s="533">
        <f>Tabla1[[#This Row],[PRODUCIDO CAJA]]</f>
        <v>652500</v>
      </c>
      <c r="N195" s="534">
        <f>Tabla1[[#This Row],[PRODUCIDO BOLSAS]]</f>
        <v>13600</v>
      </c>
      <c r="O195" s="533">
        <f>Tabla1[[#This Row],[TOTAL PRODUCIDO]]</f>
        <v>666100</v>
      </c>
      <c r="P195" s="534">
        <f>Tabla1[[#This Row],[Valor Pagado]]</f>
        <v>666100</v>
      </c>
      <c r="Q195" s="535">
        <f>Tabla1[[#This Row],[COEFICIENTE]]</f>
        <v>1.0092424242424243</v>
      </c>
      <c r="R195" s="534">
        <f>Tabla1[[#This Row],[Precio Caja2]]</f>
        <v>1500</v>
      </c>
      <c r="S195" s="536">
        <f>Tabla1[[#This Row],[VALOR GANADO]]</f>
        <v>30277.272727272728</v>
      </c>
      <c r="T195" s="537">
        <f>Tabla1[[#This Row],[VALOR  A PAGAR]]</f>
        <v>30277.272727272728</v>
      </c>
      <c r="U195" s="41">
        <f>Tabla1[[#This Row],[Columna1]]</f>
        <v>0</v>
      </c>
    </row>
    <row r="196" spans="2:21" ht="15.75" x14ac:dyDescent="0.25">
      <c r="B196" s="29">
        <f>Tabla1[[#This Row],[FECHA]]</f>
        <v>44593</v>
      </c>
      <c r="C196" s="26">
        <f>_xlfn.ISOWEEKNUM('CAJAS ELABORADAS'!$C196)</f>
        <v>5</v>
      </c>
      <c r="D196" s="27" t="str">
        <f>Tabla1[[#This Row],[FINCA]]</f>
        <v>UVERO</v>
      </c>
      <c r="E196" s="531">
        <f>Tabla1[[#This Row],[Cajas Elaboradas]]</f>
        <v>110</v>
      </c>
      <c r="F196" s="26">
        <f>Tabla1[[#This Row],[Bolsas Elaboradas]]</f>
        <v>3.4</v>
      </c>
      <c r="G196" s="26">
        <f>Tabla1[[#This Row],[N° DE PERSONAS EN EL EMBARQUE]]</f>
        <v>5</v>
      </c>
      <c r="H196" s="532">
        <f>Tabla1[[#This Row],[Rasimos Cosechados]]</f>
        <v>440</v>
      </c>
      <c r="I196" s="532">
        <f>Tabla1[[#This Row],[Rasimos Prosesados]]</f>
        <v>439</v>
      </c>
      <c r="J196" s="532">
        <f>Tabla1[[#This Row],[Rasimos Rechasados]]</f>
        <v>1</v>
      </c>
      <c r="K196" s="533">
        <f>Tabla1[[#This Row],[PRECIO CAJA]]</f>
        <v>1500</v>
      </c>
      <c r="L196" s="534">
        <f>Tabla1[[#This Row],[PRECIO BOLSA]]</f>
        <v>500</v>
      </c>
      <c r="M196" s="533">
        <f>Tabla1[[#This Row],[PRODUCIDO CAJA]]</f>
        <v>165000</v>
      </c>
      <c r="N196" s="534">
        <f>Tabla1[[#This Row],[PRODUCIDO BOLSAS]]</f>
        <v>1700</v>
      </c>
      <c r="O196" s="533">
        <f>Tabla1[[#This Row],[TOTAL PRODUCIDO]]</f>
        <v>166700</v>
      </c>
      <c r="P196" s="534">
        <f>Tabla1[[#This Row],[Valor Pagado]]</f>
        <v>166700</v>
      </c>
      <c r="Q196" s="535">
        <f>Tabla1[[#This Row],[COEFICIENTE]]</f>
        <v>1.1113333333333333</v>
      </c>
      <c r="R196" s="534">
        <f>Tabla1[[#This Row],[Precio Caja2]]</f>
        <v>1500</v>
      </c>
      <c r="S196" s="536">
        <f>Tabla1[[#This Row],[VALOR GANADO]]</f>
        <v>33340</v>
      </c>
      <c r="T196" s="537">
        <f>Tabla1[[#This Row],[VALOR  A PAGAR]]</f>
        <v>33340</v>
      </c>
      <c r="U196" s="41">
        <f>Tabla1[[#This Row],[Columna1]]</f>
        <v>0</v>
      </c>
    </row>
    <row r="197" spans="2:21" ht="15.75" x14ac:dyDescent="0.25">
      <c r="B197" s="29">
        <f>Tabla1[[#This Row],[FECHA]]</f>
        <v>44594</v>
      </c>
      <c r="C197" s="26">
        <f>_xlfn.ISOWEEKNUM('CAJAS ELABORADAS'!$C197)</f>
        <v>5</v>
      </c>
      <c r="D197" s="27" t="str">
        <f>Tabla1[[#This Row],[FINCA]]</f>
        <v>PEDRITO</v>
      </c>
      <c r="E197" s="531">
        <f>Tabla1[[#This Row],[Cajas Elaboradas]]</f>
        <v>92</v>
      </c>
      <c r="F197" s="26">
        <f>Tabla1[[#This Row],[Bolsas Elaboradas]]</f>
        <v>61.2</v>
      </c>
      <c r="G197" s="26">
        <f>Tabla1[[#This Row],[N° DE PERSONAS EN EL EMBARQUE]]</f>
        <v>7</v>
      </c>
      <c r="H197" s="532">
        <f>Tabla1[[#This Row],[Rasimos Cosechados]]</f>
        <v>731</v>
      </c>
      <c r="I197" s="532">
        <f>Tabla1[[#This Row],[Rasimos Prosesados]]</f>
        <v>541</v>
      </c>
      <c r="J197" s="532">
        <f>Tabla1[[#This Row],[Rasimos Rechasados]]</f>
        <v>190</v>
      </c>
      <c r="K197" s="533">
        <f>Tabla1[[#This Row],[PRECIO CAJA]]</f>
        <v>2100</v>
      </c>
      <c r="L197" s="534">
        <f>Tabla1[[#This Row],[PRECIO BOLSA]]</f>
        <v>500</v>
      </c>
      <c r="M197" s="533">
        <f>Tabla1[[#This Row],[PRODUCIDO CAJA]]</f>
        <v>193200</v>
      </c>
      <c r="N197" s="534">
        <f>Tabla1[[#This Row],[PRODUCIDO BOLSAS]]</f>
        <v>30600</v>
      </c>
      <c r="O197" s="533">
        <f>Tabla1[[#This Row],[TOTAL PRODUCIDO]]</f>
        <v>223800</v>
      </c>
      <c r="P197" s="534">
        <f>Tabla1[[#This Row],[Valor Pagado]]</f>
        <v>223800</v>
      </c>
      <c r="Q197" s="535">
        <f>Tabla1[[#This Row],[COEFICIENTE]]</f>
        <v>1.0657142857142858</v>
      </c>
      <c r="R197" s="534">
        <f>Tabla1[[#This Row],[Precio Caja2]]</f>
        <v>2100</v>
      </c>
      <c r="S197" s="536">
        <f>Tabla1[[#This Row],[VALOR GANADO]]</f>
        <v>31971.428571428572</v>
      </c>
      <c r="T197" s="537">
        <f>Tabla1[[#This Row],[VALOR  A PAGAR]]</f>
        <v>31971.428571428572</v>
      </c>
      <c r="U197" s="41">
        <f>Tabla1[[#This Row],[Columna1]]</f>
        <v>0</v>
      </c>
    </row>
    <row r="198" spans="2:21" ht="15.75" x14ac:dyDescent="0.25">
      <c r="B198" s="29">
        <f>Tabla1[[#This Row],[FECHA]]</f>
        <v>44594</v>
      </c>
      <c r="C198" s="26">
        <f>_xlfn.ISOWEEKNUM('CAJAS ELABORADAS'!$C198)</f>
        <v>5</v>
      </c>
      <c r="D198" s="27" t="str">
        <f>Tabla1[[#This Row],[FINCA]]</f>
        <v>DAMAQUIEL</v>
      </c>
      <c r="E198" s="531">
        <f>Tabla1[[#This Row],[Cajas Elaboradas]]</f>
        <v>144</v>
      </c>
      <c r="F198" s="26">
        <f>Tabla1[[#This Row],[Bolsas Elaboradas]]</f>
        <v>21.6</v>
      </c>
      <c r="G198" s="26">
        <f>Tabla1[[#This Row],[N° DE PERSONAS EN EL EMBARQUE]]</f>
        <v>6</v>
      </c>
      <c r="H198" s="532">
        <f>Tabla1[[#This Row],[Rasimos Cosechados]]</f>
        <v>695</v>
      </c>
      <c r="I198" s="532">
        <f>Tabla1[[#This Row],[Rasimos Prosesados]]</f>
        <v>644</v>
      </c>
      <c r="J198" s="532">
        <f>Tabla1[[#This Row],[Rasimos Rechasados]]</f>
        <v>51</v>
      </c>
      <c r="K198" s="533">
        <f>Tabla1[[#This Row],[PRECIO CAJA]]</f>
        <v>1500</v>
      </c>
      <c r="L198" s="534">
        <f>Tabla1[[#This Row],[PRECIO BOLSA]]</f>
        <v>500</v>
      </c>
      <c r="M198" s="533">
        <f>Tabla1[[#This Row],[PRODUCIDO CAJA]]</f>
        <v>216000</v>
      </c>
      <c r="N198" s="534">
        <f>Tabla1[[#This Row],[PRODUCIDO BOLSAS]]</f>
        <v>10800</v>
      </c>
      <c r="O198" s="533">
        <f>Tabla1[[#This Row],[TOTAL PRODUCIDO]]</f>
        <v>226800</v>
      </c>
      <c r="P198" s="534">
        <f>Tabla1[[#This Row],[Valor Pagado]]</f>
        <v>226800</v>
      </c>
      <c r="Q198" s="535">
        <f>Tabla1[[#This Row],[COEFICIENTE]]</f>
        <v>1.26</v>
      </c>
      <c r="R198" s="534">
        <f>Tabla1[[#This Row],[Precio Caja2]]</f>
        <v>1500</v>
      </c>
      <c r="S198" s="536">
        <f>Tabla1[[#This Row],[VALOR GANADO]]</f>
        <v>37800</v>
      </c>
      <c r="T198" s="537">
        <f>Tabla1[[#This Row],[VALOR  A PAGAR]]</f>
        <v>37800</v>
      </c>
      <c r="U198" s="41">
        <f>Tabla1[[#This Row],[Columna1]]</f>
        <v>0</v>
      </c>
    </row>
    <row r="199" spans="2:21" ht="15.75" x14ac:dyDescent="0.25">
      <c r="B199" s="29">
        <f>Tabla1[[#This Row],[FECHA]]</f>
        <v>44600</v>
      </c>
      <c r="C199" s="26">
        <f>_xlfn.ISOWEEKNUM('CAJAS ELABORADAS'!$C199)</f>
        <v>6</v>
      </c>
      <c r="D199" s="27" t="str">
        <f>Tabla1[[#This Row],[FINCA]]</f>
        <v>SAN PEDRO</v>
      </c>
      <c r="E199" s="531">
        <f>Tabla1[[#This Row],[Cajas Elaboradas]]</f>
        <v>353</v>
      </c>
      <c r="F199" s="26">
        <f>Tabla1[[#This Row],[Bolsas Elaboradas]]</f>
        <v>64.599999999999994</v>
      </c>
      <c r="G199" s="26">
        <f>Tabla1[[#This Row],[N° DE PERSONAS EN EL EMBARQUE]]</f>
        <v>17</v>
      </c>
      <c r="H199" s="532">
        <f>Tabla1[[#This Row],[Rasimos Cosechados]]</f>
        <v>1251</v>
      </c>
      <c r="I199" s="532">
        <f>Tabla1[[#This Row],[Rasimos Prosesados]]</f>
        <v>1245</v>
      </c>
      <c r="J199" s="532">
        <f>Tabla1[[#This Row],[Rasimos Rechasados]]</f>
        <v>6</v>
      </c>
      <c r="K199" s="533">
        <f>Tabla1[[#This Row],[PRECIO CAJA]]</f>
        <v>1500</v>
      </c>
      <c r="L199" s="534">
        <f>Tabla1[[#This Row],[PRECIO BOLSA]]</f>
        <v>500</v>
      </c>
      <c r="M199" s="533">
        <f>Tabla1[[#This Row],[PRODUCIDO CAJA]]</f>
        <v>529500</v>
      </c>
      <c r="N199" s="534">
        <f>Tabla1[[#This Row],[PRODUCIDO BOLSAS]]</f>
        <v>32299.999999999996</v>
      </c>
      <c r="O199" s="533">
        <f>Tabla1[[#This Row],[TOTAL PRODUCIDO]]</f>
        <v>561800</v>
      </c>
      <c r="P199" s="534">
        <f>Tabla1[[#This Row],[Valor Pagado]]</f>
        <v>561800</v>
      </c>
      <c r="Q199" s="535">
        <f>Tabla1[[#This Row],[COEFICIENTE]]</f>
        <v>1.1015686274509804</v>
      </c>
      <c r="R199" s="534">
        <f>Tabla1[[#This Row],[Precio Caja2]]</f>
        <v>1500</v>
      </c>
      <c r="S199" s="536">
        <f>Tabla1[[#This Row],[VALOR GANADO]]</f>
        <v>33047.058823529413</v>
      </c>
      <c r="T199" s="537">
        <f>Tabla1[[#This Row],[VALOR  A PAGAR]]</f>
        <v>33047.058823529413</v>
      </c>
      <c r="U199" s="41">
        <f>Tabla1[[#This Row],[Columna1]]</f>
        <v>0</v>
      </c>
    </row>
    <row r="200" spans="2:21" ht="15.75" x14ac:dyDescent="0.25">
      <c r="B200" s="29">
        <f>Tabla1[[#This Row],[FECHA]]</f>
        <v>44600</v>
      </c>
      <c r="C200" s="26">
        <f>_xlfn.ISOWEEKNUM('CAJAS ELABORADAS'!$C200)</f>
        <v>6</v>
      </c>
      <c r="D200" s="27" t="str">
        <f>Tabla1[[#This Row],[FINCA]]</f>
        <v>UVEROS</v>
      </c>
      <c r="E200" s="531">
        <f>Tabla1[[#This Row],[Cajas Elaboradas]]</f>
        <v>90</v>
      </c>
      <c r="F200" s="26">
        <f>Tabla1[[#This Row],[Bolsas Elaboradas]]</f>
        <v>9.6</v>
      </c>
      <c r="G200" s="26">
        <f>Tabla1[[#This Row],[N° DE PERSONAS EN EL EMBARQUE]]</f>
        <v>5</v>
      </c>
      <c r="H200" s="532">
        <f>Tabla1[[#This Row],[Rasimos Cosechados]]</f>
        <v>367</v>
      </c>
      <c r="I200" s="532">
        <f>Tabla1[[#This Row],[Rasimos Prosesados]]</f>
        <v>367</v>
      </c>
      <c r="J200" s="532">
        <f>Tabla1[[#This Row],[Rasimos Rechasados]]</f>
        <v>0</v>
      </c>
      <c r="K200" s="533">
        <f>Tabla1[[#This Row],[PRECIO CAJA]]</f>
        <v>1500</v>
      </c>
      <c r="L200" s="534">
        <f>Tabla1[[#This Row],[PRECIO BOLSA]]</f>
        <v>500</v>
      </c>
      <c r="M200" s="533">
        <f>Tabla1[[#This Row],[PRODUCIDO CAJA]]</f>
        <v>135000</v>
      </c>
      <c r="N200" s="534">
        <f>Tabla1[[#This Row],[PRODUCIDO BOLSAS]]</f>
        <v>4800</v>
      </c>
      <c r="O200" s="533">
        <f>Tabla1[[#This Row],[TOTAL PRODUCIDO]]</f>
        <v>139800</v>
      </c>
      <c r="P200" s="534">
        <f>Tabla1[[#This Row],[Valor Pagado]]</f>
        <v>150000</v>
      </c>
      <c r="Q200" s="535">
        <f>Tabla1[[#This Row],[COEFICIENTE]]</f>
        <v>1</v>
      </c>
      <c r="R200" s="534">
        <f>Tabla1[[#This Row],[Precio Caja2]]</f>
        <v>1613.3333333333333</v>
      </c>
      <c r="S200" s="536">
        <f>Tabla1[[#This Row],[VALOR GANADO]]</f>
        <v>27960</v>
      </c>
      <c r="T200" s="537">
        <f>Tabla1[[#This Row],[VALOR  A PAGAR]]</f>
        <v>30000</v>
      </c>
      <c r="U200" s="41">
        <f>Tabla1[[#This Row],[Columna1]]</f>
        <v>2040</v>
      </c>
    </row>
    <row r="201" spans="2:21" ht="15.75" x14ac:dyDescent="0.25">
      <c r="B201" s="29">
        <f>Tabla1[[#This Row],[FECHA]]</f>
        <v>44601</v>
      </c>
      <c r="C201" s="26">
        <f>_xlfn.ISOWEEKNUM('CAJAS ELABORADAS'!$C201)</f>
        <v>6</v>
      </c>
      <c r="D201" s="27" t="str">
        <f>Tabla1[[#This Row],[FINCA]]</f>
        <v>SAN PEDRO</v>
      </c>
      <c r="E201" s="531">
        <f>Tabla1[[#This Row],[Cajas Elaboradas]]</f>
        <v>300</v>
      </c>
      <c r="F201" s="26">
        <f>Tabla1[[#This Row],[Bolsas Elaboradas]]</f>
        <v>40.799999999999997</v>
      </c>
      <c r="G201" s="26">
        <f>Tabla1[[#This Row],[N° DE PERSONAS EN EL EMBARQUE]]</f>
        <v>13</v>
      </c>
      <c r="H201" s="532">
        <f>Tabla1[[#This Row],[Rasimos Cosechados]]</f>
        <v>979</v>
      </c>
      <c r="I201" s="532">
        <f>Tabla1[[#This Row],[Rasimos Prosesados]]</f>
        <v>976</v>
      </c>
      <c r="J201" s="532">
        <f>Tabla1[[#This Row],[Rasimos Rechasados]]</f>
        <v>3</v>
      </c>
      <c r="K201" s="533">
        <f>Tabla1[[#This Row],[PRECIO CAJA]]</f>
        <v>1500</v>
      </c>
      <c r="L201" s="534">
        <f>Tabla1[[#This Row],[PRECIO BOLSA]]</f>
        <v>500</v>
      </c>
      <c r="M201" s="533">
        <f>Tabla1[[#This Row],[PRODUCIDO CAJA]]</f>
        <v>450000</v>
      </c>
      <c r="N201" s="534">
        <f>Tabla1[[#This Row],[PRODUCIDO BOLSAS]]</f>
        <v>20400</v>
      </c>
      <c r="O201" s="533">
        <f>Tabla1[[#This Row],[TOTAL PRODUCIDO]]</f>
        <v>470400</v>
      </c>
      <c r="P201" s="534">
        <f>Tabla1[[#This Row],[Valor Pagado]]</f>
        <v>470400</v>
      </c>
      <c r="Q201" s="535">
        <f>Tabla1[[#This Row],[COEFICIENTE]]</f>
        <v>1.2061538461538461</v>
      </c>
      <c r="R201" s="534">
        <f>Tabla1[[#This Row],[Precio Caja2]]</f>
        <v>1500</v>
      </c>
      <c r="S201" s="536">
        <f>Tabla1[[#This Row],[VALOR GANADO]]</f>
        <v>36184.615384615383</v>
      </c>
      <c r="T201" s="537">
        <f>Tabla1[[#This Row],[VALOR  A PAGAR]]</f>
        <v>36184.615384615383</v>
      </c>
      <c r="U201" s="41">
        <f>Tabla1[[#This Row],[Columna1]]</f>
        <v>0</v>
      </c>
    </row>
    <row r="202" spans="2:21" ht="15.75" x14ac:dyDescent="0.25">
      <c r="B202" s="29">
        <f>Tabla1[[#This Row],[FECHA]]</f>
        <v>44601</v>
      </c>
      <c r="C202" s="26">
        <f>_xlfn.ISOWEEKNUM('CAJAS ELABORADAS'!$C202)</f>
        <v>6</v>
      </c>
      <c r="D202" s="27" t="str">
        <f>Tabla1[[#This Row],[FINCA]]</f>
        <v>DAMAQUIEL</v>
      </c>
      <c r="E202" s="531">
        <f>Tabla1[[#This Row],[Cajas Elaboradas]]</f>
        <v>156</v>
      </c>
      <c r="F202" s="26">
        <f>Tabla1[[#This Row],[Bolsas Elaboradas]]</f>
        <v>36</v>
      </c>
      <c r="G202" s="26">
        <f>Tabla1[[#This Row],[N° DE PERSONAS EN EL EMBARQUE]]</f>
        <v>10</v>
      </c>
      <c r="H202" s="532">
        <f>Tabla1[[#This Row],[Rasimos Cosechados]]</f>
        <v>367</v>
      </c>
      <c r="I202" s="532">
        <f>Tabla1[[#This Row],[Rasimos Prosesados]]</f>
        <v>0</v>
      </c>
      <c r="J202" s="532">
        <f>Tabla1[[#This Row],[Rasimos Rechasados]]</f>
        <v>367</v>
      </c>
      <c r="K202" s="533">
        <f>Tabla1[[#This Row],[PRECIO CAJA]]</f>
        <v>1500</v>
      </c>
      <c r="L202" s="534">
        <f>Tabla1[[#This Row],[PRECIO BOLSA]]</f>
        <v>500</v>
      </c>
      <c r="M202" s="533">
        <f>Tabla1[[#This Row],[PRODUCIDO CAJA]]</f>
        <v>234000</v>
      </c>
      <c r="N202" s="534">
        <f>Tabla1[[#This Row],[PRODUCIDO BOLSAS]]</f>
        <v>18000</v>
      </c>
      <c r="O202" s="533">
        <f>Tabla1[[#This Row],[TOTAL PRODUCIDO]]</f>
        <v>252000</v>
      </c>
      <c r="P202" s="534">
        <f>Tabla1[[#This Row],[Valor Pagado]]</f>
        <v>300000</v>
      </c>
      <c r="Q202" s="535">
        <f>Tabla1[[#This Row],[COEFICIENTE]]</f>
        <v>1</v>
      </c>
      <c r="R202" s="534">
        <f>Tabla1[[#This Row],[Precio Caja2]]</f>
        <v>1807.6923076923076</v>
      </c>
      <c r="S202" s="536">
        <f>Tabla1[[#This Row],[VALOR GANADO]]</f>
        <v>25200</v>
      </c>
      <c r="T202" s="537">
        <f>Tabla1[[#This Row],[VALOR  A PAGAR]]</f>
        <v>30000</v>
      </c>
      <c r="U202" s="41">
        <f>Tabla1[[#This Row],[Columna1]]</f>
        <v>4800</v>
      </c>
    </row>
    <row r="203" spans="2:21" ht="15.75" x14ac:dyDescent="0.25">
      <c r="B203" s="29">
        <f>Tabla1[[#This Row],[FECHA]]</f>
        <v>44601</v>
      </c>
      <c r="C203" s="26">
        <f>_xlfn.ISOWEEKNUM('CAJAS ELABORADAS'!$C203)</f>
        <v>6</v>
      </c>
      <c r="D203" s="27" t="str">
        <f>Tabla1[[#This Row],[FINCA]]</f>
        <v>PEDRITO</v>
      </c>
      <c r="E203" s="531">
        <f>Tabla1[[#This Row],[Cajas Elaboradas]]</f>
        <v>78</v>
      </c>
      <c r="F203" s="26">
        <f>Tabla1[[#This Row],[Bolsas Elaboradas]]</f>
        <v>0</v>
      </c>
      <c r="G203" s="26">
        <f>Tabla1[[#This Row],[N° DE PERSONAS EN EL EMBARQUE]]</f>
        <v>6</v>
      </c>
      <c r="H203" s="532">
        <f>Tabla1[[#This Row],[Rasimos Cosechados]]</f>
        <v>592</v>
      </c>
      <c r="I203" s="532">
        <f>Tabla1[[#This Row],[Rasimos Prosesados]]</f>
        <v>516</v>
      </c>
      <c r="J203" s="532">
        <f>Tabla1[[#This Row],[Rasimos Rechasados]]</f>
        <v>76</v>
      </c>
      <c r="K203" s="533">
        <f>Tabla1[[#This Row],[PRECIO CAJA]]</f>
        <v>1500</v>
      </c>
      <c r="L203" s="534">
        <f>Tabla1[[#This Row],[PRECIO BOLSA]]</f>
        <v>0</v>
      </c>
      <c r="M203" s="533">
        <f>Tabla1[[#This Row],[PRODUCIDO CAJA]]</f>
        <v>117000</v>
      </c>
      <c r="N203" s="534">
        <f>Tabla1[[#This Row],[PRODUCIDO BOLSAS]]</f>
        <v>0</v>
      </c>
      <c r="O203" s="533">
        <f>Tabla1[[#This Row],[TOTAL PRODUCIDO]]</f>
        <v>117000</v>
      </c>
      <c r="P203" s="534">
        <f>Tabla1[[#This Row],[Valor Pagado]]</f>
        <v>180000</v>
      </c>
      <c r="Q203" s="535">
        <f>Tabla1[[#This Row],[COEFICIENTE]]</f>
        <v>1</v>
      </c>
      <c r="R203" s="534">
        <f>Tabla1[[#This Row],[Precio Caja2]]</f>
        <v>2307.6923076923076</v>
      </c>
      <c r="S203" s="536">
        <f>Tabla1[[#This Row],[VALOR GANADO]]</f>
        <v>19500</v>
      </c>
      <c r="T203" s="537">
        <f>Tabla1[[#This Row],[VALOR  A PAGAR]]</f>
        <v>30000</v>
      </c>
      <c r="U203" s="41">
        <f>Tabla1[[#This Row],[Columna1]]</f>
        <v>10500</v>
      </c>
    </row>
    <row r="204" spans="2:21" ht="15.75" x14ac:dyDescent="0.25">
      <c r="B204" s="29">
        <f>Tabla1[[#This Row],[FECHA]]</f>
        <v>44607</v>
      </c>
      <c r="C204" s="26">
        <f>_xlfn.ISOWEEKNUM('CAJAS ELABORADAS'!$C204)</f>
        <v>7</v>
      </c>
      <c r="D204" s="27" t="str">
        <f>Tabla1[[#This Row],[FINCA]]</f>
        <v>SAN PEDRO</v>
      </c>
      <c r="E204" s="531">
        <f>Tabla1[[#This Row],[Cajas Elaboradas]]</f>
        <v>300</v>
      </c>
      <c r="F204" s="26">
        <f>Tabla1[[#This Row],[Bolsas Elaboradas]]</f>
        <v>56.12</v>
      </c>
      <c r="G204" s="26">
        <f>Tabla1[[#This Row],[N° DE PERSONAS EN EL EMBARQUE]]</f>
        <v>15</v>
      </c>
      <c r="H204" s="532">
        <f>Tabla1[[#This Row],[Rasimos Cosechados]]</f>
        <v>1126</v>
      </c>
      <c r="I204" s="532">
        <f>Tabla1[[#This Row],[Rasimos Prosesados]]</f>
        <v>1023</v>
      </c>
      <c r="J204" s="532">
        <f>Tabla1[[#This Row],[Rasimos Rechasados]]</f>
        <v>103</v>
      </c>
      <c r="K204" s="533">
        <f>Tabla1[[#This Row],[PRECIO CAJA]]</f>
        <v>1500</v>
      </c>
      <c r="L204" s="534">
        <f>Tabla1[[#This Row],[PRECIO BOLSA]]</f>
        <v>500</v>
      </c>
      <c r="M204" s="533">
        <f>Tabla1[[#This Row],[PRODUCIDO CAJA]]</f>
        <v>450000</v>
      </c>
      <c r="N204" s="534">
        <f>Tabla1[[#This Row],[PRODUCIDO BOLSAS]]</f>
        <v>28060</v>
      </c>
      <c r="O204" s="533">
        <f>Tabla1[[#This Row],[TOTAL PRODUCIDO]]</f>
        <v>478060</v>
      </c>
      <c r="P204" s="534">
        <f>Tabla1[[#This Row],[Valor Pagado]]</f>
        <v>478060</v>
      </c>
      <c r="Q204" s="535">
        <f>Tabla1[[#This Row],[COEFICIENTE]]</f>
        <v>1.0623555555555555</v>
      </c>
      <c r="R204" s="534">
        <f>Tabla1[[#This Row],[Precio Caja2]]</f>
        <v>1500</v>
      </c>
      <c r="S204" s="536">
        <f>Tabla1[[#This Row],[VALOR GANADO]]</f>
        <v>31870.666666666668</v>
      </c>
      <c r="T204" s="537">
        <f>Tabla1[[#This Row],[VALOR  A PAGAR]]</f>
        <v>31870.666666666668</v>
      </c>
      <c r="U204" s="41">
        <f>Tabla1[[#This Row],[Columna1]]</f>
        <v>0</v>
      </c>
    </row>
    <row r="205" spans="2:21" ht="15.75" x14ac:dyDescent="0.25">
      <c r="B205" s="29">
        <f>Tabla1[[#This Row],[FECHA]]</f>
        <v>44607</v>
      </c>
      <c r="C205" s="26">
        <f>_xlfn.ISOWEEKNUM('CAJAS ELABORADAS'!$C205)</f>
        <v>7</v>
      </c>
      <c r="D205" s="27" t="str">
        <f>Tabla1[[#This Row],[FINCA]]</f>
        <v>UVEROS</v>
      </c>
      <c r="E205" s="531">
        <f>Tabla1[[#This Row],[Cajas Elaboradas]]</f>
        <v>90</v>
      </c>
      <c r="F205" s="26">
        <f>Tabla1[[#This Row],[Bolsas Elaboradas]]</f>
        <v>10.8</v>
      </c>
      <c r="G205" s="26">
        <f>Tabla1[[#This Row],[N° DE PERSONAS EN EL EMBARQUE]]</f>
        <v>5</v>
      </c>
      <c r="H205" s="532">
        <f>Tabla1[[#This Row],[Rasimos Cosechados]]</f>
        <v>392</v>
      </c>
      <c r="I205" s="532">
        <f>Tabla1[[#This Row],[Rasimos Prosesados]]</f>
        <v>377</v>
      </c>
      <c r="J205" s="532">
        <f>Tabla1[[#This Row],[Rasimos Rechasados]]</f>
        <v>15</v>
      </c>
      <c r="K205" s="533">
        <f>Tabla1[[#This Row],[PRECIO CAJA]]</f>
        <v>1500</v>
      </c>
      <c r="L205" s="534">
        <f>Tabla1[[#This Row],[PRECIO BOLSA]]</f>
        <v>500</v>
      </c>
      <c r="M205" s="533">
        <f>Tabla1[[#This Row],[PRODUCIDO CAJA]]</f>
        <v>135000</v>
      </c>
      <c r="N205" s="534">
        <f>Tabla1[[#This Row],[PRODUCIDO BOLSAS]]</f>
        <v>5400</v>
      </c>
      <c r="O205" s="533">
        <f>Tabla1[[#This Row],[TOTAL PRODUCIDO]]</f>
        <v>140400</v>
      </c>
      <c r="P205" s="534">
        <f>Tabla1[[#This Row],[Valor Pagado]]</f>
        <v>150000</v>
      </c>
      <c r="Q205" s="535">
        <f>Tabla1[[#This Row],[COEFICIENTE]]</f>
        <v>1</v>
      </c>
      <c r="R205" s="534">
        <f>Tabla1[[#This Row],[Precio Caja2]]</f>
        <v>1606.6666666666667</v>
      </c>
      <c r="S205" s="536">
        <f>Tabla1[[#This Row],[VALOR GANADO]]</f>
        <v>28080</v>
      </c>
      <c r="T205" s="537">
        <f>Tabla1[[#This Row],[VALOR  A PAGAR]]</f>
        <v>30000</v>
      </c>
      <c r="U205" s="41">
        <f>Tabla1[[#This Row],[Columna1]]</f>
        <v>1920</v>
      </c>
    </row>
    <row r="206" spans="2:21" ht="15.75" x14ac:dyDescent="0.25">
      <c r="B206" s="29">
        <f>Tabla1[[#This Row],[FECHA]]</f>
        <v>44608</v>
      </c>
      <c r="C206" s="26">
        <f>_xlfn.ISOWEEKNUM('CAJAS ELABORADAS'!$C206)</f>
        <v>7</v>
      </c>
      <c r="D206" s="27" t="str">
        <f>Tabla1[[#This Row],[FINCA]]</f>
        <v>SAN PEDRO</v>
      </c>
      <c r="E206" s="531">
        <f>Tabla1[[#This Row],[Cajas Elaboradas]]</f>
        <v>307</v>
      </c>
      <c r="F206" s="26">
        <f>Tabla1[[#This Row],[Bolsas Elaboradas]]</f>
        <v>20.399999999999999</v>
      </c>
      <c r="G206" s="26">
        <f>Tabla1[[#This Row],[N° DE PERSONAS EN EL EMBARQUE]]</f>
        <v>15</v>
      </c>
      <c r="H206" s="532">
        <f>Tabla1[[#This Row],[Rasimos Cosechados]]</f>
        <v>1266</v>
      </c>
      <c r="I206" s="532">
        <f>Tabla1[[#This Row],[Rasimos Prosesados]]</f>
        <v>1237</v>
      </c>
      <c r="J206" s="532">
        <f>Tabla1[[#This Row],[Rasimos Rechasados]]</f>
        <v>29</v>
      </c>
      <c r="K206" s="533">
        <f>Tabla1[[#This Row],[PRECIO CAJA]]</f>
        <v>1500</v>
      </c>
      <c r="L206" s="534">
        <f>Tabla1[[#This Row],[PRECIO BOLSA]]</f>
        <v>500</v>
      </c>
      <c r="M206" s="533">
        <f>Tabla1[[#This Row],[PRODUCIDO CAJA]]</f>
        <v>460500</v>
      </c>
      <c r="N206" s="534">
        <f>Tabla1[[#This Row],[PRODUCIDO BOLSAS]]</f>
        <v>10200</v>
      </c>
      <c r="O206" s="533">
        <f>Tabla1[[#This Row],[TOTAL PRODUCIDO]]</f>
        <v>470700</v>
      </c>
      <c r="P206" s="534">
        <f>Tabla1[[#This Row],[Valor Pagado]]</f>
        <v>470700</v>
      </c>
      <c r="Q206" s="535">
        <f>Tabla1[[#This Row],[COEFICIENTE]]</f>
        <v>1.046</v>
      </c>
      <c r="R206" s="534">
        <f>Tabla1[[#This Row],[Precio Caja2]]</f>
        <v>1500</v>
      </c>
      <c r="S206" s="536">
        <f>Tabla1[[#This Row],[VALOR GANADO]]</f>
        <v>31380</v>
      </c>
      <c r="T206" s="537">
        <f>Tabla1[[#This Row],[VALOR  A PAGAR]]</f>
        <v>31380</v>
      </c>
      <c r="U206" s="41">
        <f>Tabla1[[#This Row],[Columna1]]</f>
        <v>0</v>
      </c>
    </row>
    <row r="207" spans="2:21" ht="15.75" x14ac:dyDescent="0.25">
      <c r="B207" s="29">
        <f>Tabla1[[#This Row],[FECHA]]</f>
        <v>44608</v>
      </c>
      <c r="C207" s="26">
        <f>_xlfn.ISOWEEKNUM('CAJAS ELABORADAS'!$C207)</f>
        <v>7</v>
      </c>
      <c r="D207" s="27" t="str">
        <f>Tabla1[[#This Row],[FINCA]]</f>
        <v>DAMAQUIEL</v>
      </c>
      <c r="E207" s="531">
        <f>Tabla1[[#This Row],[Cajas Elaboradas]]</f>
        <v>168</v>
      </c>
      <c r="F207" s="26">
        <f>Tabla1[[#This Row],[Bolsas Elaboradas]]</f>
        <v>57.8</v>
      </c>
      <c r="G207" s="26">
        <f>Tabla1[[#This Row],[N° DE PERSONAS EN EL EMBARQUE]]</f>
        <v>10</v>
      </c>
      <c r="H207" s="532">
        <f>Tabla1[[#This Row],[Rasimos Cosechados]]</f>
        <v>928</v>
      </c>
      <c r="I207" s="532">
        <f>Tabla1[[#This Row],[Rasimos Prosesados]]</f>
        <v>856</v>
      </c>
      <c r="J207" s="532">
        <f>Tabla1[[#This Row],[Rasimos Rechasados]]</f>
        <v>72</v>
      </c>
      <c r="K207" s="533">
        <f>Tabla1[[#This Row],[PRECIO CAJA]]</f>
        <v>1500</v>
      </c>
      <c r="L207" s="534">
        <f>Tabla1[[#This Row],[PRECIO BOLSA]]</f>
        <v>500</v>
      </c>
      <c r="M207" s="533">
        <f>Tabla1[[#This Row],[PRODUCIDO CAJA]]</f>
        <v>252000</v>
      </c>
      <c r="N207" s="534">
        <f>Tabla1[[#This Row],[PRODUCIDO BOLSAS]]</f>
        <v>28900</v>
      </c>
      <c r="O207" s="533">
        <f>Tabla1[[#This Row],[TOTAL PRODUCIDO]]</f>
        <v>280900</v>
      </c>
      <c r="P207" s="534">
        <f>Tabla1[[#This Row],[Valor Pagado]]</f>
        <v>300000</v>
      </c>
      <c r="Q207" s="535">
        <f>Tabla1[[#This Row],[COEFICIENTE]]</f>
        <v>1</v>
      </c>
      <c r="R207" s="534">
        <f>Tabla1[[#This Row],[Precio Caja2]]</f>
        <v>1613.6904761904761</v>
      </c>
      <c r="S207" s="536">
        <f>Tabla1[[#This Row],[VALOR GANADO]]</f>
        <v>28090</v>
      </c>
      <c r="T207" s="537">
        <f>Tabla1[[#This Row],[VALOR  A PAGAR]]</f>
        <v>30000</v>
      </c>
      <c r="U207" s="41">
        <f>Tabla1[[#This Row],[Columna1]]</f>
        <v>1910</v>
      </c>
    </row>
    <row r="208" spans="2:21" ht="15.75" x14ac:dyDescent="0.25">
      <c r="B208" s="29">
        <f>Tabla1[[#This Row],[FECHA]]</f>
        <v>44608</v>
      </c>
      <c r="C208" s="26">
        <f>_xlfn.ISOWEEKNUM('CAJAS ELABORADAS'!$C208)</f>
        <v>7</v>
      </c>
      <c r="D208" s="27" t="str">
        <f>Tabla1[[#This Row],[FINCA]]</f>
        <v>SAN PEDRO</v>
      </c>
      <c r="E208" s="531">
        <f>Tabla1[[#This Row],[Cajas Elaboradas]]</f>
        <v>77</v>
      </c>
      <c r="F208" s="26">
        <f>Tabla1[[#This Row],[Bolsas Elaboradas]]</f>
        <v>0</v>
      </c>
      <c r="G208" s="26">
        <f>Tabla1[[#This Row],[N° DE PERSONAS EN EL EMBARQUE]]</f>
        <v>15</v>
      </c>
      <c r="H208" s="532">
        <f>Tabla1[[#This Row],[Rasimos Cosechados]]</f>
        <v>0</v>
      </c>
      <c r="I208" s="532">
        <f>Tabla1[[#This Row],[Rasimos Prosesados]]</f>
        <v>0</v>
      </c>
      <c r="J208" s="532">
        <f>Tabla1[[#This Row],[Rasimos Rechasados]]</f>
        <v>0</v>
      </c>
      <c r="K208" s="533">
        <f>Tabla1[[#This Row],[PRECIO CAJA]]</f>
        <v>1500</v>
      </c>
      <c r="L208" s="534">
        <f>Tabla1[[#This Row],[PRECIO BOLSA]]</f>
        <v>0</v>
      </c>
      <c r="M208" s="533">
        <f>Tabla1[[#This Row],[PRODUCIDO CAJA]]</f>
        <v>115500</v>
      </c>
      <c r="N208" s="534">
        <f>Tabla1[[#This Row],[PRODUCIDO BOLSAS]]</f>
        <v>0</v>
      </c>
      <c r="O208" s="533">
        <f>Tabla1[[#This Row],[TOTAL PRODUCIDO]]</f>
        <v>115500</v>
      </c>
      <c r="P208" s="534">
        <f>Tabla1[[#This Row],[Valor Pagado]]</f>
        <v>450000</v>
      </c>
      <c r="Q208" s="535">
        <f>Tabla1[[#This Row],[COEFICIENTE]]</f>
        <v>1</v>
      </c>
      <c r="R208" s="534">
        <f>Tabla1[[#This Row],[Precio Caja2]]</f>
        <v>5844.1558441558445</v>
      </c>
      <c r="S208" s="536">
        <f>Tabla1[[#This Row],[VALOR GANADO]]</f>
        <v>7700</v>
      </c>
      <c r="T208" s="537">
        <f>Tabla1[[#This Row],[VALOR  A PAGAR]]</f>
        <v>30000</v>
      </c>
      <c r="U208" s="41">
        <f>Tabla1[[#This Row],[Columna1]]</f>
        <v>22300</v>
      </c>
    </row>
    <row r="209" spans="2:21" ht="15.75" x14ac:dyDescent="0.25">
      <c r="B209" s="29">
        <f>Tabla1[[#This Row],[FECHA]]</f>
        <v>44608</v>
      </c>
      <c r="C209" s="26">
        <f>_xlfn.ISOWEEKNUM('CAJAS ELABORADAS'!$C209)</f>
        <v>7</v>
      </c>
      <c r="D209" s="27" t="str">
        <f>Tabla1[[#This Row],[FINCA]]</f>
        <v>PEDRITO</v>
      </c>
      <c r="E209" s="531">
        <f>Tabla1[[#This Row],[Cajas Elaboradas]]</f>
        <v>154</v>
      </c>
      <c r="F209" s="26">
        <f>Tabla1[[#This Row],[Bolsas Elaboradas]]</f>
        <v>39.119999999999997</v>
      </c>
      <c r="G209" s="26">
        <f>Tabla1[[#This Row],[N° DE PERSONAS EN EL EMBARQUE]]</f>
        <v>8</v>
      </c>
      <c r="H209" s="532">
        <f>Tabla1[[#This Row],[Rasimos Cosechados]]</f>
        <v>668</v>
      </c>
      <c r="I209" s="532">
        <f>Tabla1[[#This Row],[Rasimos Prosesados]]</f>
        <v>663</v>
      </c>
      <c r="J209" s="532">
        <f>Tabla1[[#This Row],[Rasimos Rechasados]]</f>
        <v>5</v>
      </c>
      <c r="K209" s="533">
        <f>Tabla1[[#This Row],[PRECIO CAJA]]</f>
        <v>2100</v>
      </c>
      <c r="L209" s="534">
        <f>Tabla1[[#This Row],[PRECIO BOLSA]]</f>
        <v>500</v>
      </c>
      <c r="M209" s="533">
        <f>Tabla1[[#This Row],[PRODUCIDO CAJA]]</f>
        <v>323400</v>
      </c>
      <c r="N209" s="534">
        <f>Tabla1[[#This Row],[PRODUCIDO BOLSAS]]</f>
        <v>19560</v>
      </c>
      <c r="O209" s="533">
        <f>Tabla1[[#This Row],[TOTAL PRODUCIDO]]</f>
        <v>342960</v>
      </c>
      <c r="P209" s="534">
        <f>Tabla1[[#This Row],[Valor Pagado]]</f>
        <v>342960</v>
      </c>
      <c r="Q209" s="535">
        <f>Tabla1[[#This Row],[COEFICIENTE]]</f>
        <v>1.429</v>
      </c>
      <c r="R209" s="534">
        <f>Tabla1[[#This Row],[Precio Caja2]]</f>
        <v>2100</v>
      </c>
      <c r="S209" s="536">
        <f>Tabla1[[#This Row],[VALOR GANADO]]</f>
        <v>42870</v>
      </c>
      <c r="T209" s="537">
        <f>Tabla1[[#This Row],[VALOR  A PAGAR]]</f>
        <v>42870</v>
      </c>
      <c r="U209" s="41">
        <f>Tabla1[[#This Row],[Columna1]]</f>
        <v>0</v>
      </c>
    </row>
    <row r="210" spans="2:21" ht="15.75" x14ac:dyDescent="0.25">
      <c r="B210" s="29">
        <f>Tabla1[[#This Row],[FECHA]]</f>
        <v>44609</v>
      </c>
      <c r="C210" s="26">
        <f>_xlfn.ISOWEEKNUM('CAJAS ELABORADAS'!$C210)</f>
        <v>7</v>
      </c>
      <c r="D210" s="27" t="str">
        <f>Tabla1[[#This Row],[FINCA]]</f>
        <v>DAMAQUIEL</v>
      </c>
      <c r="E210" s="531">
        <f>Tabla1[[#This Row],[Cajas Elaboradas]]</f>
        <v>55</v>
      </c>
      <c r="F210" s="26">
        <f>Tabla1[[#This Row],[Bolsas Elaboradas]]</f>
        <v>18.399999999999999</v>
      </c>
      <c r="G210" s="26">
        <f>Tabla1[[#This Row],[N° DE PERSONAS EN EL EMBARQUE]]</f>
        <v>4</v>
      </c>
      <c r="H210" s="532">
        <f>Tabla1[[#This Row],[Rasimos Cosechados]]</f>
        <v>0</v>
      </c>
      <c r="I210" s="532">
        <f>Tabla1[[#This Row],[Rasimos Prosesados]]</f>
        <v>0</v>
      </c>
      <c r="J210" s="532">
        <f>Tabla1[[#This Row],[Rasimos Rechasados]]</f>
        <v>0</v>
      </c>
      <c r="K210" s="533">
        <f>Tabla1[[#This Row],[PRECIO CAJA]]</f>
        <v>1500</v>
      </c>
      <c r="L210" s="534">
        <f>Tabla1[[#This Row],[PRECIO BOLSA]]</f>
        <v>500</v>
      </c>
      <c r="M210" s="533">
        <f>Tabla1[[#This Row],[PRODUCIDO CAJA]]</f>
        <v>82500</v>
      </c>
      <c r="N210" s="534">
        <f>Tabla1[[#This Row],[PRODUCIDO BOLSAS]]</f>
        <v>9200</v>
      </c>
      <c r="O210" s="533">
        <f>Tabla1[[#This Row],[TOTAL PRODUCIDO]]</f>
        <v>91700</v>
      </c>
      <c r="P210" s="534">
        <f>Tabla1[[#This Row],[Valor Pagado]]</f>
        <v>120000</v>
      </c>
      <c r="Q210" s="535">
        <f>Tabla1[[#This Row],[COEFICIENTE]]</f>
        <v>1</v>
      </c>
      <c r="R210" s="534">
        <f>Tabla1[[#This Row],[Precio Caja2]]</f>
        <v>2014.5454545454545</v>
      </c>
      <c r="S210" s="536">
        <f>Tabla1[[#This Row],[VALOR GANADO]]</f>
        <v>22925</v>
      </c>
      <c r="T210" s="537">
        <f>Tabla1[[#This Row],[VALOR  A PAGAR]]</f>
        <v>30000</v>
      </c>
      <c r="U210" s="41">
        <f>Tabla1[[#This Row],[Columna1]]</f>
        <v>7075</v>
      </c>
    </row>
    <row r="211" spans="2:21" ht="15.75" x14ac:dyDescent="0.25">
      <c r="B211" s="29">
        <f>Tabla1[[#This Row],[FECHA]]</f>
        <v>44614</v>
      </c>
      <c r="C211" s="26">
        <f>_xlfn.ISOWEEKNUM('CAJAS ELABORADAS'!$C211)</f>
        <v>8</v>
      </c>
      <c r="D211" s="27" t="str">
        <f>Tabla1[[#This Row],[FINCA]]</f>
        <v>DAMAQUIEL</v>
      </c>
      <c r="E211" s="531">
        <f>Tabla1[[#This Row],[Cajas Elaboradas]]</f>
        <v>81</v>
      </c>
      <c r="F211" s="26">
        <f>Tabla1[[#This Row],[Bolsas Elaboradas]]</f>
        <v>32.400000000000006</v>
      </c>
      <c r="G211" s="26">
        <f>Tabla1[[#This Row],[N° DE PERSONAS EN EL EMBARQUE]]</f>
        <v>5</v>
      </c>
      <c r="H211" s="532">
        <f>Tabla1[[#This Row],[Rasimos Cosechados]]</f>
        <v>568</v>
      </c>
      <c r="I211" s="532">
        <f>Tabla1[[#This Row],[Rasimos Prosesados]]</f>
        <v>459</v>
      </c>
      <c r="J211" s="532">
        <f>Tabla1[[#This Row],[Rasimos Rechasados]]</f>
        <v>109</v>
      </c>
      <c r="K211" s="533">
        <f>Tabla1[[#This Row],[PRECIO CAJA]]</f>
        <v>1500</v>
      </c>
      <c r="L211" s="534">
        <f>Tabla1[[#This Row],[PRECIO BOLSA]]</f>
        <v>500</v>
      </c>
      <c r="M211" s="533">
        <f>Tabla1[[#This Row],[PRODUCIDO CAJA]]</f>
        <v>121500</v>
      </c>
      <c r="N211" s="534">
        <f>Tabla1[[#This Row],[PRODUCIDO BOLSAS]]</f>
        <v>16200.000000000004</v>
      </c>
      <c r="O211" s="533">
        <f>Tabla1[[#This Row],[TOTAL PRODUCIDO]]</f>
        <v>137700</v>
      </c>
      <c r="P211" s="534">
        <f>Tabla1[[#This Row],[Valor Pagado]]</f>
        <v>150000</v>
      </c>
      <c r="Q211" s="535">
        <f>Tabla1[[#This Row],[COEFICIENTE]]</f>
        <v>1</v>
      </c>
      <c r="R211" s="534">
        <f>Tabla1[[#This Row],[Precio Caja2]]</f>
        <v>1651.851851851852</v>
      </c>
      <c r="S211" s="536">
        <f>Tabla1[[#This Row],[VALOR GANADO]]</f>
        <v>27540</v>
      </c>
      <c r="T211" s="537">
        <f>Tabla1[[#This Row],[VALOR  A PAGAR]]</f>
        <v>30000</v>
      </c>
      <c r="U211" s="41">
        <f>Tabla1[[#This Row],[Columna1]]</f>
        <v>2460</v>
      </c>
    </row>
    <row r="212" spans="2:21" ht="15.75" x14ac:dyDescent="0.25">
      <c r="B212" s="29">
        <f>Tabla1[[#This Row],[FECHA]]</f>
        <v>44614</v>
      </c>
      <c r="C212" s="26">
        <f>_xlfn.ISOWEEKNUM('CAJAS ELABORADAS'!$C212)</f>
        <v>8</v>
      </c>
      <c r="D212" s="27" t="str">
        <f>Tabla1[[#This Row],[FINCA]]</f>
        <v>SAN PEDRO</v>
      </c>
      <c r="E212" s="531">
        <f>Tabla1[[#This Row],[Cajas Elaboradas]]</f>
        <v>250</v>
      </c>
      <c r="F212" s="26">
        <f>Tabla1[[#This Row],[Bolsas Elaboradas]]</f>
        <v>47.6</v>
      </c>
      <c r="G212" s="26">
        <f>Tabla1[[#This Row],[N° DE PERSONAS EN EL EMBARQUE]]</f>
        <v>14</v>
      </c>
      <c r="H212" s="532">
        <f>Tabla1[[#This Row],[Rasimos Cosechados]]</f>
        <v>900</v>
      </c>
      <c r="I212" s="532">
        <f>Tabla1[[#This Row],[Rasimos Prosesados]]</f>
        <v>885</v>
      </c>
      <c r="J212" s="532">
        <f>Tabla1[[#This Row],[Rasimos Rechasados]]</f>
        <v>15</v>
      </c>
      <c r="K212" s="533">
        <f>Tabla1[[#This Row],[PRECIO CAJA]]</f>
        <v>1500</v>
      </c>
      <c r="L212" s="534">
        <f>Tabla1[[#This Row],[PRECIO BOLSA]]</f>
        <v>500</v>
      </c>
      <c r="M212" s="533">
        <f>Tabla1[[#This Row],[PRODUCIDO CAJA]]</f>
        <v>375000</v>
      </c>
      <c r="N212" s="534">
        <f>Tabla1[[#This Row],[PRODUCIDO BOLSAS]]</f>
        <v>23800</v>
      </c>
      <c r="O212" s="533">
        <f>Tabla1[[#This Row],[TOTAL PRODUCIDO]]</f>
        <v>398800</v>
      </c>
      <c r="P212" s="534">
        <f>Tabla1[[#This Row],[Valor Pagado]]</f>
        <v>420000</v>
      </c>
      <c r="Q212" s="535">
        <f>Tabla1[[#This Row],[COEFICIENTE]]</f>
        <v>1</v>
      </c>
      <c r="R212" s="534">
        <f>Tabla1[[#This Row],[Precio Caja2]]</f>
        <v>1584.8</v>
      </c>
      <c r="S212" s="536">
        <f>Tabla1[[#This Row],[VALOR GANADO]]</f>
        <v>28485.714285714286</v>
      </c>
      <c r="T212" s="537">
        <f>Tabla1[[#This Row],[VALOR  A PAGAR]]</f>
        <v>30000</v>
      </c>
      <c r="U212" s="41">
        <f>Tabla1[[#This Row],[Columna1]]</f>
        <v>1514.2857142857138</v>
      </c>
    </row>
    <row r="213" spans="2:21" ht="15.75" x14ac:dyDescent="0.25">
      <c r="B213" s="29">
        <f>Tabla1[[#This Row],[FECHA]]</f>
        <v>44615</v>
      </c>
      <c r="C213" s="26">
        <f>_xlfn.ISOWEEKNUM('CAJAS ELABORADAS'!$C213)</f>
        <v>8</v>
      </c>
      <c r="D213" s="27" t="str">
        <f>Tabla1[[#This Row],[FINCA]]</f>
        <v>UVEROS</v>
      </c>
      <c r="E213" s="531">
        <f>Tabla1[[#This Row],[Cajas Elaboradas]]</f>
        <v>100</v>
      </c>
      <c r="F213" s="26">
        <f>Tabla1[[#This Row],[Bolsas Elaboradas]]</f>
        <v>10.8</v>
      </c>
      <c r="G213" s="26">
        <f>Tabla1[[#This Row],[N° DE PERSONAS EN EL EMBARQUE]]</f>
        <v>5</v>
      </c>
      <c r="H213" s="532">
        <f>Tabla1[[#This Row],[Rasimos Cosechados]]</f>
        <v>354</v>
      </c>
      <c r="I213" s="532">
        <f>Tabla1[[#This Row],[Rasimos Prosesados]]</f>
        <v>340</v>
      </c>
      <c r="J213" s="532">
        <f>Tabla1[[#This Row],[Rasimos Rechasados]]</f>
        <v>14</v>
      </c>
      <c r="K213" s="533">
        <f>Tabla1[[#This Row],[PRECIO CAJA]]</f>
        <v>1500</v>
      </c>
      <c r="L213" s="534">
        <f>Tabla1[[#This Row],[PRECIO BOLSA]]</f>
        <v>500</v>
      </c>
      <c r="M213" s="533">
        <f>Tabla1[[#This Row],[PRODUCIDO CAJA]]</f>
        <v>150000</v>
      </c>
      <c r="N213" s="534">
        <f>Tabla1[[#This Row],[PRODUCIDO BOLSAS]]</f>
        <v>5400</v>
      </c>
      <c r="O213" s="533">
        <f>Tabla1[[#This Row],[TOTAL PRODUCIDO]]</f>
        <v>155400</v>
      </c>
      <c r="P213" s="534">
        <f>Tabla1[[#This Row],[Valor Pagado]]</f>
        <v>155400</v>
      </c>
      <c r="Q213" s="535">
        <f>Tabla1[[#This Row],[COEFICIENTE]]</f>
        <v>1.036</v>
      </c>
      <c r="R213" s="534">
        <f>Tabla1[[#This Row],[Precio Caja2]]</f>
        <v>1500</v>
      </c>
      <c r="S213" s="536">
        <f>Tabla1[[#This Row],[VALOR GANADO]]</f>
        <v>31080</v>
      </c>
      <c r="T213" s="537">
        <f>Tabla1[[#This Row],[VALOR  A PAGAR]]</f>
        <v>31080</v>
      </c>
      <c r="U213" s="41">
        <f>Tabla1[[#This Row],[Columna1]]</f>
        <v>0</v>
      </c>
    </row>
    <row r="214" spans="2:21" ht="15.75" x14ac:dyDescent="0.25">
      <c r="B214" s="29">
        <f>Tabla1[[#This Row],[FECHA]]</f>
        <v>44615</v>
      </c>
      <c r="C214" s="26">
        <f>_xlfn.ISOWEEKNUM('CAJAS ELABORADAS'!$C214)</f>
        <v>8</v>
      </c>
      <c r="D214" s="27" t="str">
        <f>Tabla1[[#This Row],[FINCA]]</f>
        <v>SAN PEDRO</v>
      </c>
      <c r="E214" s="531">
        <f>Tabla1[[#This Row],[Cajas Elaboradas]]</f>
        <v>216</v>
      </c>
      <c r="F214" s="26">
        <f>Tabla1[[#This Row],[Bolsas Elaboradas]]</f>
        <v>68</v>
      </c>
      <c r="G214" s="26">
        <f>Tabla1[[#This Row],[N° DE PERSONAS EN EL EMBARQUE]]</f>
        <v>14</v>
      </c>
      <c r="H214" s="532">
        <f>Tabla1[[#This Row],[Rasimos Cosechados]]</f>
        <v>983</v>
      </c>
      <c r="I214" s="532">
        <f>Tabla1[[#This Row],[Rasimos Prosesados]]</f>
        <v>816</v>
      </c>
      <c r="J214" s="532">
        <f>Tabla1[[#This Row],[Rasimos Rechasados]]</f>
        <v>167</v>
      </c>
      <c r="K214" s="533">
        <f>Tabla1[[#This Row],[PRECIO CAJA]]</f>
        <v>1500</v>
      </c>
      <c r="L214" s="534">
        <f>Tabla1[[#This Row],[PRECIO BOLSA]]</f>
        <v>500</v>
      </c>
      <c r="M214" s="533">
        <f>Tabla1[[#This Row],[PRODUCIDO CAJA]]</f>
        <v>324000</v>
      </c>
      <c r="N214" s="534">
        <f>Tabla1[[#This Row],[PRODUCIDO BOLSAS]]</f>
        <v>34000</v>
      </c>
      <c r="O214" s="533">
        <f>Tabla1[[#This Row],[TOTAL PRODUCIDO]]</f>
        <v>358000</v>
      </c>
      <c r="P214" s="534">
        <f>Tabla1[[#This Row],[Valor Pagado]]</f>
        <v>420000</v>
      </c>
      <c r="Q214" s="535">
        <f>Tabla1[[#This Row],[COEFICIENTE]]</f>
        <v>1</v>
      </c>
      <c r="R214" s="534">
        <f>Tabla1[[#This Row],[Precio Caja2]]</f>
        <v>1787.037037037037</v>
      </c>
      <c r="S214" s="536">
        <f>Tabla1[[#This Row],[VALOR GANADO]]</f>
        <v>25571.428571428572</v>
      </c>
      <c r="T214" s="537">
        <f>Tabla1[[#This Row],[VALOR  A PAGAR]]</f>
        <v>30000</v>
      </c>
      <c r="U214" s="41">
        <f>Tabla1[[#This Row],[Columna1]]</f>
        <v>4428.5714285714275</v>
      </c>
    </row>
    <row r="215" spans="2:21" ht="15.75" x14ac:dyDescent="0.25">
      <c r="B215" s="29">
        <f>Tabla1[[#This Row],[FECHA]]</f>
        <v>44620</v>
      </c>
      <c r="C215" s="26">
        <f>_xlfn.ISOWEEKNUM('CAJAS ELABORADAS'!$C215)</f>
        <v>9</v>
      </c>
      <c r="D215" s="27" t="str">
        <f>Tabla1[[#This Row],[FINCA]]</f>
        <v>PEDRITO</v>
      </c>
      <c r="E215" s="531">
        <f>Tabla1[[#This Row],[Cajas Elaboradas]]</f>
        <v>115.5</v>
      </c>
      <c r="F215" s="26">
        <f>Tabla1[[#This Row],[Bolsas Elaboradas]]</f>
        <v>44.24</v>
      </c>
      <c r="G215" s="26">
        <f>Tabla1[[#This Row],[N° DE PERSONAS EN EL EMBARQUE]]</f>
        <v>7</v>
      </c>
      <c r="H215" s="532">
        <f>Tabla1[[#This Row],[Rasimos Cosechados]]</f>
        <v>0</v>
      </c>
      <c r="I215" s="532">
        <f>Tabla1[[#This Row],[Rasimos Prosesados]]</f>
        <v>0</v>
      </c>
      <c r="J215" s="532">
        <f>Tabla1[[#This Row],[Rasimos Rechasados]]</f>
        <v>0</v>
      </c>
      <c r="K215" s="533">
        <f>Tabla1[[#This Row],[PRECIO CAJA]]</f>
        <v>2100</v>
      </c>
      <c r="L215" s="534">
        <f>Tabla1[[#This Row],[PRECIO BOLSA]]</f>
        <v>500</v>
      </c>
      <c r="M215" s="533">
        <f>Tabla1[[#This Row],[PRODUCIDO CAJA]]</f>
        <v>242550</v>
      </c>
      <c r="N215" s="534">
        <f>Tabla1[[#This Row],[PRODUCIDO BOLSAS]]</f>
        <v>22120</v>
      </c>
      <c r="O215" s="533">
        <f>Tabla1[[#This Row],[TOTAL PRODUCIDO]]</f>
        <v>264670</v>
      </c>
      <c r="P215" s="534">
        <f>Tabla1[[#This Row],[Valor Pagado]]</f>
        <v>264670</v>
      </c>
      <c r="Q215" s="535">
        <f>Tabla1[[#This Row],[COEFICIENTE]]</f>
        <v>1.2603333333333333</v>
      </c>
      <c r="R215" s="534">
        <f>Tabla1[[#This Row],[Precio Caja2]]</f>
        <v>2100</v>
      </c>
      <c r="S215" s="536">
        <f>Tabla1[[#This Row],[VALOR GANADO]]</f>
        <v>37810</v>
      </c>
      <c r="T215" s="537">
        <f>Tabla1[[#This Row],[VALOR  A PAGAR]]</f>
        <v>37810</v>
      </c>
      <c r="U215" s="41">
        <f>Tabla1[[#This Row],[Columna1]]</f>
        <v>0</v>
      </c>
    </row>
    <row r="216" spans="2:21" ht="15.75" x14ac:dyDescent="0.25">
      <c r="B216" s="29">
        <f>Tabla1[[#This Row],[FECHA]]</f>
        <v>44621</v>
      </c>
      <c r="C216" s="26">
        <f>_xlfn.ISOWEEKNUM('CAJAS ELABORADAS'!$C216)</f>
        <v>9</v>
      </c>
      <c r="D216" s="27" t="str">
        <f>Tabla1[[#This Row],[FINCA]]</f>
        <v>UVEROS</v>
      </c>
      <c r="E216" s="531">
        <f>Tabla1[[#This Row],[Cajas Elaboradas]]</f>
        <v>204</v>
      </c>
      <c r="F216" s="26">
        <f>Tabla1[[#This Row],[Bolsas Elaboradas]]</f>
        <v>55.5</v>
      </c>
      <c r="G216" s="26">
        <f>Tabla1[[#This Row],[N° DE PERSONAS EN EL EMBARQUE]]</f>
        <v>10</v>
      </c>
      <c r="H216" s="532">
        <f>Tabla1[[#This Row],[Rasimos Cosechados]]</f>
        <v>0</v>
      </c>
      <c r="I216" s="532">
        <f>Tabla1[[#This Row],[Rasimos Prosesados]]</f>
        <v>0</v>
      </c>
      <c r="J216" s="532">
        <f>Tabla1[[#This Row],[Rasimos Rechasados]]</f>
        <v>0</v>
      </c>
      <c r="K216" s="533">
        <f>Tabla1[[#This Row],[PRECIO CAJA]]</f>
        <v>1500</v>
      </c>
      <c r="L216" s="534">
        <f>Tabla1[[#This Row],[PRECIO BOLSA]]</f>
        <v>500</v>
      </c>
      <c r="M216" s="533">
        <f>Tabla1[[#This Row],[PRODUCIDO CAJA]]</f>
        <v>306000</v>
      </c>
      <c r="N216" s="534">
        <f>Tabla1[[#This Row],[PRODUCIDO BOLSAS]]</f>
        <v>27750</v>
      </c>
      <c r="O216" s="533">
        <f>Tabla1[[#This Row],[TOTAL PRODUCIDO]]</f>
        <v>333750</v>
      </c>
      <c r="P216" s="534">
        <f>Tabla1[[#This Row],[Valor Pagado]]</f>
        <v>333750</v>
      </c>
      <c r="Q216" s="535">
        <f>Tabla1[[#This Row],[COEFICIENTE]]</f>
        <v>1.1125</v>
      </c>
      <c r="R216" s="534">
        <f>Tabla1[[#This Row],[Precio Caja2]]</f>
        <v>1500</v>
      </c>
      <c r="S216" s="536">
        <f>Tabla1[[#This Row],[VALOR GANADO]]</f>
        <v>33375</v>
      </c>
      <c r="T216" s="537">
        <f>Tabla1[[#This Row],[VALOR  A PAGAR]]</f>
        <v>33375</v>
      </c>
      <c r="U216" s="41">
        <f>Tabla1[[#This Row],[Columna1]]</f>
        <v>0</v>
      </c>
    </row>
    <row r="217" spans="2:21" ht="15.75" x14ac:dyDescent="0.25">
      <c r="B217" s="29">
        <f>Tabla1[[#This Row],[FECHA]]</f>
        <v>44621</v>
      </c>
      <c r="C217" s="26">
        <f>_xlfn.ISOWEEKNUM('CAJAS ELABORADAS'!$C217)</f>
        <v>9</v>
      </c>
      <c r="D217" s="27" t="str">
        <f>Tabla1[[#This Row],[FINCA]]</f>
        <v>SAN PEDRO</v>
      </c>
      <c r="E217" s="531">
        <f>Tabla1[[#This Row],[Cajas Elaboradas]]</f>
        <v>136.5</v>
      </c>
      <c r="F217" s="26">
        <f>Tabla1[[#This Row],[Bolsas Elaboradas]]</f>
        <v>35.979999999999997</v>
      </c>
      <c r="G217" s="26">
        <f>Tabla1[[#This Row],[N° DE PERSONAS EN EL EMBARQUE]]</f>
        <v>7</v>
      </c>
      <c r="H217" s="532">
        <f>Tabla1[[#This Row],[Rasimos Cosechados]]</f>
        <v>0</v>
      </c>
      <c r="I217" s="532">
        <f>Tabla1[[#This Row],[Rasimos Prosesados]]</f>
        <v>0</v>
      </c>
      <c r="J217" s="532">
        <f>Tabla1[[#This Row],[Rasimos Rechasados]]</f>
        <v>0</v>
      </c>
      <c r="K217" s="533">
        <f>Tabla1[[#This Row],[PRECIO CAJA]]</f>
        <v>1500</v>
      </c>
      <c r="L217" s="534">
        <f>Tabla1[[#This Row],[PRECIO BOLSA]]</f>
        <v>500</v>
      </c>
      <c r="M217" s="533">
        <f>Tabla1[[#This Row],[PRODUCIDO CAJA]]</f>
        <v>204750</v>
      </c>
      <c r="N217" s="534">
        <f>Tabla1[[#This Row],[PRODUCIDO BOLSAS]]</f>
        <v>17990</v>
      </c>
      <c r="O217" s="533">
        <f>Tabla1[[#This Row],[TOTAL PRODUCIDO]]</f>
        <v>222740</v>
      </c>
      <c r="P217" s="534">
        <f>Tabla1[[#This Row],[Valor Pagado]]</f>
        <v>222740</v>
      </c>
      <c r="Q217" s="535">
        <f>Tabla1[[#This Row],[COEFICIENTE]]</f>
        <v>1.0606666666666666</v>
      </c>
      <c r="R217" s="534">
        <f>Tabla1[[#This Row],[Precio Caja2]]</f>
        <v>1500</v>
      </c>
      <c r="S217" s="536">
        <f>Tabla1[[#This Row],[VALOR GANADO]]</f>
        <v>31820</v>
      </c>
      <c r="T217" s="537">
        <f>Tabla1[[#This Row],[VALOR  A PAGAR]]</f>
        <v>31820</v>
      </c>
      <c r="U217" s="41">
        <f>Tabla1[[#This Row],[Columna1]]</f>
        <v>0</v>
      </c>
    </row>
    <row r="218" spans="2:21" ht="15.75" x14ac:dyDescent="0.25">
      <c r="B218" s="29">
        <f>Tabla1[[#This Row],[FECHA]]</f>
        <v>44622</v>
      </c>
      <c r="C218" s="26">
        <f>_xlfn.ISOWEEKNUM('CAJAS ELABORADAS'!$C218)</f>
        <v>9</v>
      </c>
      <c r="D218" s="27" t="str">
        <f>Tabla1[[#This Row],[FINCA]]</f>
        <v>SAN PEDRO</v>
      </c>
      <c r="E218" s="531">
        <f>Tabla1[[#This Row],[Cajas Elaboradas]]</f>
        <v>173</v>
      </c>
      <c r="F218" s="26">
        <f>Tabla1[[#This Row],[Bolsas Elaboradas]]</f>
        <v>69.7</v>
      </c>
      <c r="G218" s="26">
        <f>Tabla1[[#This Row],[N° DE PERSONAS EN EL EMBARQUE]]</f>
        <v>10</v>
      </c>
      <c r="H218" s="532">
        <f>Tabla1[[#This Row],[Rasimos Cosechados]]</f>
        <v>0</v>
      </c>
      <c r="I218" s="532">
        <f>Tabla1[[#This Row],[Rasimos Prosesados]]</f>
        <v>0</v>
      </c>
      <c r="J218" s="532">
        <f>Tabla1[[#This Row],[Rasimos Rechasados]]</f>
        <v>0</v>
      </c>
      <c r="K218" s="533">
        <f>Tabla1[[#This Row],[PRECIO CAJA]]</f>
        <v>1500</v>
      </c>
      <c r="L218" s="534">
        <f>Tabla1[[#This Row],[PRECIO BOLSA]]</f>
        <v>500</v>
      </c>
      <c r="M218" s="533">
        <f>Tabla1[[#This Row],[PRODUCIDO CAJA]]</f>
        <v>259500</v>
      </c>
      <c r="N218" s="534">
        <f>Tabla1[[#This Row],[PRODUCIDO BOLSAS]]</f>
        <v>34850</v>
      </c>
      <c r="O218" s="533">
        <f>Tabla1[[#This Row],[TOTAL PRODUCIDO]]</f>
        <v>294350</v>
      </c>
      <c r="P218" s="534">
        <f>Tabla1[[#This Row],[Valor Pagado]]</f>
        <v>300000</v>
      </c>
      <c r="Q218" s="535">
        <f>Tabla1[[#This Row],[COEFICIENTE]]</f>
        <v>1</v>
      </c>
      <c r="R218" s="534">
        <f>Tabla1[[#This Row],[Precio Caja2]]</f>
        <v>1532.6589595375722</v>
      </c>
      <c r="S218" s="536">
        <f>Tabla1[[#This Row],[VALOR GANADO]]</f>
        <v>29435</v>
      </c>
      <c r="T218" s="537">
        <f>Tabla1[[#This Row],[VALOR  A PAGAR]]</f>
        <v>30000</v>
      </c>
      <c r="U218" s="41">
        <f>Tabla1[[#This Row],[Columna1]]</f>
        <v>565</v>
      </c>
    </row>
    <row r="219" spans="2:21" ht="15.75" x14ac:dyDescent="0.25">
      <c r="B219" s="29">
        <f>Tabla1[[#This Row],[FECHA]]</f>
        <v>44622</v>
      </c>
      <c r="C219" s="26">
        <f>_xlfn.ISOWEEKNUM('CAJAS ELABORADAS'!$C219)</f>
        <v>9</v>
      </c>
      <c r="D219" s="27" t="str">
        <f>Tabla1[[#This Row],[FINCA]]</f>
        <v>DAMAQUIEL</v>
      </c>
      <c r="E219" s="531">
        <f>Tabla1[[#This Row],[Cajas Elaboradas]]</f>
        <v>101</v>
      </c>
      <c r="F219" s="26">
        <f>Tabla1[[#This Row],[Bolsas Elaboradas]]</f>
        <v>14.399999999999999</v>
      </c>
      <c r="G219" s="26">
        <f>Tabla1[[#This Row],[N° DE PERSONAS EN EL EMBARQUE]]</f>
        <v>6</v>
      </c>
      <c r="H219" s="532">
        <f>Tabla1[[#This Row],[Rasimos Cosechados]]</f>
        <v>0</v>
      </c>
      <c r="I219" s="532">
        <f>Tabla1[[#This Row],[Rasimos Prosesados]]</f>
        <v>0</v>
      </c>
      <c r="J219" s="532">
        <f>Tabla1[[#This Row],[Rasimos Rechasados]]</f>
        <v>0</v>
      </c>
      <c r="K219" s="533">
        <f>Tabla1[[#This Row],[PRECIO CAJA]]</f>
        <v>1500</v>
      </c>
      <c r="L219" s="534">
        <f>Tabla1[[#This Row],[PRECIO BOLSA]]</f>
        <v>500</v>
      </c>
      <c r="M219" s="533">
        <f>Tabla1[[#This Row],[PRODUCIDO CAJA]]</f>
        <v>151500</v>
      </c>
      <c r="N219" s="534">
        <f>Tabla1[[#This Row],[PRODUCIDO BOLSAS]]</f>
        <v>7199.9999999999991</v>
      </c>
      <c r="O219" s="533">
        <f>Tabla1[[#This Row],[TOTAL PRODUCIDO]]</f>
        <v>158700</v>
      </c>
      <c r="P219" s="534">
        <f>Tabla1[[#This Row],[Valor Pagado]]</f>
        <v>180000</v>
      </c>
      <c r="Q219" s="535">
        <f>Tabla1[[#This Row],[COEFICIENTE]]</f>
        <v>1</v>
      </c>
      <c r="R219" s="534">
        <f>Tabla1[[#This Row],[Precio Caja2]]</f>
        <v>1710.8910891089108</v>
      </c>
      <c r="S219" s="536">
        <f>Tabla1[[#This Row],[VALOR GANADO]]</f>
        <v>26450</v>
      </c>
      <c r="T219" s="537">
        <f>Tabla1[[#This Row],[VALOR  A PAGAR]]</f>
        <v>30000</v>
      </c>
      <c r="U219" s="41">
        <f>Tabla1[[#This Row],[Columna1]]</f>
        <v>3550</v>
      </c>
    </row>
    <row r="220" spans="2:21" ht="15.75" x14ac:dyDescent="0.25">
      <c r="B220" s="29">
        <f>Tabla1[[#This Row],[FECHA]]</f>
        <v>44623</v>
      </c>
      <c r="C220" s="26">
        <f>_xlfn.ISOWEEKNUM('CAJAS ELABORADAS'!$C220)</f>
        <v>9</v>
      </c>
      <c r="D220" s="27" t="str">
        <f>Tabla1[[#This Row],[FINCA]]</f>
        <v>DAMAQUIEL</v>
      </c>
      <c r="E220" s="531">
        <f>Tabla1[[#This Row],[Cajas Elaboradas]]</f>
        <v>41</v>
      </c>
      <c r="F220" s="26">
        <f>Tabla1[[#This Row],[Bolsas Elaboradas]]</f>
        <v>10.199999999999999</v>
      </c>
      <c r="G220" s="26">
        <f>Tabla1[[#This Row],[N° DE PERSONAS EN EL EMBARQUE]]</f>
        <v>5</v>
      </c>
      <c r="H220" s="532">
        <f>Tabla1[[#This Row],[Rasimos Cosechados]]</f>
        <v>0</v>
      </c>
      <c r="I220" s="532">
        <f>Tabla1[[#This Row],[Rasimos Prosesados]]</f>
        <v>0</v>
      </c>
      <c r="J220" s="532">
        <f>Tabla1[[#This Row],[Rasimos Rechasados]]</f>
        <v>0</v>
      </c>
      <c r="K220" s="533">
        <f>Tabla1[[#This Row],[PRECIO CAJA]]</f>
        <v>1500</v>
      </c>
      <c r="L220" s="534">
        <f>Tabla1[[#This Row],[PRECIO BOLSA]]</f>
        <v>500</v>
      </c>
      <c r="M220" s="533">
        <f>Tabla1[[#This Row],[PRODUCIDO CAJA]]</f>
        <v>61500</v>
      </c>
      <c r="N220" s="534">
        <f>Tabla1[[#This Row],[PRODUCIDO BOLSAS]]</f>
        <v>5100</v>
      </c>
      <c r="O220" s="533">
        <f>Tabla1[[#This Row],[TOTAL PRODUCIDO]]</f>
        <v>66600</v>
      </c>
      <c r="P220" s="534">
        <f>Tabla1[[#This Row],[Valor Pagado]]</f>
        <v>150000</v>
      </c>
      <c r="Q220" s="535">
        <f>Tabla1[[#This Row],[COEFICIENTE]]</f>
        <v>1</v>
      </c>
      <c r="R220" s="534">
        <f>Tabla1[[#This Row],[Precio Caja2]]</f>
        <v>3534.1463414634145</v>
      </c>
      <c r="S220" s="536">
        <f>Tabla1[[#This Row],[VALOR GANADO]]</f>
        <v>13320</v>
      </c>
      <c r="T220" s="537">
        <f>Tabla1[[#This Row],[VALOR  A PAGAR]]</f>
        <v>30000</v>
      </c>
      <c r="U220" s="41">
        <f>Tabla1[[#This Row],[Columna1]]</f>
        <v>16680</v>
      </c>
    </row>
    <row r="221" spans="2:21" ht="15.75" x14ac:dyDescent="0.25">
      <c r="B221" s="29">
        <f>Tabla1[[#This Row],[FECHA]]</f>
        <v>44623</v>
      </c>
      <c r="C221" s="26">
        <f>_xlfn.ISOWEEKNUM('CAJAS ELABORADAS'!$C221)</f>
        <v>9</v>
      </c>
      <c r="D221" s="27" t="str">
        <f>Tabla1[[#This Row],[FINCA]]</f>
        <v>PEDRITO</v>
      </c>
      <c r="E221" s="531">
        <f>Tabla1[[#This Row],[Cajas Elaboradas]]</f>
        <v>31</v>
      </c>
      <c r="F221" s="26">
        <f>Tabla1[[#This Row],[Bolsas Elaboradas]]</f>
        <v>6.8</v>
      </c>
      <c r="G221" s="26">
        <f>Tabla1[[#This Row],[N° DE PERSONAS EN EL EMBARQUE]]</f>
        <v>5</v>
      </c>
      <c r="H221" s="532">
        <f>Tabla1[[#This Row],[Rasimos Cosechados]]</f>
        <v>0</v>
      </c>
      <c r="I221" s="532">
        <f>Tabla1[[#This Row],[Rasimos Prosesados]]</f>
        <v>0</v>
      </c>
      <c r="J221" s="532">
        <f>Tabla1[[#This Row],[Rasimos Rechasados]]</f>
        <v>0</v>
      </c>
      <c r="K221" s="533">
        <f>Tabla1[[#This Row],[PRECIO CAJA]]</f>
        <v>1500</v>
      </c>
      <c r="L221" s="534">
        <f>Tabla1[[#This Row],[PRECIO BOLSA]]</f>
        <v>500</v>
      </c>
      <c r="M221" s="533">
        <f>Tabla1[[#This Row],[PRODUCIDO CAJA]]</f>
        <v>46500</v>
      </c>
      <c r="N221" s="534">
        <f>Tabla1[[#This Row],[PRODUCIDO BOLSAS]]</f>
        <v>3400</v>
      </c>
      <c r="O221" s="533">
        <f>Tabla1[[#This Row],[TOTAL PRODUCIDO]]</f>
        <v>49900</v>
      </c>
      <c r="P221" s="534">
        <f>Tabla1[[#This Row],[Valor Pagado]]</f>
        <v>150000</v>
      </c>
      <c r="Q221" s="535">
        <f>Tabla1[[#This Row],[COEFICIENTE]]</f>
        <v>1</v>
      </c>
      <c r="R221" s="534">
        <f>Tabla1[[#This Row],[Precio Caja2]]</f>
        <v>4729.0322580645161</v>
      </c>
      <c r="S221" s="536">
        <f>Tabla1[[#This Row],[VALOR GANADO]]</f>
        <v>9980</v>
      </c>
      <c r="T221" s="537">
        <f>Tabla1[[#This Row],[VALOR  A PAGAR]]</f>
        <v>30000</v>
      </c>
      <c r="U221" s="41">
        <f>Tabla1[[#This Row],[Columna1]]</f>
        <v>20020</v>
      </c>
    </row>
    <row r="222" spans="2:21" ht="15.75" x14ac:dyDescent="0.25">
      <c r="B222" s="29">
        <f>Tabla1[[#This Row],[FECHA]]</f>
        <v>44628</v>
      </c>
      <c r="C222" s="26">
        <f>_xlfn.ISOWEEKNUM('CAJAS ELABORADAS'!$C222)</f>
        <v>10</v>
      </c>
      <c r="D222" s="27" t="str">
        <f>Tabla1[[#This Row],[FINCA]]</f>
        <v>DAMAQUIEL</v>
      </c>
      <c r="E222" s="531">
        <f>Tabla1[[#This Row],[Cajas Elaboradas]]</f>
        <v>117</v>
      </c>
      <c r="F222" s="26">
        <f>Tabla1[[#This Row],[Bolsas Elaboradas]]</f>
        <v>32.199999999999996</v>
      </c>
      <c r="G222" s="26">
        <f>Tabla1[[#This Row],[N° DE PERSONAS EN EL EMBARQUE]]</f>
        <v>7</v>
      </c>
      <c r="H222" s="532">
        <f>Tabla1[[#This Row],[Rasimos Cosechados]]</f>
        <v>0</v>
      </c>
      <c r="I222" s="532">
        <f>Tabla1[[#This Row],[Rasimos Prosesados]]</f>
        <v>0</v>
      </c>
      <c r="J222" s="532">
        <f>Tabla1[[#This Row],[Rasimos Rechasados]]</f>
        <v>0</v>
      </c>
      <c r="K222" s="533">
        <f>Tabla1[[#This Row],[PRECIO CAJA]]</f>
        <v>1500</v>
      </c>
      <c r="L222" s="534">
        <f>Tabla1[[#This Row],[PRECIO BOLSA]]</f>
        <v>500</v>
      </c>
      <c r="M222" s="533">
        <f>Tabla1[[#This Row],[PRODUCIDO CAJA]]</f>
        <v>175500</v>
      </c>
      <c r="N222" s="534">
        <f>Tabla1[[#This Row],[PRODUCIDO BOLSAS]]</f>
        <v>16099.999999999998</v>
      </c>
      <c r="O222" s="533">
        <f>Tabla1[[#This Row],[TOTAL PRODUCIDO]]</f>
        <v>191600</v>
      </c>
      <c r="P222" s="534">
        <f>Tabla1[[#This Row],[Valor Pagado]]</f>
        <v>210000</v>
      </c>
      <c r="Q222" s="535">
        <f>Tabla1[[#This Row],[COEFICIENTE]]</f>
        <v>1</v>
      </c>
      <c r="R222" s="534">
        <f>Tabla1[[#This Row],[Precio Caja2]]</f>
        <v>1657.2649572649573</v>
      </c>
      <c r="S222" s="536">
        <f>Tabla1[[#This Row],[VALOR GANADO]]</f>
        <v>27371.428571428572</v>
      </c>
      <c r="T222" s="537">
        <f>Tabla1[[#This Row],[VALOR  A PAGAR]]</f>
        <v>30000</v>
      </c>
      <c r="U222" s="41">
        <f>Tabla1[[#This Row],[Columna1]]</f>
        <v>2628.5714285714275</v>
      </c>
    </row>
    <row r="223" spans="2:21" ht="15.75" x14ac:dyDescent="0.25">
      <c r="B223" s="29">
        <f>Tabla1[[#This Row],[FECHA]]</f>
        <v>44628</v>
      </c>
      <c r="C223" s="26">
        <f>_xlfn.ISOWEEKNUM('CAJAS ELABORADAS'!$C223)</f>
        <v>10</v>
      </c>
      <c r="D223" s="27" t="str">
        <f>Tabla1[[#This Row],[FINCA]]</f>
        <v>SAN PEDRO</v>
      </c>
      <c r="E223" s="531">
        <f>Tabla1[[#This Row],[Cajas Elaboradas]]</f>
        <v>300</v>
      </c>
      <c r="F223" s="26">
        <f>Tabla1[[#This Row],[Bolsas Elaboradas]]</f>
        <v>88.4</v>
      </c>
      <c r="G223" s="26">
        <f>Tabla1[[#This Row],[N° DE PERSONAS EN EL EMBARQUE]]</f>
        <v>15</v>
      </c>
      <c r="H223" s="532">
        <f>Tabla1[[#This Row],[Rasimos Cosechados]]</f>
        <v>0</v>
      </c>
      <c r="I223" s="532">
        <f>Tabla1[[#This Row],[Rasimos Prosesados]]</f>
        <v>0</v>
      </c>
      <c r="J223" s="532">
        <f>Tabla1[[#This Row],[Rasimos Rechasados]]</f>
        <v>0</v>
      </c>
      <c r="K223" s="533">
        <f>Tabla1[[#This Row],[PRECIO CAJA]]</f>
        <v>1500</v>
      </c>
      <c r="L223" s="534">
        <f>Tabla1[[#This Row],[PRECIO BOLSA]]</f>
        <v>500</v>
      </c>
      <c r="M223" s="533">
        <f>Tabla1[[#This Row],[PRODUCIDO CAJA]]</f>
        <v>450000</v>
      </c>
      <c r="N223" s="534">
        <f>Tabla1[[#This Row],[PRODUCIDO BOLSAS]]</f>
        <v>44200</v>
      </c>
      <c r="O223" s="533">
        <f>Tabla1[[#This Row],[TOTAL PRODUCIDO]]</f>
        <v>494200</v>
      </c>
      <c r="P223" s="534">
        <f>Tabla1[[#This Row],[Valor Pagado]]</f>
        <v>494199.99999999994</v>
      </c>
      <c r="Q223" s="535">
        <f>Tabla1[[#This Row],[COEFICIENTE]]</f>
        <v>1.0982222222222222</v>
      </c>
      <c r="R223" s="534">
        <f>Tabla1[[#This Row],[Precio Caja2]]</f>
        <v>1499.9999999999998</v>
      </c>
      <c r="S223" s="536">
        <f>Tabla1[[#This Row],[VALOR GANADO]]</f>
        <v>32946.666666666664</v>
      </c>
      <c r="T223" s="537">
        <f>Tabla1[[#This Row],[VALOR  A PAGAR]]</f>
        <v>32946.666666666664</v>
      </c>
      <c r="U223" s="41">
        <f>Tabla1[[#This Row],[Columna1]]</f>
        <v>0</v>
      </c>
    </row>
    <row r="224" spans="2:21" ht="15.75" x14ac:dyDescent="0.25">
      <c r="B224" s="29">
        <f>Tabla1[[#This Row],[FECHA]]</f>
        <v>3</v>
      </c>
      <c r="C224" s="26">
        <f>_xlfn.ISOWEEKNUM('CAJAS ELABORADAS'!$C224)</f>
        <v>1</v>
      </c>
      <c r="D224" s="27" t="str">
        <f>Tabla1[[#This Row],[FINCA]]</f>
        <v>SAN PEDRO</v>
      </c>
      <c r="E224" s="531">
        <f>Tabla1[[#This Row],[Cajas Elaboradas]]</f>
        <v>185</v>
      </c>
      <c r="F224" s="26">
        <f>Tabla1[[#This Row],[Bolsas Elaboradas]]</f>
        <v>78.150000000000006</v>
      </c>
      <c r="G224" s="26">
        <f>Tabla1[[#This Row],[N° DE PERSONAS EN EL EMBARQUE]]</f>
        <v>15</v>
      </c>
      <c r="H224" s="532">
        <f>Tabla1[[#This Row],[Rasimos Cosechados]]</f>
        <v>0</v>
      </c>
      <c r="I224" s="532">
        <f>Tabla1[[#This Row],[Rasimos Prosesados]]</f>
        <v>0</v>
      </c>
      <c r="J224" s="532">
        <f>Tabla1[[#This Row],[Rasimos Rechasados]]</f>
        <v>0</v>
      </c>
      <c r="K224" s="533">
        <f>Tabla1[[#This Row],[PRECIO CAJA]]</f>
        <v>1500</v>
      </c>
      <c r="L224" s="534">
        <f>Tabla1[[#This Row],[PRECIO BOLSA]]</f>
        <v>500</v>
      </c>
      <c r="M224" s="533">
        <f>Tabla1[[#This Row],[PRODUCIDO CAJA]]</f>
        <v>277500</v>
      </c>
      <c r="N224" s="534">
        <f>Tabla1[[#This Row],[PRODUCIDO BOLSAS]]</f>
        <v>39075</v>
      </c>
      <c r="O224" s="533">
        <f>Tabla1[[#This Row],[TOTAL PRODUCIDO]]</f>
        <v>316575</v>
      </c>
      <c r="P224" s="534">
        <f>Tabla1[[#This Row],[Valor Pagado]]</f>
        <v>450000</v>
      </c>
      <c r="Q224" s="535">
        <f>Tabla1[[#This Row],[COEFICIENTE]]</f>
        <v>1</v>
      </c>
      <c r="R224" s="534">
        <f>Tabla1[[#This Row],[Precio Caja2]]</f>
        <v>2221.2162162162163</v>
      </c>
      <c r="S224" s="536">
        <f>Tabla1[[#This Row],[VALOR GANADO]]</f>
        <v>21105</v>
      </c>
      <c r="T224" s="537">
        <f>Tabla1[[#This Row],[VALOR  A PAGAR]]</f>
        <v>30000</v>
      </c>
      <c r="U224" s="41">
        <f>Tabla1[[#This Row],[Columna1]]</f>
        <v>8895</v>
      </c>
    </row>
    <row r="225" spans="2:21" ht="15.75" x14ac:dyDescent="0.25">
      <c r="B225" s="29">
        <f>Tabla1[[#This Row],[FECHA]]</f>
        <v>44629</v>
      </c>
      <c r="C225" s="26">
        <f>_xlfn.ISOWEEKNUM('CAJAS ELABORADAS'!$C225)</f>
        <v>10</v>
      </c>
      <c r="D225" s="27" t="str">
        <f>Tabla1[[#This Row],[FINCA]]</f>
        <v>UVEROS</v>
      </c>
      <c r="E225" s="531">
        <f>Tabla1[[#This Row],[Cajas Elaboradas]]</f>
        <v>88</v>
      </c>
      <c r="F225" s="26">
        <f>Tabla1[[#This Row],[Bolsas Elaboradas]]</f>
        <v>12.8</v>
      </c>
      <c r="G225" s="26">
        <f>Tabla1[[#This Row],[N° DE PERSONAS EN EL EMBARQUE]]</f>
        <v>5</v>
      </c>
      <c r="H225" s="532">
        <f>Tabla1[[#This Row],[Rasimos Cosechados]]</f>
        <v>314</v>
      </c>
      <c r="I225" s="532">
        <f>Tabla1[[#This Row],[Rasimos Prosesados]]</f>
        <v>314</v>
      </c>
      <c r="J225" s="532">
        <f>Tabla1[[#This Row],[Rasimos Rechasados]]</f>
        <v>0</v>
      </c>
      <c r="K225" s="533">
        <f>Tabla1[[#This Row],[PRECIO CAJA]]</f>
        <v>1500</v>
      </c>
      <c r="L225" s="534">
        <f>Tabla1[[#This Row],[PRECIO BOLSA]]</f>
        <v>500</v>
      </c>
      <c r="M225" s="533">
        <f>Tabla1[[#This Row],[PRODUCIDO CAJA]]</f>
        <v>132000</v>
      </c>
      <c r="N225" s="534">
        <f>Tabla1[[#This Row],[PRODUCIDO BOLSAS]]</f>
        <v>6400</v>
      </c>
      <c r="O225" s="533">
        <f>Tabla1[[#This Row],[TOTAL PRODUCIDO]]</f>
        <v>138400</v>
      </c>
      <c r="P225" s="534">
        <f>Tabla1[[#This Row],[Valor Pagado]]</f>
        <v>150000</v>
      </c>
      <c r="Q225" s="535">
        <f>Tabla1[[#This Row],[COEFICIENTE]]</f>
        <v>1</v>
      </c>
      <c r="R225" s="534">
        <f>Tabla1[[#This Row],[Precio Caja2]]</f>
        <v>1631.8181818181818</v>
      </c>
      <c r="S225" s="536">
        <f>Tabla1[[#This Row],[VALOR GANADO]]</f>
        <v>27680</v>
      </c>
      <c r="T225" s="537">
        <f>Tabla1[[#This Row],[VALOR  A PAGAR]]</f>
        <v>30000</v>
      </c>
      <c r="U225" s="41">
        <f>Tabla1[[#This Row],[Columna1]]</f>
        <v>2320</v>
      </c>
    </row>
    <row r="226" spans="2:21" ht="15.75" x14ac:dyDescent="0.25">
      <c r="B226" s="29">
        <f>Tabla1[[#This Row],[FECHA]]</f>
        <v>44635</v>
      </c>
      <c r="C226" s="26">
        <f>_xlfn.ISOWEEKNUM('CAJAS ELABORADAS'!$C226)</f>
        <v>11</v>
      </c>
      <c r="D226" s="27" t="str">
        <f>Tabla1[[#This Row],[FINCA]]</f>
        <v>SAN PEDRO</v>
      </c>
      <c r="E226" s="531">
        <f>Tabla1[[#This Row],[Cajas Elaboradas]]</f>
        <v>200</v>
      </c>
      <c r="F226" s="26">
        <f>Tabla1[[#This Row],[Bolsas Elaboradas]]</f>
        <v>44.19</v>
      </c>
      <c r="G226" s="26">
        <f>Tabla1[[#This Row],[N° DE PERSONAS EN EL EMBARQUE]]</f>
        <v>9</v>
      </c>
      <c r="H226" s="532">
        <f>Tabla1[[#This Row],[Rasimos Cosechados]]</f>
        <v>0</v>
      </c>
      <c r="I226" s="532">
        <f>Tabla1[[#This Row],[Rasimos Prosesados]]</f>
        <v>0</v>
      </c>
      <c r="J226" s="532">
        <f>Tabla1[[#This Row],[Rasimos Rechasados]]</f>
        <v>0</v>
      </c>
      <c r="K226" s="533">
        <f>Tabla1[[#This Row],[PRECIO CAJA]]</f>
        <v>1500</v>
      </c>
      <c r="L226" s="534">
        <f>Tabla1[[#This Row],[PRECIO BOLSA]]</f>
        <v>500</v>
      </c>
      <c r="M226" s="533">
        <f>Tabla1[[#This Row],[PRODUCIDO CAJA]]</f>
        <v>300000</v>
      </c>
      <c r="N226" s="534">
        <f>Tabla1[[#This Row],[PRODUCIDO BOLSAS]]</f>
        <v>22095</v>
      </c>
      <c r="O226" s="533">
        <f>Tabla1[[#This Row],[TOTAL PRODUCIDO]]</f>
        <v>322095</v>
      </c>
      <c r="P226" s="534">
        <f>Tabla1[[#This Row],[Valor Pagado]]</f>
        <v>322095</v>
      </c>
      <c r="Q226" s="535">
        <f>Tabla1[[#This Row],[COEFICIENTE]]</f>
        <v>1.1929444444444446</v>
      </c>
      <c r="R226" s="534">
        <f>Tabla1[[#This Row],[Precio Caja2]]</f>
        <v>1500</v>
      </c>
      <c r="S226" s="536">
        <f>Tabla1[[#This Row],[VALOR GANADO]]</f>
        <v>35788.333333333336</v>
      </c>
      <c r="T226" s="537">
        <f>Tabla1[[#This Row],[VALOR  A PAGAR]]</f>
        <v>35788.333333333336</v>
      </c>
      <c r="U226" s="41">
        <f>Tabla1[[#This Row],[Columna1]]</f>
        <v>0</v>
      </c>
    </row>
    <row r="227" spans="2:21" ht="15.75" x14ac:dyDescent="0.25">
      <c r="B227" s="29">
        <f>Tabla1[[#This Row],[FECHA]]</f>
        <v>44635</v>
      </c>
      <c r="C227" s="26">
        <f>_xlfn.ISOWEEKNUM('CAJAS ELABORADAS'!$C227)</f>
        <v>11</v>
      </c>
      <c r="D227" s="27" t="str">
        <f>Tabla1[[#This Row],[FINCA]]</f>
        <v>DAMAQUIEL</v>
      </c>
      <c r="E227" s="531">
        <f>Tabla1[[#This Row],[Cajas Elaboradas]]</f>
        <v>101</v>
      </c>
      <c r="F227" s="26">
        <f>Tabla1[[#This Row],[Bolsas Elaboradas]]</f>
        <v>35.699999999999996</v>
      </c>
      <c r="G227" s="26">
        <f>Tabla1[[#This Row],[N° DE PERSONAS EN EL EMBARQUE]]</f>
        <v>7</v>
      </c>
      <c r="H227" s="532">
        <f>Tabla1[[#This Row],[Rasimos Cosechados]]</f>
        <v>564</v>
      </c>
      <c r="I227" s="532">
        <f>Tabla1[[#This Row],[Rasimos Prosesados]]</f>
        <v>500</v>
      </c>
      <c r="J227" s="532">
        <f>Tabla1[[#This Row],[Rasimos Rechasados]]</f>
        <v>64</v>
      </c>
      <c r="K227" s="533">
        <f>Tabla1[[#This Row],[PRECIO CAJA]]</f>
        <v>1500</v>
      </c>
      <c r="L227" s="534">
        <f>Tabla1[[#This Row],[PRECIO BOLSA]]</f>
        <v>500</v>
      </c>
      <c r="M227" s="533">
        <f>Tabla1[[#This Row],[PRODUCIDO CAJA]]</f>
        <v>151500</v>
      </c>
      <c r="N227" s="534">
        <f>Tabla1[[#This Row],[PRODUCIDO BOLSAS]]</f>
        <v>17849.999999999996</v>
      </c>
      <c r="O227" s="533">
        <f>Tabla1[[#This Row],[TOTAL PRODUCIDO]]</f>
        <v>169350</v>
      </c>
      <c r="P227" s="534">
        <f>Tabla1[[#This Row],[Valor Pagado]]</f>
        <v>210000</v>
      </c>
      <c r="Q227" s="535">
        <f>Tabla1[[#This Row],[COEFICIENTE]]</f>
        <v>1</v>
      </c>
      <c r="R227" s="534">
        <f>Tabla1[[#This Row],[Precio Caja2]]</f>
        <v>1902.4752475247524</v>
      </c>
      <c r="S227" s="536">
        <f>Tabla1[[#This Row],[VALOR GANADO]]</f>
        <v>24192.857142857141</v>
      </c>
      <c r="T227" s="537">
        <f>Tabla1[[#This Row],[VALOR  A PAGAR]]</f>
        <v>30000</v>
      </c>
      <c r="U227" s="41">
        <f>Tabla1[[#This Row],[Columna1]]</f>
        <v>5807.1428571428587</v>
      </c>
    </row>
    <row r="228" spans="2:21" ht="15.75" x14ac:dyDescent="0.25">
      <c r="B228" s="29">
        <f>Tabla1[[#This Row],[FECHA]]</f>
        <v>44636</v>
      </c>
      <c r="C228" s="26">
        <f>_xlfn.ISOWEEKNUM('CAJAS ELABORADAS'!$C228)</f>
        <v>11</v>
      </c>
      <c r="D228" s="27" t="str">
        <f>Tabla1[[#This Row],[FINCA]]</f>
        <v>UVEROS</v>
      </c>
      <c r="E228" s="531">
        <f>Tabla1[[#This Row],[Cajas Elaboradas]]</f>
        <v>87</v>
      </c>
      <c r="F228" s="26">
        <f>Tabla1[[#This Row],[Bolsas Elaboradas]]</f>
        <v>12.4</v>
      </c>
      <c r="G228" s="26">
        <f>Tabla1[[#This Row],[N° DE PERSONAS EN EL EMBARQUE]]</f>
        <v>4</v>
      </c>
      <c r="H228" s="532">
        <f>Tabla1[[#This Row],[Rasimos Cosechados]]</f>
        <v>312</v>
      </c>
      <c r="I228" s="532">
        <f>Tabla1[[#This Row],[Rasimos Prosesados]]</f>
        <v>305</v>
      </c>
      <c r="J228" s="532">
        <f>Tabla1[[#This Row],[Rasimos Rechasados]]</f>
        <v>7</v>
      </c>
      <c r="K228" s="533">
        <f>Tabla1[[#This Row],[PRECIO CAJA]]</f>
        <v>1500</v>
      </c>
      <c r="L228" s="534">
        <f>Tabla1[[#This Row],[PRECIO BOLSA]]</f>
        <v>500</v>
      </c>
      <c r="M228" s="533">
        <f>Tabla1[[#This Row],[PRODUCIDO CAJA]]</f>
        <v>130500</v>
      </c>
      <c r="N228" s="534">
        <f>Tabla1[[#This Row],[PRODUCIDO BOLSAS]]</f>
        <v>6200</v>
      </c>
      <c r="O228" s="533">
        <f>Tabla1[[#This Row],[TOTAL PRODUCIDO]]</f>
        <v>136700</v>
      </c>
      <c r="P228" s="534">
        <f>Tabla1[[#This Row],[Valor Pagado]]</f>
        <v>136700</v>
      </c>
      <c r="Q228" s="535">
        <f>Tabla1[[#This Row],[COEFICIENTE]]</f>
        <v>1.1391666666666667</v>
      </c>
      <c r="R228" s="534">
        <f>Tabla1[[#This Row],[Precio Caja2]]</f>
        <v>1500</v>
      </c>
      <c r="S228" s="536">
        <f>Tabla1[[#This Row],[VALOR GANADO]]</f>
        <v>34175</v>
      </c>
      <c r="T228" s="537">
        <f>Tabla1[[#This Row],[VALOR  A PAGAR]]</f>
        <v>34175</v>
      </c>
      <c r="U228" s="41">
        <f>Tabla1[[#This Row],[Columna1]]</f>
        <v>0</v>
      </c>
    </row>
    <row r="229" spans="2:21" ht="15.75" x14ac:dyDescent="0.25">
      <c r="B229" s="29">
        <f>Tabla1[[#This Row],[FECHA]]</f>
        <v>44636</v>
      </c>
      <c r="C229" s="26">
        <f>_xlfn.ISOWEEKNUM('CAJAS ELABORADAS'!$C229)</f>
        <v>11</v>
      </c>
      <c r="D229" s="27" t="str">
        <f>Tabla1[[#This Row],[FINCA]]</f>
        <v>SAN PEDRO</v>
      </c>
      <c r="E229" s="531">
        <f>Tabla1[[#This Row],[Cajas Elaboradas]]</f>
        <v>164</v>
      </c>
      <c r="F229" s="26">
        <f>Tabla1[[#This Row],[Bolsas Elaboradas]]</f>
        <v>73.08</v>
      </c>
      <c r="G229" s="26">
        <f>Tabla1[[#This Row],[N° DE PERSONAS EN EL EMBARQUE]]</f>
        <v>9</v>
      </c>
      <c r="H229" s="532">
        <f>Tabla1[[#This Row],[Rasimos Cosechados]]</f>
        <v>0</v>
      </c>
      <c r="I229" s="532">
        <f>Tabla1[[#This Row],[Rasimos Prosesados]]</f>
        <v>0</v>
      </c>
      <c r="J229" s="532">
        <f>Tabla1[[#This Row],[Rasimos Rechasados]]</f>
        <v>0</v>
      </c>
      <c r="K229" s="533">
        <f>Tabla1[[#This Row],[PRECIO CAJA]]</f>
        <v>1500</v>
      </c>
      <c r="L229" s="534">
        <f>Tabla1[[#This Row],[PRECIO BOLSA]]</f>
        <v>500</v>
      </c>
      <c r="M229" s="533">
        <f>Tabla1[[#This Row],[PRODUCIDO CAJA]]</f>
        <v>246000</v>
      </c>
      <c r="N229" s="534">
        <f>Tabla1[[#This Row],[PRODUCIDO BOLSAS]]</f>
        <v>36540</v>
      </c>
      <c r="O229" s="533">
        <f>Tabla1[[#This Row],[TOTAL PRODUCIDO]]</f>
        <v>282540</v>
      </c>
      <c r="P229" s="534">
        <f>Tabla1[[#This Row],[Valor Pagado]]</f>
        <v>282540</v>
      </c>
      <c r="Q229" s="535">
        <f>Tabla1[[#This Row],[COEFICIENTE]]</f>
        <v>1.0464444444444445</v>
      </c>
      <c r="R229" s="534">
        <f>Tabla1[[#This Row],[Precio Caja2]]</f>
        <v>1500</v>
      </c>
      <c r="S229" s="536">
        <f>Tabla1[[#This Row],[VALOR GANADO]]</f>
        <v>31393.333333333332</v>
      </c>
      <c r="T229" s="537">
        <f>Tabla1[[#This Row],[VALOR  A PAGAR]]</f>
        <v>31393.333333333332</v>
      </c>
      <c r="U229" s="41">
        <f>Tabla1[[#This Row],[Columna1]]</f>
        <v>0</v>
      </c>
    </row>
    <row r="230" spans="2:21" ht="15.75" x14ac:dyDescent="0.25">
      <c r="B230" s="29">
        <f>Tabla1[[#This Row],[FECHA]]</f>
        <v>44637</v>
      </c>
      <c r="C230" s="26">
        <f>_xlfn.ISOWEEKNUM('CAJAS ELABORADAS'!$C230)</f>
        <v>11</v>
      </c>
      <c r="D230" s="27" t="str">
        <f>Tabla1[[#This Row],[FINCA]]</f>
        <v>PEDRITO</v>
      </c>
      <c r="E230" s="531">
        <f>Tabla1[[#This Row],[Cajas Elaboradas]]</f>
        <v>200</v>
      </c>
      <c r="F230" s="26">
        <f>Tabla1[[#This Row],[Bolsas Elaboradas]]</f>
        <v>14</v>
      </c>
      <c r="G230" s="26">
        <f>Tabla1[[#This Row],[N° DE PERSONAS EN EL EMBARQUE]]</f>
        <v>13</v>
      </c>
      <c r="H230" s="532">
        <f>Tabla1[[#This Row],[Rasimos Cosechados]]</f>
        <v>0</v>
      </c>
      <c r="I230" s="532">
        <f>Tabla1[[#This Row],[Rasimos Prosesados]]</f>
        <v>0</v>
      </c>
      <c r="J230" s="532">
        <f>Tabla1[[#This Row],[Rasimos Rechasados]]</f>
        <v>0</v>
      </c>
      <c r="K230" s="533">
        <f>Tabla1[[#This Row],[PRECIO CAJA]]</f>
        <v>2100</v>
      </c>
      <c r="L230" s="534">
        <f>Tabla1[[#This Row],[PRECIO BOLSA]]</f>
        <v>500</v>
      </c>
      <c r="M230" s="533">
        <f>Tabla1[[#This Row],[PRODUCIDO CAJA]]</f>
        <v>420000</v>
      </c>
      <c r="N230" s="534">
        <f>Tabla1[[#This Row],[PRODUCIDO BOLSAS]]</f>
        <v>7000</v>
      </c>
      <c r="O230" s="533">
        <f>Tabla1[[#This Row],[TOTAL PRODUCIDO]]</f>
        <v>427000</v>
      </c>
      <c r="P230" s="534">
        <f>Tabla1[[#This Row],[Valor Pagado]]</f>
        <v>427000</v>
      </c>
      <c r="Q230" s="535">
        <f>Tabla1[[#This Row],[COEFICIENTE]]</f>
        <v>1.0948717948717948</v>
      </c>
      <c r="R230" s="534">
        <f>Tabla1[[#This Row],[Precio Caja2]]</f>
        <v>2100</v>
      </c>
      <c r="S230" s="536">
        <f>Tabla1[[#This Row],[VALOR GANADO]]</f>
        <v>32846.153846153844</v>
      </c>
      <c r="T230" s="537">
        <f>Tabla1[[#This Row],[VALOR  A PAGAR]]</f>
        <v>32846.153846153844</v>
      </c>
      <c r="U230" s="41">
        <f>Tabla1[[#This Row],[Columna1]]</f>
        <v>0</v>
      </c>
    </row>
    <row r="231" spans="2:21" ht="15.75" x14ac:dyDescent="0.25">
      <c r="B231" s="29">
        <f>Tabla1[[#This Row],[FECHA]]</f>
        <v>44642</v>
      </c>
      <c r="C231" s="26">
        <f>_xlfn.ISOWEEKNUM('CAJAS ELABORADAS'!$C231)</f>
        <v>12</v>
      </c>
      <c r="D231" s="27" t="str">
        <f>Tabla1[[#This Row],[FINCA]]</f>
        <v>PEDRITO</v>
      </c>
      <c r="E231" s="531">
        <f>Tabla1[[#This Row],[Cajas Elaboradas]]</f>
        <v>179.95999999999998</v>
      </c>
      <c r="F231" s="26">
        <f>Tabla1[[#This Row],[Bolsas Elaboradas]]</f>
        <v>54.34</v>
      </c>
      <c r="G231" s="26">
        <f>Tabla1[[#This Row],[N° DE PERSONAS EN EL EMBARQUE]]</f>
        <v>11</v>
      </c>
      <c r="H231" s="532">
        <f>Tabla1[[#This Row],[Rasimos Cosechados]]</f>
        <v>0</v>
      </c>
      <c r="I231" s="532">
        <f>Tabla1[[#This Row],[Rasimos Prosesados]]</f>
        <v>0</v>
      </c>
      <c r="J231" s="532">
        <f>Tabla1[[#This Row],[Rasimos Rechasados]]</f>
        <v>0</v>
      </c>
      <c r="K231" s="533">
        <f>Tabla1[[#This Row],[PRECIO CAJA]]</f>
        <v>2100</v>
      </c>
      <c r="L231" s="534">
        <f>Tabla1[[#This Row],[PRECIO BOLSA]]</f>
        <v>500</v>
      </c>
      <c r="M231" s="533">
        <f>Tabla1[[#This Row],[PRODUCIDO CAJA]]</f>
        <v>377915.99999999994</v>
      </c>
      <c r="N231" s="534">
        <f>Tabla1[[#This Row],[PRODUCIDO BOLSAS]]</f>
        <v>27170</v>
      </c>
      <c r="O231" s="533">
        <f>Tabla1[[#This Row],[TOTAL PRODUCIDO]]</f>
        <v>405085.99999999994</v>
      </c>
      <c r="P231" s="534">
        <f>Tabla1[[#This Row],[Valor Pagado]]</f>
        <v>405085.99999999994</v>
      </c>
      <c r="Q231" s="535">
        <f>Tabla1[[#This Row],[COEFICIENTE]]</f>
        <v>1.2275333333333331</v>
      </c>
      <c r="R231" s="534">
        <f>Tabla1[[#This Row],[Precio Caja2]]</f>
        <v>2100</v>
      </c>
      <c r="S231" s="536">
        <f>Tabla1[[#This Row],[VALOR GANADO]]</f>
        <v>36825.999999999993</v>
      </c>
      <c r="T231" s="537">
        <f>Tabla1[[#This Row],[VALOR  A PAGAR]]</f>
        <v>36825.999999999993</v>
      </c>
      <c r="U231" s="41">
        <f>Tabla1[[#This Row],[Columna1]]</f>
        <v>0</v>
      </c>
    </row>
    <row r="232" spans="2:21" ht="15.75" x14ac:dyDescent="0.25">
      <c r="B232" s="29">
        <f>Tabla1[[#This Row],[FECHA]]</f>
        <v>44642</v>
      </c>
      <c r="C232" s="26">
        <f>_xlfn.ISOWEEKNUM('CAJAS ELABORADAS'!$C232)</f>
        <v>12</v>
      </c>
      <c r="D232" s="27" t="str">
        <f>Tabla1[[#This Row],[FINCA]]</f>
        <v>DAMAQUIEL</v>
      </c>
      <c r="E232" s="531">
        <f>Tabla1[[#This Row],[Cajas Elaboradas]]</f>
        <v>119</v>
      </c>
      <c r="F232" s="26">
        <f>Tabla1[[#This Row],[Bolsas Elaboradas]]</f>
        <v>28.799999999999997</v>
      </c>
      <c r="G232" s="26">
        <f>Tabla1[[#This Row],[N° DE PERSONAS EN EL EMBARQUE]]</f>
        <v>6</v>
      </c>
      <c r="H232" s="532">
        <f>Tabla1[[#This Row],[Rasimos Cosechados]]</f>
        <v>0</v>
      </c>
      <c r="I232" s="532">
        <f>Tabla1[[#This Row],[Rasimos Prosesados]]</f>
        <v>0</v>
      </c>
      <c r="J232" s="532">
        <f>Tabla1[[#This Row],[Rasimos Rechasados]]</f>
        <v>0</v>
      </c>
      <c r="K232" s="533">
        <f>Tabla1[[#This Row],[PRECIO CAJA]]</f>
        <v>1500</v>
      </c>
      <c r="L232" s="534">
        <f>Tabla1[[#This Row],[PRECIO BOLSA]]</f>
        <v>500</v>
      </c>
      <c r="M232" s="533">
        <f>Tabla1[[#This Row],[PRODUCIDO CAJA]]</f>
        <v>178500</v>
      </c>
      <c r="N232" s="534">
        <f>Tabla1[[#This Row],[PRODUCIDO BOLSAS]]</f>
        <v>14399.999999999998</v>
      </c>
      <c r="O232" s="533">
        <f>Tabla1[[#This Row],[TOTAL PRODUCIDO]]</f>
        <v>192900</v>
      </c>
      <c r="P232" s="534">
        <f>Tabla1[[#This Row],[Valor Pagado]]</f>
        <v>192900</v>
      </c>
      <c r="Q232" s="535">
        <f>Tabla1[[#This Row],[COEFICIENTE]]</f>
        <v>1.0716666666666668</v>
      </c>
      <c r="R232" s="534">
        <f>Tabla1[[#This Row],[Precio Caja2]]</f>
        <v>1500</v>
      </c>
      <c r="S232" s="536">
        <f>Tabla1[[#This Row],[VALOR GANADO]]</f>
        <v>32150</v>
      </c>
      <c r="T232" s="537">
        <f>Tabla1[[#This Row],[VALOR  A PAGAR]]</f>
        <v>32150</v>
      </c>
      <c r="U232" s="41">
        <f>Tabla1[[#This Row],[Columna1]]</f>
        <v>0</v>
      </c>
    </row>
    <row r="233" spans="2:21" ht="15.75" x14ac:dyDescent="0.25">
      <c r="B233" s="29">
        <f>Tabla1[[#This Row],[FECHA]]</f>
        <v>44643</v>
      </c>
      <c r="C233" s="26">
        <f>_xlfn.ISOWEEKNUM('CAJAS ELABORADAS'!$C233)</f>
        <v>12</v>
      </c>
      <c r="D233" s="27" t="str">
        <f>Tabla1[[#This Row],[FINCA]]</f>
        <v>SAN PEDRO</v>
      </c>
      <c r="E233" s="531">
        <f>Tabla1[[#This Row],[Cajas Elaboradas]]</f>
        <v>384</v>
      </c>
      <c r="F233" s="26">
        <f>Tabla1[[#This Row],[Bolsas Elaboradas]]</f>
        <v>0</v>
      </c>
      <c r="G233" s="26">
        <f>Tabla1[[#This Row],[N° DE PERSONAS EN EL EMBARQUE]]</f>
        <v>18</v>
      </c>
      <c r="H233" s="532">
        <f>Tabla1[[#This Row],[Rasimos Cosechados]]</f>
        <v>0</v>
      </c>
      <c r="I233" s="532">
        <f>Tabla1[[#This Row],[Rasimos Prosesados]]</f>
        <v>0</v>
      </c>
      <c r="J233" s="532">
        <f>Tabla1[[#This Row],[Rasimos Rechasados]]</f>
        <v>0</v>
      </c>
      <c r="K233" s="533">
        <f>Tabla1[[#This Row],[PRECIO CAJA]]</f>
        <v>1500</v>
      </c>
      <c r="L233" s="534">
        <f>Tabla1[[#This Row],[PRECIO BOLSA]]</f>
        <v>0</v>
      </c>
      <c r="M233" s="533">
        <f>Tabla1[[#This Row],[PRODUCIDO CAJA]]</f>
        <v>576000</v>
      </c>
      <c r="N233" s="534">
        <f>Tabla1[[#This Row],[PRODUCIDO BOLSAS]]</f>
        <v>0</v>
      </c>
      <c r="O233" s="533">
        <f>Tabla1[[#This Row],[TOTAL PRODUCIDO]]</f>
        <v>576000</v>
      </c>
      <c r="P233" s="534">
        <f>Tabla1[[#This Row],[Valor Pagado]]</f>
        <v>576000</v>
      </c>
      <c r="Q233" s="535">
        <f>Tabla1[[#This Row],[COEFICIENTE]]</f>
        <v>1.0666666666666667</v>
      </c>
      <c r="R233" s="534">
        <f>Tabla1[[#This Row],[Precio Caja2]]</f>
        <v>1500</v>
      </c>
      <c r="S233" s="536">
        <f>Tabla1[[#This Row],[VALOR GANADO]]</f>
        <v>32000</v>
      </c>
      <c r="T233" s="537">
        <f>Tabla1[[#This Row],[VALOR  A PAGAR]]</f>
        <v>32000</v>
      </c>
      <c r="U233" s="41">
        <f>Tabla1[[#This Row],[Columna1]]</f>
        <v>0</v>
      </c>
    </row>
    <row r="234" spans="2:21" ht="15.75" x14ac:dyDescent="0.25">
      <c r="B234" s="29">
        <f>Tabla1[[#This Row],[FECHA]]</f>
        <v>44643</v>
      </c>
      <c r="C234" s="26">
        <f>_xlfn.ISOWEEKNUM('CAJAS ELABORADAS'!$C234)</f>
        <v>12</v>
      </c>
      <c r="D234" s="27" t="str">
        <f>Tabla1[[#This Row],[FINCA]]</f>
        <v>UVEROS</v>
      </c>
      <c r="E234" s="531">
        <f>Tabla1[[#This Row],[Cajas Elaboradas]]</f>
        <v>123</v>
      </c>
      <c r="F234" s="26">
        <f>Tabla1[[#This Row],[Bolsas Elaboradas]]</f>
        <v>35.699999999999996</v>
      </c>
      <c r="G234" s="26">
        <f>Tabla1[[#This Row],[N° DE PERSONAS EN EL EMBARQUE]]</f>
        <v>7</v>
      </c>
      <c r="H234" s="532">
        <f>Tabla1[[#This Row],[Rasimos Cosechados]]</f>
        <v>0</v>
      </c>
      <c r="I234" s="532">
        <f>Tabla1[[#This Row],[Rasimos Prosesados]]</f>
        <v>0</v>
      </c>
      <c r="J234" s="532">
        <f>Tabla1[[#This Row],[Rasimos Rechasados]]</f>
        <v>0</v>
      </c>
      <c r="K234" s="533">
        <f>Tabla1[[#This Row],[PRECIO CAJA]]</f>
        <v>1500</v>
      </c>
      <c r="L234" s="534">
        <f>Tabla1[[#This Row],[PRECIO BOLSA]]</f>
        <v>500</v>
      </c>
      <c r="M234" s="533">
        <f>Tabla1[[#This Row],[PRODUCIDO CAJA]]</f>
        <v>184500</v>
      </c>
      <c r="N234" s="534">
        <f>Tabla1[[#This Row],[PRODUCIDO BOLSAS]]</f>
        <v>17849.999999999996</v>
      </c>
      <c r="O234" s="533">
        <f>Tabla1[[#This Row],[TOTAL PRODUCIDO]]</f>
        <v>202350</v>
      </c>
      <c r="P234" s="534">
        <f>Tabla1[[#This Row],[Valor Pagado]]</f>
        <v>210000</v>
      </c>
      <c r="Q234" s="535">
        <f>Tabla1[[#This Row],[COEFICIENTE]]</f>
        <v>1</v>
      </c>
      <c r="R234" s="534">
        <f>Tabla1[[#This Row],[Precio Caja2]]</f>
        <v>1562.1951219512196</v>
      </c>
      <c r="S234" s="536">
        <f>Tabla1[[#This Row],[VALOR GANADO]]</f>
        <v>28907.142857142859</v>
      </c>
      <c r="T234" s="537">
        <f>Tabla1[[#This Row],[VALOR  A PAGAR]]</f>
        <v>30000</v>
      </c>
      <c r="U234" s="41">
        <f>Tabla1[[#This Row],[Columna1]]</f>
        <v>1092.8571428571413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80AB-34DB-40B6-AFB3-4479BDBB1C74}">
  <sheetPr>
    <pageSetUpPr fitToPage="1"/>
  </sheetPr>
  <dimension ref="B2:I381"/>
  <sheetViews>
    <sheetView topLeftCell="A344" workbookViewId="0">
      <selection activeCell="B5" sqref="B5:I99"/>
    </sheetView>
  </sheetViews>
  <sheetFormatPr baseColWidth="10" defaultRowHeight="15" x14ac:dyDescent="0.25"/>
  <cols>
    <col min="2" max="2" width="30" customWidth="1"/>
    <col min="5" max="5" width="15.7109375" customWidth="1"/>
    <col min="6" max="6" width="12.5703125" customWidth="1"/>
    <col min="7" max="7" width="13" customWidth="1"/>
  </cols>
  <sheetData>
    <row r="2" spans="2:9" ht="15.75" thickBot="1" x14ac:dyDescent="0.3"/>
    <row r="3" spans="2:9" ht="15.75" thickBot="1" x14ac:dyDescent="0.3">
      <c r="B3" s="343" t="s">
        <v>6</v>
      </c>
      <c r="C3" s="344" t="s">
        <v>86</v>
      </c>
      <c r="D3" s="345" t="s">
        <v>214</v>
      </c>
      <c r="E3" s="346" t="s">
        <v>8</v>
      </c>
      <c r="F3" s="347" t="s">
        <v>9</v>
      </c>
      <c r="G3" s="345" t="s">
        <v>10</v>
      </c>
      <c r="H3" s="261" t="s">
        <v>138</v>
      </c>
      <c r="I3" s="261" t="s">
        <v>139</v>
      </c>
    </row>
    <row r="4" spans="2:9" x14ac:dyDescent="0.25">
      <c r="B4" s="348">
        <v>44468</v>
      </c>
      <c r="C4" s="349">
        <v>39</v>
      </c>
      <c r="D4" s="350" t="s">
        <v>155</v>
      </c>
      <c r="E4" s="351" t="s">
        <v>28</v>
      </c>
      <c r="F4" s="374">
        <v>100</v>
      </c>
      <c r="G4" s="271">
        <v>86</v>
      </c>
      <c r="H4" s="271"/>
      <c r="I4" s="271"/>
    </row>
    <row r="5" spans="2:9" x14ac:dyDescent="0.25">
      <c r="B5" s="348">
        <v>44475</v>
      </c>
      <c r="C5" s="349">
        <v>40</v>
      </c>
      <c r="D5" s="350" t="s">
        <v>155</v>
      </c>
      <c r="E5" s="351" t="s">
        <v>28</v>
      </c>
      <c r="F5" s="374">
        <v>150</v>
      </c>
      <c r="G5" s="271">
        <v>90</v>
      </c>
      <c r="H5" s="271"/>
      <c r="I5" s="271"/>
    </row>
    <row r="6" spans="2:9" x14ac:dyDescent="0.25">
      <c r="B6" s="348">
        <v>44482</v>
      </c>
      <c r="C6" s="349">
        <v>41</v>
      </c>
      <c r="D6" s="350" t="s">
        <v>155</v>
      </c>
      <c r="E6" s="351" t="s">
        <v>28</v>
      </c>
      <c r="F6" s="374">
        <v>89</v>
      </c>
      <c r="G6" s="271">
        <v>64</v>
      </c>
      <c r="H6" s="271"/>
      <c r="I6" s="271"/>
    </row>
    <row r="7" spans="2:9" x14ac:dyDescent="0.25">
      <c r="B7" s="348">
        <v>44489</v>
      </c>
      <c r="C7" s="349">
        <v>42</v>
      </c>
      <c r="D7" s="350" t="s">
        <v>155</v>
      </c>
      <c r="E7" s="351" t="s">
        <v>28</v>
      </c>
      <c r="F7" s="374">
        <v>62</v>
      </c>
      <c r="G7" s="271">
        <v>108</v>
      </c>
      <c r="H7" s="271"/>
      <c r="I7" s="271"/>
    </row>
    <row r="8" spans="2:9" x14ac:dyDescent="0.25">
      <c r="B8" s="348">
        <v>44496</v>
      </c>
      <c r="C8" s="349">
        <v>43</v>
      </c>
      <c r="D8" s="350" t="s">
        <v>155</v>
      </c>
      <c r="E8" s="351" t="s">
        <v>28</v>
      </c>
      <c r="F8" s="374">
        <v>165</v>
      </c>
      <c r="G8" s="271">
        <v>75</v>
      </c>
      <c r="H8" s="271"/>
      <c r="I8" s="271"/>
    </row>
    <row r="9" spans="2:9" x14ac:dyDescent="0.25">
      <c r="B9" s="348">
        <v>44510</v>
      </c>
      <c r="C9" s="349">
        <v>45</v>
      </c>
      <c r="D9" s="350" t="s">
        <v>155</v>
      </c>
      <c r="E9" s="351" t="s">
        <v>28</v>
      </c>
      <c r="F9" s="374">
        <v>196</v>
      </c>
      <c r="G9" s="271">
        <v>57.6</v>
      </c>
      <c r="H9" s="271"/>
      <c r="I9" s="271"/>
    </row>
    <row r="10" spans="2:9" x14ac:dyDescent="0.25">
      <c r="B10" s="348">
        <v>44517</v>
      </c>
      <c r="C10" s="349">
        <v>46</v>
      </c>
      <c r="D10" s="350" t="s">
        <v>155</v>
      </c>
      <c r="E10" s="351" t="s">
        <v>28</v>
      </c>
      <c r="F10" s="374">
        <v>148.96</v>
      </c>
      <c r="G10" s="271">
        <v>43.2</v>
      </c>
      <c r="H10" s="271"/>
      <c r="I10" s="271"/>
    </row>
    <row r="11" spans="2:9" x14ac:dyDescent="0.25">
      <c r="B11" s="348">
        <v>44531</v>
      </c>
      <c r="C11" s="349">
        <v>48</v>
      </c>
      <c r="D11" s="350" t="s">
        <v>155</v>
      </c>
      <c r="E11" s="351" t="s">
        <v>28</v>
      </c>
      <c r="F11" s="374">
        <v>121</v>
      </c>
      <c r="G11" s="271">
        <v>39.6</v>
      </c>
      <c r="H11" s="271"/>
      <c r="I11" s="271"/>
    </row>
    <row r="12" spans="2:9" x14ac:dyDescent="0.25">
      <c r="B12" s="348">
        <v>44538</v>
      </c>
      <c r="C12" s="349">
        <v>49</v>
      </c>
      <c r="D12" s="350" t="s">
        <v>155</v>
      </c>
      <c r="E12" s="351" t="s">
        <v>28</v>
      </c>
      <c r="F12" s="374">
        <v>71</v>
      </c>
      <c r="G12" s="271">
        <v>6.4</v>
      </c>
      <c r="H12" s="271"/>
      <c r="I12" s="271"/>
    </row>
    <row r="13" spans="2:9" x14ac:dyDescent="0.25">
      <c r="B13" s="348">
        <v>44545</v>
      </c>
      <c r="C13" s="349">
        <v>50</v>
      </c>
      <c r="D13" s="350" t="s">
        <v>155</v>
      </c>
      <c r="E13" s="351" t="s">
        <v>28</v>
      </c>
      <c r="F13" s="374">
        <v>51</v>
      </c>
      <c r="G13" s="271">
        <v>9</v>
      </c>
      <c r="H13" s="271"/>
      <c r="I13" s="271"/>
    </row>
    <row r="14" spans="2:9" x14ac:dyDescent="0.25">
      <c r="B14" s="348">
        <v>44559</v>
      </c>
      <c r="C14" s="349">
        <v>52</v>
      </c>
      <c r="D14" s="350" t="s">
        <v>155</v>
      </c>
      <c r="E14" s="351" t="s">
        <v>28</v>
      </c>
      <c r="F14" s="374">
        <v>120</v>
      </c>
      <c r="G14" s="271">
        <v>36</v>
      </c>
      <c r="H14" s="271"/>
      <c r="I14" s="271"/>
    </row>
    <row r="15" spans="2:9" x14ac:dyDescent="0.25">
      <c r="B15" s="348">
        <v>44566</v>
      </c>
      <c r="C15" s="349">
        <v>1</v>
      </c>
      <c r="D15" s="350" t="s">
        <v>155</v>
      </c>
      <c r="E15" s="351" t="s">
        <v>156</v>
      </c>
      <c r="F15" s="374">
        <v>100</v>
      </c>
      <c r="G15" s="271">
        <v>10.199999999999999</v>
      </c>
      <c r="H15" s="271"/>
      <c r="I15" s="271"/>
    </row>
    <row r="16" spans="2:9" x14ac:dyDescent="0.25">
      <c r="B16" s="348">
        <v>44573</v>
      </c>
      <c r="C16" s="349">
        <v>2</v>
      </c>
      <c r="D16" s="350" t="s">
        <v>155</v>
      </c>
      <c r="E16" s="351" t="s">
        <v>156</v>
      </c>
      <c r="F16" s="374">
        <v>81</v>
      </c>
      <c r="G16" s="271">
        <v>10.199999999999999</v>
      </c>
      <c r="H16" s="271"/>
      <c r="I16" s="271"/>
    </row>
    <row r="17" spans="2:9" x14ac:dyDescent="0.25">
      <c r="B17" s="348">
        <v>44579</v>
      </c>
      <c r="C17" s="349">
        <v>3</v>
      </c>
      <c r="D17" s="350" t="s">
        <v>155</v>
      </c>
      <c r="E17" s="351" t="s">
        <v>156</v>
      </c>
      <c r="F17" s="374">
        <v>162</v>
      </c>
      <c r="G17" s="271">
        <v>18</v>
      </c>
      <c r="H17" s="271"/>
      <c r="I17" s="271"/>
    </row>
    <row r="18" spans="2:9" x14ac:dyDescent="0.25">
      <c r="B18" s="348">
        <v>44587</v>
      </c>
      <c r="C18" s="349">
        <v>4</v>
      </c>
      <c r="D18" s="350" t="s">
        <v>155</v>
      </c>
      <c r="E18" s="351" t="s">
        <v>156</v>
      </c>
      <c r="F18" s="374">
        <v>120</v>
      </c>
      <c r="G18" s="271">
        <v>14.4</v>
      </c>
      <c r="H18" s="271"/>
      <c r="I18" s="271"/>
    </row>
    <row r="19" spans="2:9" x14ac:dyDescent="0.25">
      <c r="B19" s="348">
        <v>44594</v>
      </c>
      <c r="C19" s="349">
        <v>5</v>
      </c>
      <c r="D19" s="350" t="s">
        <v>155</v>
      </c>
      <c r="E19" s="351" t="s">
        <v>156</v>
      </c>
      <c r="F19" s="374">
        <v>144</v>
      </c>
      <c r="G19" s="271">
        <v>21.6</v>
      </c>
      <c r="H19" s="271"/>
      <c r="I19" s="271"/>
    </row>
    <row r="20" spans="2:9" x14ac:dyDescent="0.25">
      <c r="B20" s="348">
        <v>44601</v>
      </c>
      <c r="C20" s="349">
        <v>6</v>
      </c>
      <c r="D20" s="350" t="s">
        <v>155</v>
      </c>
      <c r="E20" s="351" t="s">
        <v>156</v>
      </c>
      <c r="F20" s="374">
        <v>156</v>
      </c>
      <c r="G20" s="271">
        <v>36</v>
      </c>
      <c r="H20" s="271"/>
      <c r="I20" s="271"/>
    </row>
    <row r="21" spans="2:9" x14ac:dyDescent="0.25">
      <c r="B21" s="348">
        <v>44608</v>
      </c>
      <c r="C21" s="349">
        <v>7</v>
      </c>
      <c r="D21" s="350" t="s">
        <v>155</v>
      </c>
      <c r="E21" s="351" t="s">
        <v>156</v>
      </c>
      <c r="F21" s="374">
        <v>168</v>
      </c>
      <c r="G21" s="271">
        <v>57.8</v>
      </c>
      <c r="H21" s="271"/>
      <c r="I21" s="271"/>
    </row>
    <row r="22" spans="2:9" x14ac:dyDescent="0.25">
      <c r="B22" s="348">
        <v>44609</v>
      </c>
      <c r="C22" s="349">
        <v>7</v>
      </c>
      <c r="D22" s="350" t="s">
        <v>155</v>
      </c>
      <c r="E22" s="351" t="s">
        <v>156</v>
      </c>
      <c r="F22" s="374">
        <v>55</v>
      </c>
      <c r="G22" s="271">
        <v>18.399999999999999</v>
      </c>
      <c r="H22" s="271"/>
      <c r="I22" s="271"/>
    </row>
    <row r="23" spans="2:9" x14ac:dyDescent="0.25">
      <c r="B23" s="348">
        <v>44614</v>
      </c>
      <c r="C23" s="349">
        <v>8</v>
      </c>
      <c r="D23" s="350" t="s">
        <v>155</v>
      </c>
      <c r="E23" s="351" t="s">
        <v>156</v>
      </c>
      <c r="F23" s="374">
        <v>81</v>
      </c>
      <c r="G23" s="271">
        <v>32.400000000000006</v>
      </c>
      <c r="H23" s="271"/>
      <c r="I23" s="271"/>
    </row>
    <row r="24" spans="2:9" x14ac:dyDescent="0.25">
      <c r="B24" s="348">
        <v>44621</v>
      </c>
      <c r="C24" s="349">
        <v>9</v>
      </c>
      <c r="D24" s="350" t="s">
        <v>155</v>
      </c>
      <c r="E24" s="351" t="s">
        <v>156</v>
      </c>
      <c r="F24" s="374">
        <v>136.5</v>
      </c>
      <c r="G24" s="271">
        <v>35.979999999999997</v>
      </c>
      <c r="H24" s="271"/>
      <c r="I24" s="271"/>
    </row>
    <row r="25" spans="2:9" x14ac:dyDescent="0.25">
      <c r="B25" s="348">
        <v>44623</v>
      </c>
      <c r="C25" s="349">
        <v>9</v>
      </c>
      <c r="D25" s="350" t="s">
        <v>155</v>
      </c>
      <c r="E25" s="351" t="s">
        <v>156</v>
      </c>
      <c r="F25" s="374">
        <v>41</v>
      </c>
      <c r="G25" s="271"/>
      <c r="H25" s="271"/>
      <c r="I25" s="271">
        <v>3</v>
      </c>
    </row>
    <row r="26" spans="2:9" x14ac:dyDescent="0.25">
      <c r="B26" s="348">
        <v>44628</v>
      </c>
      <c r="C26" s="349">
        <v>10</v>
      </c>
      <c r="D26" s="350" t="s">
        <v>155</v>
      </c>
      <c r="E26" s="351" t="s">
        <v>156</v>
      </c>
      <c r="F26" s="374">
        <v>117</v>
      </c>
      <c r="G26" s="271">
        <v>32.199999999999996</v>
      </c>
      <c r="H26" s="271"/>
      <c r="I26" s="271"/>
    </row>
    <row r="27" spans="2:9" x14ac:dyDescent="0.25">
      <c r="B27" s="348">
        <v>44635</v>
      </c>
      <c r="C27" s="349">
        <v>11</v>
      </c>
      <c r="D27" s="350" t="s">
        <v>155</v>
      </c>
      <c r="E27" s="351" t="s">
        <v>156</v>
      </c>
      <c r="F27" s="374">
        <v>101</v>
      </c>
      <c r="G27" s="271">
        <v>35.699999999999996</v>
      </c>
      <c r="H27" s="271"/>
      <c r="I27" s="271"/>
    </row>
    <row r="28" spans="2:9" x14ac:dyDescent="0.25">
      <c r="B28" s="348">
        <v>44642</v>
      </c>
      <c r="C28" s="349">
        <v>12</v>
      </c>
      <c r="D28" s="350" t="s">
        <v>155</v>
      </c>
      <c r="E28" s="351" t="s">
        <v>156</v>
      </c>
      <c r="F28" s="374">
        <v>119</v>
      </c>
      <c r="G28" s="271"/>
      <c r="H28" s="271">
        <v>680</v>
      </c>
      <c r="I28" s="271"/>
    </row>
    <row r="29" spans="2:9" x14ac:dyDescent="0.25">
      <c r="B29" s="348">
        <v>44649</v>
      </c>
      <c r="C29" s="349">
        <v>13</v>
      </c>
      <c r="D29" s="350" t="s">
        <v>155</v>
      </c>
      <c r="E29" s="351" t="s">
        <v>156</v>
      </c>
      <c r="F29" s="374">
        <v>140</v>
      </c>
      <c r="G29" s="271"/>
      <c r="H29" s="271"/>
      <c r="I29" s="271">
        <v>12</v>
      </c>
    </row>
    <row r="30" spans="2:9" x14ac:dyDescent="0.25">
      <c r="B30" s="348">
        <v>44650</v>
      </c>
      <c r="C30" s="349">
        <v>13</v>
      </c>
      <c r="D30" s="350" t="s">
        <v>155</v>
      </c>
      <c r="E30" s="351" t="s">
        <v>156</v>
      </c>
      <c r="F30" s="374">
        <v>52</v>
      </c>
      <c r="G30" s="271"/>
      <c r="H30" s="271"/>
      <c r="I30" s="271">
        <v>6</v>
      </c>
    </row>
    <row r="31" spans="2:9" x14ac:dyDescent="0.25">
      <c r="B31" s="348">
        <v>44656</v>
      </c>
      <c r="C31" s="349">
        <v>14</v>
      </c>
      <c r="D31" s="350" t="s">
        <v>155</v>
      </c>
      <c r="E31" s="351" t="s">
        <v>156</v>
      </c>
      <c r="F31" s="374">
        <v>189</v>
      </c>
      <c r="G31" s="271">
        <v>54.96</v>
      </c>
      <c r="H31" s="271"/>
      <c r="I31" s="271"/>
    </row>
    <row r="32" spans="2:9" x14ac:dyDescent="0.25">
      <c r="B32" s="348">
        <v>44662</v>
      </c>
      <c r="C32" s="349">
        <v>15</v>
      </c>
      <c r="D32" s="350" t="s">
        <v>155</v>
      </c>
      <c r="E32" s="351" t="s">
        <v>156</v>
      </c>
      <c r="F32" s="374">
        <v>154</v>
      </c>
      <c r="G32" s="271"/>
      <c r="H32" s="271"/>
      <c r="I32" s="271">
        <v>12</v>
      </c>
    </row>
    <row r="33" spans="2:9" x14ac:dyDescent="0.25">
      <c r="B33" s="348">
        <v>44670</v>
      </c>
      <c r="C33" s="349">
        <v>16</v>
      </c>
      <c r="D33" s="350" t="s">
        <v>155</v>
      </c>
      <c r="E33" s="351" t="s">
        <v>156</v>
      </c>
      <c r="F33" s="374">
        <v>122</v>
      </c>
      <c r="G33" s="271">
        <v>40</v>
      </c>
      <c r="H33" s="271"/>
      <c r="I33" s="271"/>
    </row>
    <row r="34" spans="2:9" x14ac:dyDescent="0.25">
      <c r="B34" s="348">
        <v>44677</v>
      </c>
      <c r="C34" s="349">
        <v>17</v>
      </c>
      <c r="D34" s="350" t="s">
        <v>155</v>
      </c>
      <c r="E34" s="351" t="s">
        <v>156</v>
      </c>
      <c r="F34" s="374">
        <v>216</v>
      </c>
      <c r="G34" s="271">
        <v>62</v>
      </c>
      <c r="H34" s="271"/>
      <c r="I34" s="271"/>
    </row>
    <row r="35" spans="2:9" x14ac:dyDescent="0.25">
      <c r="B35" s="348">
        <v>44678</v>
      </c>
      <c r="C35" s="349">
        <v>17</v>
      </c>
      <c r="D35" s="350" t="s">
        <v>155</v>
      </c>
      <c r="E35" s="351" t="s">
        <v>156</v>
      </c>
      <c r="F35" s="374">
        <v>78</v>
      </c>
      <c r="G35" s="271">
        <v>20</v>
      </c>
      <c r="H35" s="271"/>
      <c r="I35" s="271"/>
    </row>
    <row r="36" spans="2:9" x14ac:dyDescent="0.25">
      <c r="B36" s="348">
        <v>44684</v>
      </c>
      <c r="C36" s="349">
        <v>18</v>
      </c>
      <c r="D36" s="350" t="s">
        <v>155</v>
      </c>
      <c r="E36" s="351" t="s">
        <v>156</v>
      </c>
      <c r="F36" s="374">
        <v>225</v>
      </c>
      <c r="G36" s="271">
        <v>46</v>
      </c>
      <c r="H36" s="271"/>
      <c r="I36" s="271"/>
    </row>
    <row r="37" spans="2:9" x14ac:dyDescent="0.25">
      <c r="B37" s="348">
        <v>44691</v>
      </c>
      <c r="C37" s="349">
        <v>19</v>
      </c>
      <c r="D37" s="350" t="s">
        <v>155</v>
      </c>
      <c r="E37" s="351" t="s">
        <v>156</v>
      </c>
      <c r="F37" s="374">
        <v>180</v>
      </c>
      <c r="G37" s="271">
        <v>33</v>
      </c>
      <c r="H37" s="271"/>
      <c r="I37" s="271"/>
    </row>
    <row r="38" spans="2:9" x14ac:dyDescent="0.25">
      <c r="B38" s="348">
        <v>44698</v>
      </c>
      <c r="C38" s="349">
        <v>20</v>
      </c>
      <c r="D38" s="350" t="s">
        <v>155</v>
      </c>
      <c r="E38" s="351" t="s">
        <v>156</v>
      </c>
      <c r="F38" s="374">
        <v>204</v>
      </c>
      <c r="G38" s="271">
        <v>34</v>
      </c>
      <c r="H38" s="271"/>
      <c r="I38" s="271"/>
    </row>
    <row r="39" spans="2:9" x14ac:dyDescent="0.25">
      <c r="B39" s="348">
        <v>44706</v>
      </c>
      <c r="C39" s="349">
        <v>21</v>
      </c>
      <c r="D39" s="350" t="s">
        <v>155</v>
      </c>
      <c r="E39" s="351" t="s">
        <v>156</v>
      </c>
      <c r="F39" s="374">
        <v>215</v>
      </c>
      <c r="G39" s="271">
        <v>33</v>
      </c>
      <c r="H39" s="271"/>
      <c r="I39" s="271"/>
    </row>
    <row r="40" spans="2:9" x14ac:dyDescent="0.25">
      <c r="B40" s="348">
        <v>44707</v>
      </c>
      <c r="C40" s="349">
        <v>21</v>
      </c>
      <c r="D40" s="350" t="s">
        <v>155</v>
      </c>
      <c r="E40" s="351" t="s">
        <v>156</v>
      </c>
      <c r="F40" s="374">
        <v>11</v>
      </c>
      <c r="G40" s="271">
        <v>3</v>
      </c>
      <c r="H40" s="271"/>
      <c r="I40" s="271"/>
    </row>
    <row r="41" spans="2:9" x14ac:dyDescent="0.25">
      <c r="B41" s="348">
        <v>44714</v>
      </c>
      <c r="C41" s="349">
        <v>22</v>
      </c>
      <c r="D41" s="350" t="s">
        <v>155</v>
      </c>
      <c r="E41" s="351" t="s">
        <v>156</v>
      </c>
      <c r="F41" s="374">
        <v>212</v>
      </c>
      <c r="G41" s="271">
        <v>79.599999999999994</v>
      </c>
      <c r="H41" s="271"/>
      <c r="I41" s="271"/>
    </row>
    <row r="42" spans="2:9" x14ac:dyDescent="0.25">
      <c r="B42" s="348">
        <v>44719</v>
      </c>
      <c r="C42" s="349">
        <v>23</v>
      </c>
      <c r="D42" s="350" t="s">
        <v>155</v>
      </c>
      <c r="E42" s="351" t="s">
        <v>156</v>
      </c>
      <c r="F42" s="374">
        <v>126</v>
      </c>
      <c r="G42" s="271">
        <v>62.6</v>
      </c>
      <c r="H42" s="271"/>
      <c r="I42" s="271"/>
    </row>
    <row r="43" spans="2:9" x14ac:dyDescent="0.25">
      <c r="B43" s="348">
        <v>44726</v>
      </c>
      <c r="C43" s="349">
        <v>24</v>
      </c>
      <c r="D43" s="350" t="s">
        <v>155</v>
      </c>
      <c r="E43" s="351" t="s">
        <v>156</v>
      </c>
      <c r="F43" s="374">
        <v>100</v>
      </c>
      <c r="G43" s="271">
        <v>122</v>
      </c>
      <c r="H43" s="271"/>
      <c r="I43" s="271"/>
    </row>
    <row r="44" spans="2:9" x14ac:dyDescent="0.25">
      <c r="B44" s="348">
        <v>44733</v>
      </c>
      <c r="C44" s="349">
        <v>25</v>
      </c>
      <c r="D44" s="350" t="s">
        <v>155</v>
      </c>
      <c r="E44" s="351" t="s">
        <v>156</v>
      </c>
      <c r="F44" s="374">
        <v>125</v>
      </c>
      <c r="G44" s="271">
        <v>68.8</v>
      </c>
      <c r="H44" s="271"/>
      <c r="I44" s="271"/>
    </row>
    <row r="45" spans="2:9" x14ac:dyDescent="0.25">
      <c r="B45" s="348">
        <v>44740</v>
      </c>
      <c r="C45" s="349">
        <v>26</v>
      </c>
      <c r="D45" s="350" t="s">
        <v>155</v>
      </c>
      <c r="E45" s="351" t="s">
        <v>156</v>
      </c>
      <c r="F45" s="374">
        <v>118</v>
      </c>
      <c r="G45" s="271">
        <v>45</v>
      </c>
      <c r="H45" s="271"/>
      <c r="I45" s="271"/>
    </row>
    <row r="46" spans="2:9" x14ac:dyDescent="0.25">
      <c r="B46" s="348">
        <v>44747</v>
      </c>
      <c r="C46" s="349">
        <v>27</v>
      </c>
      <c r="D46" s="350" t="s">
        <v>155</v>
      </c>
      <c r="E46" s="351" t="s">
        <v>156</v>
      </c>
      <c r="F46" s="374">
        <v>110</v>
      </c>
      <c r="G46" s="271">
        <v>35</v>
      </c>
      <c r="H46" s="271"/>
      <c r="I46" s="271"/>
    </row>
    <row r="47" spans="2:9" x14ac:dyDescent="0.25">
      <c r="B47" s="348">
        <v>44754</v>
      </c>
      <c r="C47" s="349">
        <v>28</v>
      </c>
      <c r="D47" s="350" t="s">
        <v>155</v>
      </c>
      <c r="E47" s="351" t="s">
        <v>156</v>
      </c>
      <c r="F47" s="374">
        <v>79</v>
      </c>
      <c r="G47" s="271">
        <v>25</v>
      </c>
      <c r="H47" s="271"/>
      <c r="I47" s="271"/>
    </row>
    <row r="48" spans="2:9" x14ac:dyDescent="0.25">
      <c r="B48" s="348">
        <v>44761</v>
      </c>
      <c r="C48" s="349">
        <v>29</v>
      </c>
      <c r="D48" s="350" t="s">
        <v>155</v>
      </c>
      <c r="E48" s="351" t="s">
        <v>156</v>
      </c>
      <c r="F48" s="374">
        <v>103</v>
      </c>
      <c r="G48" s="271">
        <v>27</v>
      </c>
      <c r="H48" s="271"/>
      <c r="I48" s="271"/>
    </row>
    <row r="49" spans="2:9" x14ac:dyDescent="0.25">
      <c r="B49" s="348">
        <v>44768</v>
      </c>
      <c r="C49" s="349">
        <v>30</v>
      </c>
      <c r="D49" s="350" t="s">
        <v>155</v>
      </c>
      <c r="E49" s="351" t="s">
        <v>156</v>
      </c>
      <c r="F49" s="374">
        <v>105</v>
      </c>
      <c r="G49" s="271">
        <v>27</v>
      </c>
      <c r="H49" s="271"/>
      <c r="I49" s="271"/>
    </row>
    <row r="50" spans="2:9" x14ac:dyDescent="0.25">
      <c r="B50" s="348">
        <v>44776</v>
      </c>
      <c r="C50" s="349">
        <v>31</v>
      </c>
      <c r="D50" s="350" t="s">
        <v>155</v>
      </c>
      <c r="E50" s="351" t="s">
        <v>156</v>
      </c>
      <c r="F50" s="374">
        <v>73</v>
      </c>
      <c r="G50" s="271">
        <v>25</v>
      </c>
      <c r="H50" s="271"/>
      <c r="I50" s="271"/>
    </row>
    <row r="51" spans="2:9" x14ac:dyDescent="0.25">
      <c r="B51" s="348">
        <v>44783</v>
      </c>
      <c r="C51" s="349">
        <v>32</v>
      </c>
      <c r="D51" s="350" t="s">
        <v>155</v>
      </c>
      <c r="E51" s="351" t="s">
        <v>156</v>
      </c>
      <c r="F51" s="374">
        <v>73</v>
      </c>
      <c r="G51" s="271">
        <v>22.4</v>
      </c>
      <c r="H51" s="271"/>
      <c r="I51" s="271"/>
    </row>
    <row r="52" spans="2:9" x14ac:dyDescent="0.25">
      <c r="B52" s="348">
        <v>44795</v>
      </c>
      <c r="C52" s="349">
        <v>34</v>
      </c>
      <c r="D52" s="350" t="s">
        <v>155</v>
      </c>
      <c r="E52" s="351" t="s">
        <v>156</v>
      </c>
      <c r="F52" s="374">
        <v>145</v>
      </c>
      <c r="G52" s="271">
        <v>61.4</v>
      </c>
      <c r="H52" s="271"/>
      <c r="I52" s="271"/>
    </row>
    <row r="53" spans="2:9" x14ac:dyDescent="0.25">
      <c r="B53" s="348">
        <v>44803</v>
      </c>
      <c r="C53" s="349">
        <v>35</v>
      </c>
      <c r="D53" s="350" t="s">
        <v>155</v>
      </c>
      <c r="E53" s="351" t="s">
        <v>156</v>
      </c>
      <c r="F53" s="374">
        <v>70</v>
      </c>
      <c r="G53" s="271">
        <v>38</v>
      </c>
      <c r="H53" s="271"/>
      <c r="I53" s="271"/>
    </row>
    <row r="54" spans="2:9" x14ac:dyDescent="0.25">
      <c r="B54" s="348">
        <v>44810</v>
      </c>
      <c r="C54" s="349">
        <v>36</v>
      </c>
      <c r="D54" s="350" t="s">
        <v>155</v>
      </c>
      <c r="E54" s="351" t="s">
        <v>156</v>
      </c>
      <c r="F54" s="374">
        <v>46</v>
      </c>
      <c r="G54" s="271"/>
      <c r="H54" s="271">
        <v>765</v>
      </c>
      <c r="I54" s="271"/>
    </row>
    <row r="55" spans="2:9" x14ac:dyDescent="0.25">
      <c r="B55" s="348">
        <v>44817</v>
      </c>
      <c r="C55" s="349">
        <v>37</v>
      </c>
      <c r="D55" s="350" t="s">
        <v>155</v>
      </c>
      <c r="E55" s="351" t="s">
        <v>156</v>
      </c>
      <c r="F55" s="374">
        <v>42</v>
      </c>
      <c r="G55" s="271">
        <v>28.9</v>
      </c>
      <c r="H55" s="271"/>
      <c r="I55" s="271"/>
    </row>
    <row r="56" spans="2:9" x14ac:dyDescent="0.25">
      <c r="B56" s="348">
        <v>44824</v>
      </c>
      <c r="C56" s="349">
        <v>38</v>
      </c>
      <c r="D56" s="350" t="s">
        <v>155</v>
      </c>
      <c r="E56" s="351" t="s">
        <v>156</v>
      </c>
      <c r="F56" s="374">
        <v>46</v>
      </c>
      <c r="G56" s="271">
        <v>36.72</v>
      </c>
      <c r="H56" s="271"/>
      <c r="I56" s="271"/>
    </row>
    <row r="57" spans="2:9" x14ac:dyDescent="0.25">
      <c r="B57" s="348">
        <v>44830</v>
      </c>
      <c r="C57" s="349">
        <v>39</v>
      </c>
      <c r="D57" s="350" t="s">
        <v>155</v>
      </c>
      <c r="E57" s="351" t="s">
        <v>156</v>
      </c>
      <c r="F57" s="374">
        <v>50</v>
      </c>
      <c r="G57" s="271"/>
      <c r="H57" s="271">
        <v>680</v>
      </c>
      <c r="I57" s="271"/>
    </row>
    <row r="58" spans="2:9" x14ac:dyDescent="0.25">
      <c r="B58" s="348">
        <v>44845</v>
      </c>
      <c r="C58" s="349">
        <v>41</v>
      </c>
      <c r="D58" s="350" t="s">
        <v>155</v>
      </c>
      <c r="E58" s="351" t="s">
        <v>156</v>
      </c>
      <c r="F58" s="374">
        <v>61</v>
      </c>
      <c r="G58" s="271"/>
      <c r="H58" s="271">
        <v>0</v>
      </c>
      <c r="I58" s="271"/>
    </row>
    <row r="59" spans="2:9" x14ac:dyDescent="0.25">
      <c r="B59" s="348"/>
      <c r="C59" s="349"/>
      <c r="D59" s="350"/>
      <c r="E59" s="351"/>
      <c r="F59" s="374"/>
      <c r="G59" s="271"/>
      <c r="H59" s="271"/>
      <c r="I59" s="271"/>
    </row>
    <row r="60" spans="2:9" x14ac:dyDescent="0.25">
      <c r="B60" s="348"/>
      <c r="C60" s="349"/>
      <c r="D60" s="350"/>
      <c r="E60" s="351"/>
      <c r="F60" s="374"/>
      <c r="G60" s="271"/>
      <c r="H60" s="271"/>
      <c r="I60" s="271"/>
    </row>
    <row r="61" spans="2:9" x14ac:dyDescent="0.25">
      <c r="B61" s="348"/>
      <c r="C61" s="349"/>
      <c r="D61" s="350"/>
      <c r="E61" s="351"/>
      <c r="F61" s="374"/>
      <c r="G61" s="271"/>
      <c r="H61" s="271"/>
      <c r="I61" s="271"/>
    </row>
    <row r="62" spans="2:9" x14ac:dyDescent="0.25">
      <c r="B62" s="348"/>
      <c r="C62" s="349"/>
      <c r="D62" s="350"/>
      <c r="E62" s="351"/>
      <c r="F62" s="374"/>
      <c r="G62" s="271"/>
      <c r="H62" s="271"/>
      <c r="I62" s="271"/>
    </row>
    <row r="63" spans="2:9" x14ac:dyDescent="0.25">
      <c r="B63" s="348"/>
      <c r="C63" s="349"/>
      <c r="D63" s="350"/>
      <c r="E63" s="351"/>
      <c r="F63" s="374"/>
      <c r="G63" s="271"/>
      <c r="H63" s="271"/>
      <c r="I63" s="271"/>
    </row>
    <row r="64" spans="2:9" x14ac:dyDescent="0.25">
      <c r="B64" s="348"/>
      <c r="C64" s="349"/>
      <c r="D64" s="350"/>
      <c r="E64" s="351"/>
      <c r="F64" s="374"/>
      <c r="G64" s="271"/>
      <c r="H64" s="271"/>
      <c r="I64" s="271"/>
    </row>
    <row r="65" spans="2:9" x14ac:dyDescent="0.25">
      <c r="B65" s="348"/>
      <c r="C65" s="349"/>
      <c r="D65" s="350"/>
      <c r="E65" s="351"/>
      <c r="F65" s="374"/>
      <c r="G65" s="271"/>
      <c r="H65" s="271"/>
      <c r="I65" s="271"/>
    </row>
    <row r="66" spans="2:9" x14ac:dyDescent="0.25">
      <c r="B66" s="348"/>
      <c r="C66" s="349"/>
      <c r="D66" s="350"/>
      <c r="E66" s="351"/>
      <c r="F66" s="374"/>
      <c r="G66" s="271"/>
      <c r="H66" s="271"/>
      <c r="I66" s="271"/>
    </row>
    <row r="67" spans="2:9" x14ac:dyDescent="0.25">
      <c r="B67" s="348"/>
      <c r="C67" s="349"/>
      <c r="D67" s="350"/>
      <c r="E67" s="351"/>
      <c r="F67" s="374"/>
      <c r="G67" s="271"/>
      <c r="H67" s="271"/>
      <c r="I67" s="271"/>
    </row>
    <row r="68" spans="2:9" x14ac:dyDescent="0.25">
      <c r="B68" s="348"/>
      <c r="C68" s="349"/>
      <c r="D68" s="350"/>
      <c r="E68" s="351"/>
      <c r="F68" s="374"/>
      <c r="G68" s="271"/>
      <c r="H68" s="271"/>
      <c r="I68" s="271"/>
    </row>
    <row r="69" spans="2:9" x14ac:dyDescent="0.25">
      <c r="B69" s="348"/>
      <c r="C69" s="349"/>
      <c r="D69" s="350"/>
      <c r="E69" s="351"/>
      <c r="F69" s="374"/>
      <c r="G69" s="271"/>
      <c r="H69" s="271"/>
      <c r="I69" s="271"/>
    </row>
    <row r="70" spans="2:9" x14ac:dyDescent="0.25">
      <c r="B70" s="348"/>
      <c r="C70" s="349"/>
      <c r="D70" s="350"/>
      <c r="E70" s="351"/>
      <c r="F70" s="374"/>
      <c r="G70" s="271"/>
      <c r="H70" s="271"/>
      <c r="I70" s="271"/>
    </row>
    <row r="71" spans="2:9" x14ac:dyDescent="0.25">
      <c r="B71" s="348"/>
      <c r="C71" s="349"/>
      <c r="D71" s="350"/>
      <c r="E71" s="351"/>
      <c r="F71" s="374"/>
      <c r="G71" s="271"/>
      <c r="H71" s="271"/>
      <c r="I71" s="271"/>
    </row>
    <row r="72" spans="2:9" x14ac:dyDescent="0.25">
      <c r="B72" s="348"/>
      <c r="C72" s="349"/>
      <c r="D72" s="350"/>
      <c r="E72" s="351"/>
      <c r="F72" s="374"/>
      <c r="G72" s="271"/>
      <c r="H72" s="271"/>
      <c r="I72" s="271"/>
    </row>
    <row r="73" spans="2:9" x14ac:dyDescent="0.25">
      <c r="B73" s="348"/>
      <c r="C73" s="349"/>
      <c r="D73" s="350"/>
      <c r="E73" s="351"/>
      <c r="F73" s="374"/>
      <c r="G73" s="271"/>
      <c r="H73" s="271"/>
      <c r="I73" s="271"/>
    </row>
    <row r="74" spans="2:9" x14ac:dyDescent="0.25">
      <c r="B74" s="348"/>
      <c r="C74" s="349"/>
      <c r="D74" s="350"/>
      <c r="E74" s="351"/>
      <c r="F74" s="374"/>
      <c r="G74" s="271"/>
      <c r="H74" s="271"/>
      <c r="I74" s="271"/>
    </row>
    <row r="75" spans="2:9" x14ac:dyDescent="0.25">
      <c r="B75" s="348"/>
      <c r="C75" s="349"/>
      <c r="D75" s="350"/>
      <c r="E75" s="351"/>
      <c r="F75" s="374"/>
      <c r="G75" s="271"/>
      <c r="H75" s="271"/>
      <c r="I75" s="271"/>
    </row>
    <row r="76" spans="2:9" x14ac:dyDescent="0.25">
      <c r="B76" s="348"/>
      <c r="C76" s="349"/>
      <c r="D76" s="350"/>
      <c r="E76" s="351"/>
      <c r="F76" s="374"/>
      <c r="G76" s="271"/>
      <c r="H76" s="271"/>
      <c r="I76" s="271"/>
    </row>
    <row r="77" spans="2:9" x14ac:dyDescent="0.25">
      <c r="B77" s="348"/>
      <c r="C77" s="349"/>
      <c r="D77" s="350"/>
      <c r="E77" s="351"/>
      <c r="F77" s="374"/>
      <c r="G77" s="271"/>
      <c r="H77" s="271"/>
      <c r="I77" s="271"/>
    </row>
    <row r="78" spans="2:9" x14ac:dyDescent="0.25">
      <c r="B78" s="348"/>
      <c r="C78" s="349"/>
      <c r="D78" s="350"/>
      <c r="E78" s="351"/>
      <c r="F78" s="374"/>
      <c r="G78" s="271"/>
      <c r="H78" s="271"/>
      <c r="I78" s="271"/>
    </row>
    <row r="79" spans="2:9" x14ac:dyDescent="0.25">
      <c r="B79" s="348"/>
      <c r="C79" s="349"/>
      <c r="D79" s="350"/>
      <c r="E79" s="351"/>
      <c r="F79" s="374"/>
      <c r="G79" s="271"/>
      <c r="H79" s="271"/>
      <c r="I79" s="271"/>
    </row>
    <row r="80" spans="2:9" x14ac:dyDescent="0.25">
      <c r="B80" s="348"/>
      <c r="C80" s="349"/>
      <c r="D80" s="350"/>
      <c r="E80" s="351"/>
      <c r="F80" s="374"/>
      <c r="G80" s="271"/>
      <c r="H80" s="271"/>
      <c r="I80" s="271"/>
    </row>
    <row r="81" spans="2:9" x14ac:dyDescent="0.25">
      <c r="B81" s="348"/>
      <c r="C81" s="349"/>
      <c r="D81" s="350"/>
      <c r="E81" s="351"/>
      <c r="F81" s="374"/>
      <c r="G81" s="271"/>
      <c r="H81" s="271"/>
      <c r="I81" s="271"/>
    </row>
    <row r="82" spans="2:9" x14ac:dyDescent="0.25">
      <c r="B82" s="348"/>
      <c r="C82" s="349"/>
      <c r="D82" s="350"/>
      <c r="E82" s="351"/>
      <c r="F82" s="374"/>
      <c r="G82" s="271"/>
      <c r="H82" s="271"/>
      <c r="I82" s="271"/>
    </row>
    <row r="83" spans="2:9" x14ac:dyDescent="0.25">
      <c r="B83" s="348"/>
      <c r="C83" s="349"/>
      <c r="D83" s="350"/>
      <c r="E83" s="351"/>
      <c r="F83" s="374"/>
      <c r="G83" s="271"/>
      <c r="H83" s="271"/>
      <c r="I83" s="271"/>
    </row>
    <row r="84" spans="2:9" x14ac:dyDescent="0.25">
      <c r="B84" s="348"/>
      <c r="C84" s="349"/>
      <c r="D84" s="350"/>
      <c r="E84" s="351"/>
      <c r="F84" s="374"/>
      <c r="G84" s="271"/>
      <c r="H84" s="271"/>
      <c r="I84" s="271"/>
    </row>
    <row r="85" spans="2:9" x14ac:dyDescent="0.25">
      <c r="B85" s="348"/>
      <c r="C85" s="349"/>
      <c r="D85" s="350"/>
      <c r="E85" s="351"/>
      <c r="F85" s="374"/>
      <c r="G85" s="271"/>
      <c r="H85" s="271"/>
      <c r="I85" s="271"/>
    </row>
    <row r="86" spans="2:9" x14ac:dyDescent="0.25">
      <c r="B86" s="348"/>
      <c r="C86" s="349"/>
      <c r="D86" s="350"/>
      <c r="E86" s="351"/>
      <c r="F86" s="374"/>
      <c r="G86" s="271"/>
      <c r="H86" s="271"/>
      <c r="I86" s="271"/>
    </row>
    <row r="87" spans="2:9" x14ac:dyDescent="0.25">
      <c r="B87" s="348"/>
      <c r="C87" s="349"/>
      <c r="D87" s="350"/>
      <c r="E87" s="351"/>
      <c r="F87" s="374"/>
      <c r="G87" s="271"/>
      <c r="H87" s="271"/>
      <c r="I87" s="271"/>
    </row>
    <row r="88" spans="2:9" x14ac:dyDescent="0.25">
      <c r="B88" s="348"/>
      <c r="C88" s="349"/>
      <c r="D88" s="350"/>
      <c r="E88" s="351"/>
      <c r="F88" s="374"/>
      <c r="G88" s="271"/>
      <c r="H88" s="271"/>
      <c r="I88" s="271"/>
    </row>
    <row r="89" spans="2:9" x14ac:dyDescent="0.25">
      <c r="B89" s="348"/>
      <c r="C89" s="349"/>
      <c r="D89" s="350"/>
      <c r="E89" s="351"/>
      <c r="F89" s="374"/>
      <c r="G89" s="271"/>
      <c r="H89" s="271"/>
      <c r="I89" s="271"/>
    </row>
    <row r="90" spans="2:9" x14ac:dyDescent="0.25">
      <c r="B90" s="348"/>
      <c r="C90" s="349"/>
      <c r="D90" s="350"/>
      <c r="E90" s="351"/>
      <c r="F90" s="374"/>
      <c r="G90" s="271"/>
      <c r="H90" s="271"/>
      <c r="I90" s="271"/>
    </row>
    <row r="91" spans="2:9" x14ac:dyDescent="0.25">
      <c r="B91" s="348"/>
      <c r="C91" s="349"/>
      <c r="D91" s="350"/>
      <c r="E91" s="351"/>
      <c r="F91" s="374"/>
      <c r="G91" s="271"/>
      <c r="H91" s="271"/>
      <c r="I91" s="271"/>
    </row>
    <row r="92" spans="2:9" x14ac:dyDescent="0.25">
      <c r="B92" s="348"/>
      <c r="C92" s="349"/>
      <c r="D92" s="350"/>
      <c r="E92" s="351"/>
      <c r="F92" s="374"/>
      <c r="G92" s="271"/>
      <c r="H92" s="271"/>
      <c r="I92" s="271"/>
    </row>
    <row r="93" spans="2:9" x14ac:dyDescent="0.25">
      <c r="B93" s="348"/>
      <c r="C93" s="349"/>
      <c r="D93" s="350"/>
      <c r="E93" s="351"/>
      <c r="F93" s="374"/>
      <c r="G93" s="271"/>
      <c r="H93" s="271"/>
      <c r="I93" s="271"/>
    </row>
    <row r="94" spans="2:9" x14ac:dyDescent="0.25">
      <c r="B94" s="348"/>
      <c r="C94" s="349"/>
      <c r="D94" s="350"/>
      <c r="E94" s="351"/>
      <c r="F94" s="374"/>
      <c r="G94" s="271"/>
      <c r="H94" s="271"/>
      <c r="I94" s="271"/>
    </row>
    <row r="95" spans="2:9" x14ac:dyDescent="0.25">
      <c r="B95" s="348"/>
      <c r="C95" s="349"/>
      <c r="D95" s="350"/>
      <c r="E95" s="351"/>
      <c r="F95" s="374"/>
      <c r="G95" s="271"/>
      <c r="H95" s="271"/>
      <c r="I95" s="271"/>
    </row>
    <row r="96" spans="2:9" x14ac:dyDescent="0.25">
      <c r="B96" s="348"/>
      <c r="C96" s="349"/>
      <c r="D96" s="350"/>
      <c r="E96" s="351"/>
      <c r="F96" s="374"/>
      <c r="G96" s="271"/>
      <c r="H96" s="271"/>
      <c r="I96" s="271"/>
    </row>
    <row r="97" spans="2:9" x14ac:dyDescent="0.25">
      <c r="B97" s="348"/>
      <c r="C97" s="349"/>
      <c r="D97" s="350"/>
      <c r="E97" s="351"/>
      <c r="F97" s="374"/>
      <c r="G97" s="271"/>
      <c r="H97" s="271"/>
      <c r="I97" s="271"/>
    </row>
    <row r="98" spans="2:9" x14ac:dyDescent="0.25">
      <c r="B98" s="348"/>
      <c r="C98" s="349"/>
      <c r="D98" s="350"/>
      <c r="E98" s="351"/>
      <c r="F98" s="374"/>
      <c r="G98" s="271"/>
      <c r="H98" s="271"/>
      <c r="I98" s="271"/>
    </row>
    <row r="99" spans="2:9" x14ac:dyDescent="0.25">
      <c r="B99" s="348"/>
      <c r="C99" s="349"/>
      <c r="D99" s="350"/>
      <c r="E99" s="351"/>
      <c r="F99" s="374"/>
      <c r="G99" s="271"/>
      <c r="H99" s="271"/>
      <c r="I99" s="271"/>
    </row>
    <row r="100" spans="2:9" ht="18.75" x14ac:dyDescent="0.3">
      <c r="D100" s="388" t="s">
        <v>213</v>
      </c>
      <c r="E100" s="389"/>
      <c r="F100" s="390">
        <f>SUM(F4:F57)</f>
        <v>6264.46</v>
      </c>
      <c r="G100" s="390">
        <f>SUM(G4:G57)</f>
        <v>1968.0600000000004</v>
      </c>
      <c r="H100" s="390">
        <f>SUM(H4:H57)</f>
        <v>2125</v>
      </c>
      <c r="I100" s="391">
        <f>SUM(I4:I57)</f>
        <v>33</v>
      </c>
    </row>
    <row r="103" spans="2:9" ht="15.75" thickBot="1" x14ac:dyDescent="0.3"/>
    <row r="104" spans="2:9" ht="15.75" thickBot="1" x14ac:dyDescent="0.3">
      <c r="B104" s="343" t="s">
        <v>6</v>
      </c>
      <c r="C104" s="344" t="s">
        <v>86</v>
      </c>
      <c r="D104" s="345" t="s">
        <v>214</v>
      </c>
      <c r="E104" s="346" t="s">
        <v>8</v>
      </c>
      <c r="F104" s="347" t="s">
        <v>9</v>
      </c>
      <c r="G104" s="345" t="s">
        <v>10</v>
      </c>
      <c r="H104" s="261" t="s">
        <v>138</v>
      </c>
      <c r="I104" s="261" t="s">
        <v>139</v>
      </c>
    </row>
    <row r="105" spans="2:9" x14ac:dyDescent="0.25">
      <c r="B105" s="348">
        <v>44474</v>
      </c>
      <c r="C105" s="349">
        <v>40</v>
      </c>
      <c r="D105" s="349" t="s">
        <v>153</v>
      </c>
      <c r="E105" s="351" t="s">
        <v>30</v>
      </c>
      <c r="F105" s="352">
        <v>139</v>
      </c>
      <c r="G105" s="271">
        <v>61</v>
      </c>
      <c r="H105" s="271"/>
      <c r="I105" s="271"/>
    </row>
    <row r="106" spans="2:9" x14ac:dyDescent="0.25">
      <c r="B106" s="353">
        <v>44481</v>
      </c>
      <c r="C106" s="354">
        <v>41</v>
      </c>
      <c r="D106" s="354" t="s">
        <v>153</v>
      </c>
      <c r="E106" s="355" t="s">
        <v>30</v>
      </c>
      <c r="F106" s="358">
        <v>120</v>
      </c>
      <c r="G106" s="271">
        <v>46</v>
      </c>
      <c r="H106" s="271"/>
      <c r="I106" s="271"/>
    </row>
    <row r="107" spans="2:9" x14ac:dyDescent="0.25">
      <c r="B107" s="348">
        <v>44488</v>
      </c>
      <c r="C107" s="349">
        <v>42</v>
      </c>
      <c r="D107" s="349" t="s">
        <v>153</v>
      </c>
      <c r="E107" s="351" t="s">
        <v>30</v>
      </c>
      <c r="F107" s="352">
        <v>80</v>
      </c>
      <c r="G107" s="271">
        <v>44</v>
      </c>
      <c r="H107" s="271"/>
      <c r="I107" s="271"/>
    </row>
    <row r="108" spans="2:9" x14ac:dyDescent="0.25">
      <c r="B108" s="353">
        <v>44495</v>
      </c>
      <c r="C108" s="354">
        <v>43</v>
      </c>
      <c r="D108" s="354" t="s">
        <v>153</v>
      </c>
      <c r="E108" s="355" t="s">
        <v>30</v>
      </c>
      <c r="F108" s="357">
        <v>86</v>
      </c>
      <c r="G108" s="271">
        <v>25</v>
      </c>
      <c r="H108" s="271"/>
      <c r="I108" s="271"/>
    </row>
    <row r="109" spans="2:9" x14ac:dyDescent="0.25">
      <c r="B109" s="348">
        <v>44502</v>
      </c>
      <c r="C109" s="349">
        <v>44</v>
      </c>
      <c r="D109" s="349" t="s">
        <v>153</v>
      </c>
      <c r="E109" s="351" t="s">
        <v>35</v>
      </c>
      <c r="F109" s="352">
        <v>81</v>
      </c>
      <c r="G109" s="271">
        <v>39</v>
      </c>
      <c r="H109" s="271"/>
      <c r="I109" s="271"/>
    </row>
    <row r="110" spans="2:9" x14ac:dyDescent="0.25">
      <c r="B110" s="353">
        <v>44509</v>
      </c>
      <c r="C110" s="354">
        <v>45</v>
      </c>
      <c r="D110" s="354" t="s">
        <v>153</v>
      </c>
      <c r="E110" s="355" t="s">
        <v>30</v>
      </c>
      <c r="F110" s="357">
        <v>82</v>
      </c>
      <c r="G110" s="271">
        <v>18</v>
      </c>
      <c r="H110" s="271"/>
      <c r="I110" s="271"/>
    </row>
    <row r="111" spans="2:9" x14ac:dyDescent="0.25">
      <c r="B111" s="348">
        <v>44516</v>
      </c>
      <c r="C111" s="349">
        <v>46</v>
      </c>
      <c r="D111" s="349" t="s">
        <v>153</v>
      </c>
      <c r="E111" s="351" t="s">
        <v>30</v>
      </c>
      <c r="F111" s="352">
        <v>90</v>
      </c>
      <c r="G111" s="271">
        <v>10.5</v>
      </c>
      <c r="H111" s="271"/>
      <c r="I111" s="271"/>
    </row>
    <row r="112" spans="2:9" x14ac:dyDescent="0.25">
      <c r="B112" s="353">
        <v>44530</v>
      </c>
      <c r="C112" s="354">
        <v>48</v>
      </c>
      <c r="D112" s="354" t="s">
        <v>153</v>
      </c>
      <c r="E112" s="355" t="s">
        <v>30</v>
      </c>
      <c r="F112" s="357">
        <v>110</v>
      </c>
      <c r="G112" s="271">
        <v>14.4</v>
      </c>
      <c r="H112" s="271"/>
      <c r="I112" s="271"/>
    </row>
    <row r="113" spans="2:9" x14ac:dyDescent="0.25">
      <c r="B113" s="348">
        <v>44537</v>
      </c>
      <c r="C113" s="349">
        <v>49</v>
      </c>
      <c r="D113" s="349" t="s">
        <v>153</v>
      </c>
      <c r="E113" s="351" t="s">
        <v>30</v>
      </c>
      <c r="F113" s="352">
        <v>77</v>
      </c>
      <c r="G113" s="271">
        <v>1</v>
      </c>
      <c r="H113" s="271"/>
      <c r="I113" s="271"/>
    </row>
    <row r="114" spans="2:9" x14ac:dyDescent="0.25">
      <c r="B114" s="353">
        <v>44544</v>
      </c>
      <c r="C114" s="354">
        <v>50</v>
      </c>
      <c r="D114" s="354" t="s">
        <v>153</v>
      </c>
      <c r="E114" s="355" t="s">
        <v>30</v>
      </c>
      <c r="F114" s="357">
        <v>54</v>
      </c>
      <c r="G114" s="271">
        <v>10</v>
      </c>
      <c r="H114" s="271"/>
      <c r="I114" s="271"/>
    </row>
    <row r="115" spans="2:9" x14ac:dyDescent="0.25">
      <c r="B115" s="348">
        <v>44558</v>
      </c>
      <c r="C115" s="349">
        <v>52</v>
      </c>
      <c r="D115" s="349" t="s">
        <v>153</v>
      </c>
      <c r="E115" s="351" t="s">
        <v>30</v>
      </c>
      <c r="F115" s="352">
        <v>80</v>
      </c>
      <c r="G115" s="271">
        <v>10.199999999999999</v>
      </c>
      <c r="H115" s="271"/>
      <c r="I115" s="271"/>
    </row>
    <row r="116" spans="2:9" x14ac:dyDescent="0.25">
      <c r="B116" s="348">
        <v>44565</v>
      </c>
      <c r="C116" s="359">
        <v>1</v>
      </c>
      <c r="D116" s="268" t="s">
        <v>153</v>
      </c>
      <c r="E116" s="360" t="s">
        <v>154</v>
      </c>
      <c r="F116" s="377">
        <v>82</v>
      </c>
      <c r="G116" s="271">
        <v>3.4</v>
      </c>
      <c r="H116" s="271"/>
      <c r="I116" s="271"/>
    </row>
    <row r="117" spans="2:9" x14ac:dyDescent="0.25">
      <c r="B117" s="353">
        <v>44572</v>
      </c>
      <c r="C117" s="306">
        <v>2</v>
      </c>
      <c r="D117" s="268" t="s">
        <v>153</v>
      </c>
      <c r="E117" s="361" t="s">
        <v>154</v>
      </c>
      <c r="F117" s="357">
        <v>65</v>
      </c>
      <c r="G117" s="273">
        <v>4</v>
      </c>
      <c r="H117" s="271"/>
      <c r="I117" s="271"/>
    </row>
    <row r="118" spans="2:9" x14ac:dyDescent="0.25">
      <c r="B118" s="348">
        <v>44586</v>
      </c>
      <c r="C118" s="359">
        <v>4</v>
      </c>
      <c r="D118" s="268" t="s">
        <v>153</v>
      </c>
      <c r="E118" s="360" t="s">
        <v>154</v>
      </c>
      <c r="F118" s="352">
        <v>77</v>
      </c>
      <c r="G118" s="273">
        <v>3.4</v>
      </c>
      <c r="H118" s="271"/>
      <c r="I118" s="271"/>
    </row>
    <row r="119" spans="2:9" x14ac:dyDescent="0.25">
      <c r="B119" s="353">
        <v>44593</v>
      </c>
      <c r="C119" s="306">
        <v>5</v>
      </c>
      <c r="D119" s="268" t="s">
        <v>153</v>
      </c>
      <c r="E119" s="361" t="s">
        <v>154</v>
      </c>
      <c r="F119" s="357">
        <v>110</v>
      </c>
      <c r="G119" s="273">
        <v>3.4</v>
      </c>
      <c r="H119" s="271"/>
      <c r="I119" s="271"/>
    </row>
    <row r="120" spans="2:9" x14ac:dyDescent="0.25">
      <c r="B120" s="348">
        <v>44600</v>
      </c>
      <c r="C120" s="359">
        <v>6</v>
      </c>
      <c r="D120" s="268" t="s">
        <v>153</v>
      </c>
      <c r="E120" s="360" t="s">
        <v>154</v>
      </c>
      <c r="F120" s="352">
        <v>90</v>
      </c>
      <c r="G120" s="273">
        <v>9.6</v>
      </c>
      <c r="H120" s="271"/>
      <c r="I120" s="271"/>
    </row>
    <row r="121" spans="2:9" x14ac:dyDescent="0.25">
      <c r="B121" s="353">
        <v>44607</v>
      </c>
      <c r="C121" s="306">
        <v>7</v>
      </c>
      <c r="D121" s="268" t="s">
        <v>153</v>
      </c>
      <c r="E121" s="361" t="s">
        <v>154</v>
      </c>
      <c r="F121" s="357">
        <v>90</v>
      </c>
      <c r="G121" s="273">
        <v>10.8</v>
      </c>
      <c r="H121" s="271"/>
      <c r="I121" s="271"/>
    </row>
    <row r="122" spans="2:9" x14ac:dyDescent="0.25">
      <c r="B122" s="367">
        <v>44615</v>
      </c>
      <c r="C122" s="368">
        <v>8</v>
      </c>
      <c r="D122" s="268" t="s">
        <v>153</v>
      </c>
      <c r="E122" s="369" t="s">
        <v>154</v>
      </c>
      <c r="F122" s="352">
        <v>100</v>
      </c>
      <c r="G122" s="273">
        <v>10.8</v>
      </c>
      <c r="H122" s="271"/>
      <c r="I122" s="271"/>
    </row>
    <row r="123" spans="2:9" x14ac:dyDescent="0.25">
      <c r="B123" s="370">
        <v>44622</v>
      </c>
      <c r="C123" s="371">
        <v>9</v>
      </c>
      <c r="D123" s="364" t="s">
        <v>153</v>
      </c>
      <c r="E123" s="372" t="s">
        <v>154</v>
      </c>
      <c r="F123" s="357">
        <v>101</v>
      </c>
      <c r="G123" s="375">
        <v>14.399999999999999</v>
      </c>
      <c r="H123" s="376"/>
      <c r="I123" s="376"/>
    </row>
    <row r="124" spans="2:9" x14ac:dyDescent="0.25">
      <c r="B124" s="367">
        <v>44629</v>
      </c>
      <c r="C124" s="368">
        <v>10</v>
      </c>
      <c r="D124" s="268" t="s">
        <v>153</v>
      </c>
      <c r="E124" s="369" t="s">
        <v>154</v>
      </c>
      <c r="F124" s="352">
        <v>88</v>
      </c>
      <c r="G124" s="387">
        <v>12.8</v>
      </c>
      <c r="H124" s="271"/>
      <c r="I124" s="271"/>
    </row>
    <row r="125" spans="2:9" x14ac:dyDescent="0.25">
      <c r="B125" s="365">
        <v>44636</v>
      </c>
      <c r="C125" s="321">
        <v>11</v>
      </c>
      <c r="D125" s="268" t="s">
        <v>153</v>
      </c>
      <c r="E125" s="366" t="s">
        <v>154</v>
      </c>
      <c r="F125" s="357">
        <v>87</v>
      </c>
      <c r="G125" s="273">
        <v>12.4</v>
      </c>
      <c r="H125" s="271"/>
      <c r="I125" s="271"/>
    </row>
    <row r="126" spans="2:9" x14ac:dyDescent="0.25">
      <c r="B126" s="367">
        <v>44643</v>
      </c>
      <c r="C126" s="368">
        <v>12</v>
      </c>
      <c r="D126" s="268" t="s">
        <v>153</v>
      </c>
      <c r="E126" s="369" t="s">
        <v>154</v>
      </c>
      <c r="F126" s="352">
        <v>123</v>
      </c>
      <c r="G126" s="273"/>
      <c r="H126" s="271">
        <v>340</v>
      </c>
      <c r="I126" s="271"/>
    </row>
    <row r="127" spans="2:9" x14ac:dyDescent="0.25">
      <c r="B127" s="370">
        <v>44651</v>
      </c>
      <c r="C127" s="371">
        <v>13</v>
      </c>
      <c r="D127" s="364" t="s">
        <v>153</v>
      </c>
      <c r="E127" s="372" t="s">
        <v>154</v>
      </c>
      <c r="F127" s="357">
        <v>96</v>
      </c>
      <c r="G127" s="375"/>
      <c r="H127" s="376"/>
      <c r="I127" s="376">
        <v>4</v>
      </c>
    </row>
    <row r="128" spans="2:9" x14ac:dyDescent="0.25">
      <c r="B128" s="362">
        <v>44658</v>
      </c>
      <c r="C128" s="363">
        <v>14</v>
      </c>
      <c r="D128" s="364" t="s">
        <v>153</v>
      </c>
      <c r="E128" s="373" t="s">
        <v>154</v>
      </c>
      <c r="F128" s="352">
        <v>108</v>
      </c>
      <c r="G128" s="375"/>
      <c r="H128" s="376"/>
      <c r="I128" s="376">
        <v>2</v>
      </c>
    </row>
    <row r="129" spans="2:9" x14ac:dyDescent="0.25">
      <c r="B129" s="370">
        <v>44663</v>
      </c>
      <c r="C129" s="371">
        <v>15</v>
      </c>
      <c r="D129" s="364" t="s">
        <v>153</v>
      </c>
      <c r="E129" s="372" t="s">
        <v>154</v>
      </c>
      <c r="F129" s="357">
        <v>97</v>
      </c>
      <c r="G129" s="375">
        <v>11.4</v>
      </c>
      <c r="H129" s="376"/>
      <c r="I129" s="376"/>
    </row>
    <row r="130" spans="2:9" x14ac:dyDescent="0.25">
      <c r="B130" s="362">
        <v>44671</v>
      </c>
      <c r="C130" s="363">
        <v>16</v>
      </c>
      <c r="D130" s="364" t="s">
        <v>153</v>
      </c>
      <c r="E130" s="373" t="s">
        <v>154</v>
      </c>
      <c r="F130" s="352">
        <v>101</v>
      </c>
      <c r="G130" s="375">
        <v>10</v>
      </c>
      <c r="H130" s="376"/>
      <c r="I130" s="376"/>
    </row>
    <row r="131" spans="2:9" x14ac:dyDescent="0.25">
      <c r="B131" s="370">
        <v>44679</v>
      </c>
      <c r="C131" s="371">
        <v>17</v>
      </c>
      <c r="D131" s="364" t="s">
        <v>153</v>
      </c>
      <c r="E131" s="372" t="s">
        <v>154</v>
      </c>
      <c r="F131" s="357">
        <v>131</v>
      </c>
      <c r="G131" s="375">
        <v>16.079999999999998</v>
      </c>
      <c r="H131" s="376"/>
      <c r="I131" s="376"/>
    </row>
    <row r="132" spans="2:9" x14ac:dyDescent="0.25">
      <c r="B132" s="362">
        <v>44686</v>
      </c>
      <c r="C132" s="363">
        <v>18</v>
      </c>
      <c r="D132" s="364" t="s">
        <v>153</v>
      </c>
      <c r="E132" s="373" t="s">
        <v>154</v>
      </c>
      <c r="F132" s="352">
        <v>20</v>
      </c>
      <c r="G132" s="375">
        <v>46</v>
      </c>
      <c r="H132" s="376"/>
      <c r="I132" s="376"/>
    </row>
    <row r="133" spans="2:9" x14ac:dyDescent="0.25">
      <c r="B133" s="370">
        <v>44693</v>
      </c>
      <c r="C133" s="371">
        <v>19</v>
      </c>
      <c r="D133" s="364" t="s">
        <v>153</v>
      </c>
      <c r="E133" s="372" t="s">
        <v>154</v>
      </c>
      <c r="F133" s="357">
        <v>249</v>
      </c>
      <c r="G133" s="375">
        <v>52.9</v>
      </c>
      <c r="H133" s="376"/>
      <c r="I133" s="376"/>
    </row>
    <row r="134" spans="2:9" x14ac:dyDescent="0.25">
      <c r="B134" s="362">
        <v>44699</v>
      </c>
      <c r="C134" s="363">
        <v>20</v>
      </c>
      <c r="D134" s="364" t="s">
        <v>153</v>
      </c>
      <c r="E134" s="373" t="s">
        <v>154</v>
      </c>
      <c r="F134" s="352">
        <v>143</v>
      </c>
      <c r="G134" s="375">
        <v>10.44</v>
      </c>
      <c r="H134" s="376"/>
      <c r="I134" s="376"/>
    </row>
    <row r="135" spans="2:9" x14ac:dyDescent="0.25">
      <c r="B135" s="370">
        <v>44705</v>
      </c>
      <c r="C135" s="371">
        <v>21</v>
      </c>
      <c r="D135" s="364" t="s">
        <v>153</v>
      </c>
      <c r="E135" s="372" t="s">
        <v>154</v>
      </c>
      <c r="F135" s="357">
        <v>96</v>
      </c>
      <c r="G135" s="375">
        <v>25.2</v>
      </c>
      <c r="H135" s="376"/>
      <c r="I135" s="376"/>
    </row>
    <row r="136" spans="2:9" x14ac:dyDescent="0.25">
      <c r="B136" s="362">
        <v>44713</v>
      </c>
      <c r="C136" s="363">
        <v>22</v>
      </c>
      <c r="D136" s="364" t="s">
        <v>153</v>
      </c>
      <c r="E136" s="373" t="s">
        <v>154</v>
      </c>
      <c r="F136" s="352">
        <v>70</v>
      </c>
      <c r="G136" s="375">
        <v>16</v>
      </c>
      <c r="H136" s="376"/>
      <c r="I136" s="376"/>
    </row>
    <row r="137" spans="2:9" x14ac:dyDescent="0.25">
      <c r="B137" s="370">
        <v>44718</v>
      </c>
      <c r="C137" s="371">
        <v>23</v>
      </c>
      <c r="D137" s="364" t="s">
        <v>153</v>
      </c>
      <c r="E137" s="372" t="s">
        <v>154</v>
      </c>
      <c r="F137" s="357">
        <v>54</v>
      </c>
      <c r="G137" s="375">
        <v>17</v>
      </c>
      <c r="H137" s="376"/>
      <c r="I137" s="376"/>
    </row>
    <row r="138" spans="2:9" x14ac:dyDescent="0.25">
      <c r="B138" s="362">
        <v>44734</v>
      </c>
      <c r="C138" s="363">
        <v>25</v>
      </c>
      <c r="D138" s="364" t="s">
        <v>153</v>
      </c>
      <c r="E138" s="373" t="s">
        <v>154</v>
      </c>
      <c r="F138" s="352">
        <v>91</v>
      </c>
      <c r="G138" s="375">
        <v>109.2</v>
      </c>
      <c r="H138" s="376"/>
      <c r="I138" s="376"/>
    </row>
    <row r="139" spans="2:9" x14ac:dyDescent="0.25">
      <c r="B139" s="370">
        <v>44741</v>
      </c>
      <c r="C139" s="371">
        <v>26</v>
      </c>
      <c r="D139" s="364" t="s">
        <v>153</v>
      </c>
      <c r="E139" s="372" t="s">
        <v>154</v>
      </c>
      <c r="F139" s="357">
        <v>51</v>
      </c>
      <c r="G139" s="375">
        <v>32</v>
      </c>
      <c r="H139" s="376"/>
      <c r="I139" s="376"/>
    </row>
    <row r="140" spans="2:9" x14ac:dyDescent="0.25">
      <c r="B140" s="362">
        <v>44748</v>
      </c>
      <c r="C140" s="363">
        <v>27</v>
      </c>
      <c r="D140" s="364" t="s">
        <v>153</v>
      </c>
      <c r="E140" s="373" t="s">
        <v>154</v>
      </c>
      <c r="F140" s="352">
        <v>43</v>
      </c>
      <c r="G140" s="375">
        <v>32</v>
      </c>
      <c r="H140" s="376"/>
      <c r="I140" s="376"/>
    </row>
    <row r="141" spans="2:9" x14ac:dyDescent="0.25">
      <c r="B141" s="370">
        <v>44756</v>
      </c>
      <c r="C141" s="371">
        <v>28</v>
      </c>
      <c r="D141" s="364" t="s">
        <v>153</v>
      </c>
      <c r="E141" s="372" t="s">
        <v>154</v>
      </c>
      <c r="F141" s="357">
        <v>51</v>
      </c>
      <c r="G141" s="375">
        <v>39</v>
      </c>
      <c r="H141" s="376"/>
      <c r="I141" s="376"/>
    </row>
    <row r="142" spans="2:9" x14ac:dyDescent="0.25">
      <c r="B142" s="362">
        <v>44763</v>
      </c>
      <c r="C142" s="363">
        <v>29</v>
      </c>
      <c r="D142" s="364" t="s">
        <v>153</v>
      </c>
      <c r="E142" s="373" t="s">
        <v>154</v>
      </c>
      <c r="F142" s="352">
        <v>50</v>
      </c>
      <c r="G142" s="375">
        <v>27</v>
      </c>
      <c r="H142" s="376"/>
      <c r="I142" s="376"/>
    </row>
    <row r="143" spans="2:9" x14ac:dyDescent="0.25">
      <c r="B143" s="370">
        <v>44769</v>
      </c>
      <c r="C143" s="371">
        <v>30</v>
      </c>
      <c r="D143" s="364" t="s">
        <v>153</v>
      </c>
      <c r="E143" s="372" t="s">
        <v>154</v>
      </c>
      <c r="F143" s="357">
        <v>45</v>
      </c>
      <c r="G143" s="375">
        <v>27</v>
      </c>
      <c r="H143" s="376"/>
      <c r="I143" s="376"/>
    </row>
    <row r="144" spans="2:9" x14ac:dyDescent="0.25">
      <c r="B144" s="362">
        <v>44775</v>
      </c>
      <c r="C144" s="363">
        <v>31</v>
      </c>
      <c r="D144" s="364" t="s">
        <v>153</v>
      </c>
      <c r="E144" s="373" t="s">
        <v>154</v>
      </c>
      <c r="F144" s="352">
        <v>35</v>
      </c>
      <c r="G144" s="375">
        <v>13</v>
      </c>
      <c r="H144" s="376"/>
      <c r="I144" s="376"/>
    </row>
    <row r="145" spans="2:9" x14ac:dyDescent="0.25">
      <c r="B145" s="370">
        <v>44782</v>
      </c>
      <c r="C145" s="371">
        <v>32</v>
      </c>
      <c r="D145" s="364" t="s">
        <v>153</v>
      </c>
      <c r="E145" s="372" t="s">
        <v>154</v>
      </c>
      <c r="F145" s="357">
        <v>35</v>
      </c>
      <c r="G145" s="375">
        <v>13</v>
      </c>
      <c r="H145" s="376"/>
      <c r="I145" s="376"/>
    </row>
    <row r="146" spans="2:9" x14ac:dyDescent="0.25">
      <c r="B146" s="362">
        <v>44796</v>
      </c>
      <c r="C146" s="363">
        <v>34</v>
      </c>
      <c r="D146" s="364" t="s">
        <v>153</v>
      </c>
      <c r="E146" s="373" t="s">
        <v>154</v>
      </c>
      <c r="F146" s="352">
        <v>65</v>
      </c>
      <c r="G146" s="375">
        <v>49.4</v>
      </c>
      <c r="H146" s="376"/>
      <c r="I146" s="376"/>
    </row>
    <row r="147" spans="2:9" x14ac:dyDescent="0.25">
      <c r="B147" s="370">
        <v>44804</v>
      </c>
      <c r="C147" s="371">
        <v>35</v>
      </c>
      <c r="D147" s="364" t="s">
        <v>153</v>
      </c>
      <c r="E147" s="372" t="s">
        <v>154</v>
      </c>
      <c r="F147" s="357">
        <v>12</v>
      </c>
      <c r="G147" s="375">
        <v>8</v>
      </c>
      <c r="H147" s="376"/>
      <c r="I147" s="376"/>
    </row>
    <row r="148" spans="2:9" x14ac:dyDescent="0.25">
      <c r="B148" s="362">
        <v>44811</v>
      </c>
      <c r="C148" s="363">
        <v>36</v>
      </c>
      <c r="D148" s="364" t="s">
        <v>153</v>
      </c>
      <c r="E148" s="373" t="s">
        <v>154</v>
      </c>
      <c r="F148" s="352">
        <v>15</v>
      </c>
      <c r="G148" s="375"/>
      <c r="H148" s="376">
        <v>765</v>
      </c>
      <c r="I148" s="376"/>
    </row>
    <row r="149" spans="2:9" x14ac:dyDescent="0.25">
      <c r="B149" s="370">
        <v>44818</v>
      </c>
      <c r="C149" s="371">
        <v>37</v>
      </c>
      <c r="D149" s="364" t="s">
        <v>153</v>
      </c>
      <c r="E149" s="372" t="s">
        <v>154</v>
      </c>
      <c r="F149" s="357">
        <v>20</v>
      </c>
      <c r="G149" s="375"/>
      <c r="H149" s="376"/>
      <c r="I149" s="376"/>
    </row>
    <row r="150" spans="2:9" x14ac:dyDescent="0.25">
      <c r="B150" s="362">
        <v>44825</v>
      </c>
      <c r="C150" s="363">
        <v>38</v>
      </c>
      <c r="D150" s="364" t="s">
        <v>153</v>
      </c>
      <c r="E150" s="373" t="s">
        <v>154</v>
      </c>
      <c r="F150" s="352">
        <v>7</v>
      </c>
      <c r="G150" s="375">
        <v>40.799999999999997</v>
      </c>
      <c r="H150" s="376"/>
      <c r="I150" s="376"/>
    </row>
    <row r="151" spans="2:9" x14ac:dyDescent="0.25">
      <c r="B151" s="401">
        <v>44841</v>
      </c>
      <c r="C151" s="402">
        <v>40</v>
      </c>
      <c r="D151" s="268" t="s">
        <v>153</v>
      </c>
      <c r="E151" s="369" t="s">
        <v>154</v>
      </c>
      <c r="F151" s="403">
        <v>21</v>
      </c>
      <c r="G151" s="394"/>
      <c r="H151" s="286">
        <v>1105</v>
      </c>
      <c r="I151" s="394"/>
    </row>
    <row r="152" spans="2:9" x14ac:dyDescent="0.25">
      <c r="B152" s="401">
        <v>44853</v>
      </c>
      <c r="C152" s="402">
        <v>42</v>
      </c>
      <c r="D152" s="268" t="s">
        <v>153</v>
      </c>
      <c r="E152" s="369" t="s">
        <v>154</v>
      </c>
      <c r="F152" s="403">
        <v>31</v>
      </c>
      <c r="G152" s="394"/>
      <c r="H152" s="286">
        <v>467.5</v>
      </c>
      <c r="I152" s="394"/>
    </row>
    <row r="153" spans="2:9" x14ac:dyDescent="0.25">
      <c r="B153" s="395"/>
      <c r="C153" s="399"/>
      <c r="D153" s="393"/>
      <c r="E153" s="400"/>
      <c r="F153" s="398"/>
      <c r="G153" s="394"/>
      <c r="H153" s="286"/>
      <c r="I153" s="394"/>
    </row>
    <row r="154" spans="2:9" x14ac:dyDescent="0.25">
      <c r="B154" s="395"/>
      <c r="C154" s="399"/>
      <c r="D154" s="393"/>
      <c r="E154" s="400"/>
      <c r="F154" s="398"/>
      <c r="G154" s="394"/>
      <c r="H154" s="286"/>
      <c r="I154" s="394"/>
    </row>
    <row r="155" spans="2:9" x14ac:dyDescent="0.25">
      <c r="B155" s="395"/>
      <c r="C155" s="399"/>
      <c r="D155" s="393"/>
      <c r="E155" s="400"/>
      <c r="F155" s="398"/>
      <c r="G155" s="394"/>
      <c r="H155" s="286"/>
      <c r="I155" s="394"/>
    </row>
    <row r="156" spans="2:9" x14ac:dyDescent="0.25">
      <c r="B156" s="395"/>
      <c r="C156" s="399"/>
      <c r="D156" s="393"/>
      <c r="E156" s="400"/>
      <c r="F156" s="398"/>
      <c r="G156" s="394"/>
      <c r="H156" s="286"/>
      <c r="I156" s="394"/>
    </row>
    <row r="157" spans="2:9" x14ac:dyDescent="0.25">
      <c r="B157" s="395"/>
      <c r="C157" s="399"/>
      <c r="D157" s="393"/>
      <c r="E157" s="400"/>
      <c r="F157" s="398"/>
      <c r="G157" s="394"/>
      <c r="H157" s="286"/>
      <c r="I157" s="394"/>
    </row>
    <row r="158" spans="2:9" x14ac:dyDescent="0.25">
      <c r="B158" s="395"/>
      <c r="C158" s="399"/>
      <c r="D158" s="393"/>
      <c r="E158" s="400"/>
      <c r="F158" s="398"/>
      <c r="G158" s="394"/>
      <c r="H158" s="286"/>
      <c r="I158" s="394"/>
    </row>
    <row r="159" spans="2:9" x14ac:dyDescent="0.25">
      <c r="B159" s="395"/>
      <c r="C159" s="399"/>
      <c r="D159" s="393"/>
      <c r="E159" s="400"/>
      <c r="F159" s="398"/>
      <c r="G159" s="394"/>
      <c r="H159" s="286"/>
      <c r="I159" s="394"/>
    </row>
    <row r="160" spans="2:9" x14ac:dyDescent="0.25">
      <c r="B160" s="395"/>
      <c r="C160" s="399"/>
      <c r="D160" s="393"/>
      <c r="E160" s="400"/>
      <c r="F160" s="398"/>
      <c r="G160" s="394"/>
      <c r="H160" s="286"/>
      <c r="I160" s="394"/>
    </row>
    <row r="161" spans="2:9" x14ac:dyDescent="0.25">
      <c r="B161" s="395"/>
      <c r="C161" s="399"/>
      <c r="D161" s="393"/>
      <c r="E161" s="400"/>
      <c r="F161" s="398"/>
      <c r="G161" s="394"/>
      <c r="H161" s="286"/>
      <c r="I161" s="394"/>
    </row>
    <row r="162" spans="2:9" x14ac:dyDescent="0.25">
      <c r="B162" s="395"/>
      <c r="C162" s="399"/>
      <c r="D162" s="393"/>
      <c r="E162" s="400"/>
      <c r="F162" s="398"/>
      <c r="G162" s="394"/>
      <c r="H162" s="286"/>
      <c r="I162" s="394"/>
    </row>
    <row r="163" spans="2:9" x14ac:dyDescent="0.25">
      <c r="B163" s="395"/>
      <c r="C163" s="399"/>
      <c r="D163" s="393"/>
      <c r="E163" s="400"/>
      <c r="F163" s="398"/>
      <c r="G163" s="394"/>
      <c r="H163" s="286"/>
      <c r="I163" s="394"/>
    </row>
    <row r="164" spans="2:9" x14ac:dyDescent="0.25">
      <c r="B164" s="395"/>
      <c r="C164" s="399"/>
      <c r="D164" s="393"/>
      <c r="E164" s="400"/>
      <c r="F164" s="398"/>
      <c r="G164" s="394"/>
      <c r="H164" s="286"/>
      <c r="I164" s="394"/>
    </row>
    <row r="165" spans="2:9" x14ac:dyDescent="0.25">
      <c r="B165" s="395"/>
      <c r="C165" s="399"/>
      <c r="D165" s="393"/>
      <c r="E165" s="400"/>
      <c r="F165" s="398"/>
      <c r="G165" s="394"/>
      <c r="H165" s="286"/>
      <c r="I165" s="394"/>
    </row>
    <row r="166" spans="2:9" x14ac:dyDescent="0.25">
      <c r="B166" s="395"/>
      <c r="C166" s="399"/>
      <c r="D166" s="393"/>
      <c r="E166" s="400"/>
      <c r="F166" s="398"/>
      <c r="G166" s="394"/>
      <c r="H166" s="286"/>
      <c r="I166" s="394"/>
    </row>
    <row r="167" spans="2:9" x14ac:dyDescent="0.25">
      <c r="B167" s="395"/>
      <c r="C167" s="399"/>
      <c r="D167" s="393"/>
      <c r="E167" s="400"/>
      <c r="F167" s="398"/>
      <c r="G167" s="394"/>
      <c r="H167" s="286"/>
      <c r="I167" s="394"/>
    </row>
    <row r="168" spans="2:9" x14ac:dyDescent="0.25">
      <c r="B168" s="395"/>
      <c r="C168" s="399"/>
      <c r="D168" s="393"/>
      <c r="E168" s="400"/>
      <c r="F168" s="398"/>
      <c r="G168" s="394"/>
      <c r="H168" s="286"/>
      <c r="I168" s="394"/>
    </row>
    <row r="169" spans="2:9" x14ac:dyDescent="0.25">
      <c r="B169" s="395"/>
      <c r="C169" s="399"/>
      <c r="D169" s="393"/>
      <c r="E169" s="400"/>
      <c r="F169" s="398"/>
      <c r="G169" s="394"/>
      <c r="H169" s="286"/>
      <c r="I169" s="394"/>
    </row>
    <row r="170" spans="2:9" x14ac:dyDescent="0.25">
      <c r="B170" s="395"/>
      <c r="C170" s="399"/>
      <c r="D170" s="393"/>
      <c r="E170" s="400"/>
      <c r="F170" s="398"/>
      <c r="G170" s="394"/>
      <c r="H170" s="286"/>
      <c r="I170" s="394"/>
    </row>
    <row r="171" spans="2:9" s="381" customFormat="1" ht="21" x14ac:dyDescent="0.35">
      <c r="D171" s="382" t="s">
        <v>213</v>
      </c>
      <c r="E171" s="383"/>
      <c r="F171" s="384">
        <f>SUM(F105:F152)</f>
        <v>3749</v>
      </c>
      <c r="G171" s="385">
        <f>SUM(G105:G150)</f>
        <v>959.51999999999987</v>
      </c>
      <c r="H171" s="385">
        <f>SUM(H105:H150)</f>
        <v>1105</v>
      </c>
      <c r="I171" s="386">
        <f>SUM(I105:I150)</f>
        <v>6</v>
      </c>
    </row>
    <row r="174" spans="2:9" ht="15.75" thickBot="1" x14ac:dyDescent="0.3"/>
    <row r="175" spans="2:9" ht="15.75" thickBot="1" x14ac:dyDescent="0.3">
      <c r="B175" s="343" t="s">
        <v>6</v>
      </c>
      <c r="C175" s="344" t="s">
        <v>86</v>
      </c>
      <c r="D175" s="345" t="s">
        <v>214</v>
      </c>
      <c r="E175" s="346" t="s">
        <v>8</v>
      </c>
      <c r="F175" s="347" t="s">
        <v>9</v>
      </c>
      <c r="G175" s="345" t="s">
        <v>10</v>
      </c>
      <c r="H175" s="261" t="s">
        <v>138</v>
      </c>
      <c r="I175" s="261" t="s">
        <v>139</v>
      </c>
    </row>
    <row r="176" spans="2:9" x14ac:dyDescent="0.25">
      <c r="B176" s="348">
        <v>44468</v>
      </c>
      <c r="C176" s="349">
        <v>39</v>
      </c>
      <c r="D176" s="349" t="s">
        <v>152</v>
      </c>
      <c r="E176" s="351" t="s">
        <v>29</v>
      </c>
      <c r="F176" s="352">
        <v>237</v>
      </c>
      <c r="G176" s="271">
        <v>50</v>
      </c>
      <c r="H176" s="271"/>
      <c r="I176" s="271"/>
    </row>
    <row r="177" spans="2:9" x14ac:dyDescent="0.25">
      <c r="B177" s="353">
        <v>44474</v>
      </c>
      <c r="C177" s="354">
        <v>40</v>
      </c>
      <c r="D177" s="354" t="s">
        <v>152</v>
      </c>
      <c r="E177" s="355" t="s">
        <v>29</v>
      </c>
      <c r="F177" s="357">
        <v>411</v>
      </c>
      <c r="G177" s="271">
        <v>70</v>
      </c>
      <c r="H177" s="271"/>
      <c r="I177" s="271"/>
    </row>
    <row r="178" spans="2:9" x14ac:dyDescent="0.25">
      <c r="B178" s="348">
        <v>44475</v>
      </c>
      <c r="C178" s="349">
        <v>40</v>
      </c>
      <c r="D178" s="349" t="s">
        <v>152</v>
      </c>
      <c r="E178" s="351" t="s">
        <v>29</v>
      </c>
      <c r="F178" s="352">
        <v>400</v>
      </c>
      <c r="G178" s="271">
        <v>65</v>
      </c>
      <c r="H178" s="271"/>
      <c r="I178" s="271"/>
    </row>
    <row r="179" spans="2:9" x14ac:dyDescent="0.25">
      <c r="B179" s="353">
        <v>44481</v>
      </c>
      <c r="C179" s="354">
        <v>41</v>
      </c>
      <c r="D179" s="354" t="s">
        <v>152</v>
      </c>
      <c r="E179" s="355" t="s">
        <v>29</v>
      </c>
      <c r="F179" s="357">
        <v>414</v>
      </c>
      <c r="G179" s="271">
        <v>57</v>
      </c>
      <c r="H179" s="271"/>
      <c r="I179" s="271"/>
    </row>
    <row r="180" spans="2:9" x14ac:dyDescent="0.25">
      <c r="B180" s="348">
        <v>44482</v>
      </c>
      <c r="C180" s="349">
        <v>41</v>
      </c>
      <c r="D180" s="349" t="s">
        <v>152</v>
      </c>
      <c r="E180" s="351" t="s">
        <v>29</v>
      </c>
      <c r="F180" s="352">
        <v>160</v>
      </c>
      <c r="G180" s="271">
        <v>57</v>
      </c>
      <c r="H180" s="271"/>
      <c r="I180" s="271"/>
    </row>
    <row r="181" spans="2:9" x14ac:dyDescent="0.25">
      <c r="B181" s="353">
        <v>44488</v>
      </c>
      <c r="C181" s="354">
        <v>42</v>
      </c>
      <c r="D181" s="354" t="s">
        <v>152</v>
      </c>
      <c r="E181" s="355" t="s">
        <v>29</v>
      </c>
      <c r="F181" s="357">
        <v>278</v>
      </c>
      <c r="G181" s="271">
        <v>40.5</v>
      </c>
      <c r="H181" s="271"/>
      <c r="I181" s="271"/>
    </row>
    <row r="182" spans="2:9" x14ac:dyDescent="0.25">
      <c r="B182" s="348">
        <v>44489</v>
      </c>
      <c r="C182" s="349">
        <v>42</v>
      </c>
      <c r="D182" s="349" t="s">
        <v>152</v>
      </c>
      <c r="E182" s="351" t="s">
        <v>29</v>
      </c>
      <c r="F182" s="352">
        <v>189</v>
      </c>
      <c r="G182" s="271">
        <v>41</v>
      </c>
      <c r="H182" s="271"/>
      <c r="I182" s="271"/>
    </row>
    <row r="183" spans="2:9" x14ac:dyDescent="0.25">
      <c r="B183" s="353">
        <v>44495</v>
      </c>
      <c r="C183" s="354">
        <v>43</v>
      </c>
      <c r="D183" s="354" t="s">
        <v>152</v>
      </c>
      <c r="E183" s="355" t="s">
        <v>29</v>
      </c>
      <c r="F183" s="357">
        <v>225</v>
      </c>
      <c r="G183" s="271">
        <v>50</v>
      </c>
      <c r="H183" s="271"/>
      <c r="I183" s="271"/>
    </row>
    <row r="184" spans="2:9" x14ac:dyDescent="0.25">
      <c r="B184" s="348">
        <v>44496</v>
      </c>
      <c r="C184" s="349">
        <v>43</v>
      </c>
      <c r="D184" s="349" t="s">
        <v>152</v>
      </c>
      <c r="E184" s="351" t="s">
        <v>29</v>
      </c>
      <c r="F184" s="352">
        <v>185</v>
      </c>
      <c r="G184" s="271">
        <v>50</v>
      </c>
      <c r="H184" s="271"/>
      <c r="I184" s="271"/>
    </row>
    <row r="185" spans="2:9" x14ac:dyDescent="0.25">
      <c r="B185" s="353">
        <v>44502</v>
      </c>
      <c r="C185" s="354">
        <v>44</v>
      </c>
      <c r="D185" s="354" t="s">
        <v>152</v>
      </c>
      <c r="E185" s="355" t="s">
        <v>29</v>
      </c>
      <c r="F185" s="357">
        <v>293</v>
      </c>
      <c r="G185" s="271">
        <v>40</v>
      </c>
      <c r="H185" s="271"/>
      <c r="I185" s="271"/>
    </row>
    <row r="186" spans="2:9" x14ac:dyDescent="0.25">
      <c r="B186" s="348">
        <v>44503</v>
      </c>
      <c r="C186" s="349">
        <v>44</v>
      </c>
      <c r="D186" s="349" t="s">
        <v>152</v>
      </c>
      <c r="E186" s="351" t="s">
        <v>29</v>
      </c>
      <c r="F186" s="352">
        <v>200</v>
      </c>
      <c r="G186" s="271">
        <v>40</v>
      </c>
      <c r="H186" s="271"/>
      <c r="I186" s="271"/>
    </row>
    <row r="187" spans="2:9" x14ac:dyDescent="0.25">
      <c r="B187" s="353">
        <v>44509</v>
      </c>
      <c r="C187" s="354">
        <v>45</v>
      </c>
      <c r="D187" s="354" t="s">
        <v>152</v>
      </c>
      <c r="E187" s="355" t="s">
        <v>29</v>
      </c>
      <c r="F187" s="357">
        <v>303</v>
      </c>
      <c r="G187" s="271">
        <v>28</v>
      </c>
      <c r="H187" s="271"/>
      <c r="I187" s="271"/>
    </row>
    <row r="188" spans="2:9" x14ac:dyDescent="0.25">
      <c r="B188" s="348">
        <v>44510</v>
      </c>
      <c r="C188" s="349">
        <v>45</v>
      </c>
      <c r="D188" s="349" t="s">
        <v>152</v>
      </c>
      <c r="E188" s="351" t="s">
        <v>29</v>
      </c>
      <c r="F188" s="352">
        <v>322</v>
      </c>
      <c r="G188" s="271">
        <v>32</v>
      </c>
      <c r="H188" s="271"/>
      <c r="I188" s="271"/>
    </row>
    <row r="189" spans="2:9" x14ac:dyDescent="0.25">
      <c r="B189" s="353">
        <v>44516</v>
      </c>
      <c r="C189" s="354">
        <v>46</v>
      </c>
      <c r="D189" s="354" t="s">
        <v>152</v>
      </c>
      <c r="E189" s="355" t="s">
        <v>29</v>
      </c>
      <c r="F189" s="357">
        <v>252</v>
      </c>
      <c r="G189" s="271">
        <v>27</v>
      </c>
      <c r="H189" s="271"/>
      <c r="I189" s="271"/>
    </row>
    <row r="190" spans="2:9" x14ac:dyDescent="0.25">
      <c r="B190" s="348">
        <v>44517</v>
      </c>
      <c r="C190" s="349">
        <v>46</v>
      </c>
      <c r="D190" s="349" t="s">
        <v>152</v>
      </c>
      <c r="E190" s="351" t="s">
        <v>29</v>
      </c>
      <c r="F190" s="352">
        <v>229</v>
      </c>
      <c r="G190" s="271">
        <v>14</v>
      </c>
      <c r="H190" s="271"/>
      <c r="I190" s="271"/>
    </row>
    <row r="191" spans="2:9" x14ac:dyDescent="0.25">
      <c r="B191" s="353">
        <v>44523</v>
      </c>
      <c r="C191" s="354">
        <v>47</v>
      </c>
      <c r="D191" s="354" t="s">
        <v>152</v>
      </c>
      <c r="E191" s="355" t="s">
        <v>29</v>
      </c>
      <c r="F191" s="357">
        <v>331</v>
      </c>
      <c r="G191" s="271">
        <v>0</v>
      </c>
      <c r="H191" s="271"/>
      <c r="I191" s="271"/>
    </row>
    <row r="192" spans="2:9" x14ac:dyDescent="0.25">
      <c r="B192" s="348">
        <v>44524</v>
      </c>
      <c r="C192" s="349">
        <v>47</v>
      </c>
      <c r="D192" s="349" t="s">
        <v>152</v>
      </c>
      <c r="E192" s="351" t="s">
        <v>29</v>
      </c>
      <c r="F192" s="352">
        <v>65</v>
      </c>
      <c r="G192" s="271">
        <v>39.6</v>
      </c>
      <c r="H192" s="271"/>
      <c r="I192" s="271"/>
    </row>
    <row r="193" spans="2:9" x14ac:dyDescent="0.25">
      <c r="B193" s="353">
        <v>44530</v>
      </c>
      <c r="C193" s="354">
        <v>48</v>
      </c>
      <c r="D193" s="354" t="s">
        <v>152</v>
      </c>
      <c r="E193" s="355" t="s">
        <v>29</v>
      </c>
      <c r="F193" s="357">
        <v>265</v>
      </c>
      <c r="G193" s="271">
        <v>21.6</v>
      </c>
      <c r="H193" s="271"/>
      <c r="I193" s="271"/>
    </row>
    <row r="194" spans="2:9" x14ac:dyDescent="0.25">
      <c r="B194" s="348">
        <v>44531</v>
      </c>
      <c r="C194" s="349">
        <v>48</v>
      </c>
      <c r="D194" s="349" t="s">
        <v>152</v>
      </c>
      <c r="E194" s="351" t="s">
        <v>29</v>
      </c>
      <c r="F194" s="352">
        <v>111</v>
      </c>
      <c r="G194" s="271">
        <v>3.6</v>
      </c>
      <c r="H194" s="271"/>
      <c r="I194" s="271"/>
    </row>
    <row r="195" spans="2:9" x14ac:dyDescent="0.25">
      <c r="B195" s="353">
        <v>44537</v>
      </c>
      <c r="C195" s="354">
        <v>49</v>
      </c>
      <c r="D195" s="354" t="s">
        <v>152</v>
      </c>
      <c r="E195" s="355" t="s">
        <v>29</v>
      </c>
      <c r="F195" s="357">
        <v>406</v>
      </c>
      <c r="G195" s="271">
        <v>45</v>
      </c>
      <c r="H195" s="271"/>
      <c r="I195" s="271"/>
    </row>
    <row r="196" spans="2:9" x14ac:dyDescent="0.25">
      <c r="B196" s="348">
        <v>44544</v>
      </c>
      <c r="C196" s="349">
        <v>50</v>
      </c>
      <c r="D196" s="349" t="s">
        <v>152</v>
      </c>
      <c r="E196" s="351" t="s">
        <v>29</v>
      </c>
      <c r="F196" s="352">
        <v>218</v>
      </c>
      <c r="G196" s="271">
        <v>52.7</v>
      </c>
      <c r="H196" s="271"/>
      <c r="I196" s="271"/>
    </row>
    <row r="197" spans="2:9" x14ac:dyDescent="0.25">
      <c r="B197" s="353">
        <v>44545</v>
      </c>
      <c r="C197" s="354">
        <v>50</v>
      </c>
      <c r="D197" s="354" t="s">
        <v>152</v>
      </c>
      <c r="E197" s="355" t="s">
        <v>29</v>
      </c>
      <c r="F197" s="357">
        <v>318</v>
      </c>
      <c r="G197" s="271">
        <v>12</v>
      </c>
      <c r="H197" s="271"/>
      <c r="I197" s="271"/>
    </row>
    <row r="198" spans="2:9" x14ac:dyDescent="0.25">
      <c r="B198" s="348">
        <v>44551</v>
      </c>
      <c r="C198" s="349">
        <v>51</v>
      </c>
      <c r="D198" s="349" t="s">
        <v>152</v>
      </c>
      <c r="E198" s="351" t="s">
        <v>29</v>
      </c>
      <c r="F198" s="352">
        <v>377</v>
      </c>
      <c r="G198" s="271">
        <v>25.5</v>
      </c>
      <c r="H198" s="271"/>
      <c r="I198" s="271"/>
    </row>
    <row r="199" spans="2:9" x14ac:dyDescent="0.25">
      <c r="B199" s="353">
        <v>44558</v>
      </c>
      <c r="C199" s="354">
        <v>52</v>
      </c>
      <c r="D199" s="354" t="s">
        <v>152</v>
      </c>
      <c r="E199" s="355" t="s">
        <v>29</v>
      </c>
      <c r="F199" s="357">
        <v>312</v>
      </c>
      <c r="G199" s="271">
        <v>20.399999999999999</v>
      </c>
      <c r="H199" s="271"/>
      <c r="I199" s="271"/>
    </row>
    <row r="200" spans="2:9" x14ac:dyDescent="0.25">
      <c r="B200" s="348">
        <v>44559</v>
      </c>
      <c r="C200" s="349">
        <v>52</v>
      </c>
      <c r="D200" s="349" t="s">
        <v>152</v>
      </c>
      <c r="E200" s="351" t="s">
        <v>29</v>
      </c>
      <c r="F200" s="352">
        <v>221</v>
      </c>
      <c r="G200" s="271">
        <v>6</v>
      </c>
      <c r="H200" s="271"/>
      <c r="I200" s="271"/>
    </row>
    <row r="201" spans="2:9" x14ac:dyDescent="0.25">
      <c r="B201" s="348">
        <v>44565</v>
      </c>
      <c r="C201" s="359">
        <v>1</v>
      </c>
      <c r="D201" s="268" t="s">
        <v>152</v>
      </c>
      <c r="E201" s="360" t="s">
        <v>151</v>
      </c>
      <c r="F201" s="377">
        <v>330</v>
      </c>
      <c r="G201" s="271">
        <v>21</v>
      </c>
      <c r="H201" s="271"/>
      <c r="I201" s="271"/>
    </row>
    <row r="202" spans="2:9" x14ac:dyDescent="0.25">
      <c r="B202" s="353">
        <v>44566</v>
      </c>
      <c r="C202" s="306">
        <v>1</v>
      </c>
      <c r="D202" s="268" t="s">
        <v>152</v>
      </c>
      <c r="E202" s="361" t="s">
        <v>151</v>
      </c>
      <c r="F202" s="357">
        <v>303</v>
      </c>
      <c r="G202" s="271">
        <v>13</v>
      </c>
      <c r="H202" s="271"/>
      <c r="I202" s="271"/>
    </row>
    <row r="203" spans="2:9" x14ac:dyDescent="0.25">
      <c r="B203" s="348">
        <v>44572</v>
      </c>
      <c r="C203" s="359">
        <v>2</v>
      </c>
      <c r="D203" s="268" t="s">
        <v>152</v>
      </c>
      <c r="E203" s="360" t="s">
        <v>151</v>
      </c>
      <c r="F203" s="352">
        <v>333</v>
      </c>
      <c r="G203" s="271">
        <v>11.9</v>
      </c>
      <c r="H203" s="271"/>
      <c r="I203" s="271"/>
    </row>
    <row r="204" spans="2:9" x14ac:dyDescent="0.25">
      <c r="B204" s="353">
        <v>44573</v>
      </c>
      <c r="C204" s="306">
        <v>2</v>
      </c>
      <c r="D204" s="268" t="s">
        <v>152</v>
      </c>
      <c r="E204" s="361" t="s">
        <v>151</v>
      </c>
      <c r="F204" s="357">
        <v>296</v>
      </c>
      <c r="G204" s="271">
        <v>13.6</v>
      </c>
      <c r="H204" s="271"/>
      <c r="I204" s="271"/>
    </row>
    <row r="205" spans="2:9" x14ac:dyDescent="0.25">
      <c r="B205" s="348">
        <v>44580</v>
      </c>
      <c r="C205" s="359">
        <v>3</v>
      </c>
      <c r="D205" s="268" t="s">
        <v>152</v>
      </c>
      <c r="E205" s="360" t="s">
        <v>151</v>
      </c>
      <c r="F205" s="352">
        <v>412</v>
      </c>
      <c r="G205" s="271">
        <v>17</v>
      </c>
      <c r="H205" s="271"/>
      <c r="I205" s="271"/>
    </row>
    <row r="206" spans="2:9" x14ac:dyDescent="0.25">
      <c r="B206" s="353">
        <v>44586</v>
      </c>
      <c r="C206" s="306">
        <v>4</v>
      </c>
      <c r="D206" s="268" t="s">
        <v>152</v>
      </c>
      <c r="E206" s="361" t="s">
        <v>151</v>
      </c>
      <c r="F206" s="357">
        <v>339</v>
      </c>
      <c r="G206" s="271">
        <v>17</v>
      </c>
      <c r="H206" s="271"/>
      <c r="I206" s="271"/>
    </row>
    <row r="207" spans="2:9" x14ac:dyDescent="0.25">
      <c r="B207" s="348">
        <v>44588</v>
      </c>
      <c r="C207" s="359">
        <v>4</v>
      </c>
      <c r="D207" s="268" t="s">
        <v>152</v>
      </c>
      <c r="E207" s="360" t="s">
        <v>151</v>
      </c>
      <c r="F207" s="352">
        <v>273</v>
      </c>
      <c r="G207" s="271">
        <v>51</v>
      </c>
      <c r="H207" s="271"/>
      <c r="I207" s="271"/>
    </row>
    <row r="208" spans="2:9" x14ac:dyDescent="0.25">
      <c r="B208" s="353">
        <v>44593</v>
      </c>
      <c r="C208" s="306">
        <v>5</v>
      </c>
      <c r="D208" s="268" t="s">
        <v>152</v>
      </c>
      <c r="E208" s="361" t="s">
        <v>151</v>
      </c>
      <c r="F208" s="356">
        <v>435</v>
      </c>
      <c r="G208" s="271">
        <v>27.2</v>
      </c>
      <c r="H208" s="271"/>
      <c r="I208" s="271"/>
    </row>
    <row r="209" spans="2:9" x14ac:dyDescent="0.25">
      <c r="B209" s="348">
        <v>44600</v>
      </c>
      <c r="C209" s="359">
        <v>6</v>
      </c>
      <c r="D209" s="268" t="s">
        <v>152</v>
      </c>
      <c r="E209" s="360" t="s">
        <v>151</v>
      </c>
      <c r="F209" s="352">
        <v>353</v>
      </c>
      <c r="G209" s="271">
        <v>64.599999999999994</v>
      </c>
      <c r="H209" s="271"/>
      <c r="I209" s="271"/>
    </row>
    <row r="210" spans="2:9" x14ac:dyDescent="0.25">
      <c r="B210" s="353">
        <v>44601</v>
      </c>
      <c r="C210" s="306">
        <v>6</v>
      </c>
      <c r="D210" s="268" t="s">
        <v>152</v>
      </c>
      <c r="E210" s="361" t="s">
        <v>151</v>
      </c>
      <c r="F210" s="357">
        <v>300</v>
      </c>
      <c r="G210" s="271">
        <v>40.799999999999997</v>
      </c>
      <c r="H210" s="271"/>
      <c r="I210" s="271"/>
    </row>
    <row r="211" spans="2:9" x14ac:dyDescent="0.25">
      <c r="B211" s="348">
        <v>44607</v>
      </c>
      <c r="C211" s="359">
        <v>7</v>
      </c>
      <c r="D211" s="268" t="s">
        <v>152</v>
      </c>
      <c r="E211" s="360" t="s">
        <v>151</v>
      </c>
      <c r="F211" s="352">
        <v>276</v>
      </c>
      <c r="G211" s="271">
        <v>56.12</v>
      </c>
      <c r="H211" s="271"/>
      <c r="I211" s="271"/>
    </row>
    <row r="212" spans="2:9" x14ac:dyDescent="0.25">
      <c r="B212" s="353">
        <v>44608</v>
      </c>
      <c r="C212" s="306">
        <v>7</v>
      </c>
      <c r="D212" s="268" t="s">
        <v>152</v>
      </c>
      <c r="E212" s="361" t="s">
        <v>151</v>
      </c>
      <c r="F212" s="357">
        <v>307</v>
      </c>
      <c r="G212" s="271">
        <v>20.399999999999999</v>
      </c>
      <c r="H212" s="271"/>
      <c r="I212" s="271"/>
    </row>
    <row r="213" spans="2:9" x14ac:dyDescent="0.25">
      <c r="B213" s="367">
        <v>44608</v>
      </c>
      <c r="C213" s="368">
        <v>7</v>
      </c>
      <c r="D213" s="268" t="s">
        <v>152</v>
      </c>
      <c r="E213" s="369" t="s">
        <v>151</v>
      </c>
      <c r="F213" s="352">
        <v>77</v>
      </c>
      <c r="G213" s="271"/>
      <c r="H213" s="271"/>
      <c r="I213" s="271"/>
    </row>
    <row r="214" spans="2:9" x14ac:dyDescent="0.25">
      <c r="B214" s="365">
        <v>44614</v>
      </c>
      <c r="C214" s="321">
        <v>8</v>
      </c>
      <c r="D214" s="268" t="s">
        <v>152</v>
      </c>
      <c r="E214" s="366" t="s">
        <v>151</v>
      </c>
      <c r="F214" s="357">
        <v>250</v>
      </c>
      <c r="G214" s="271">
        <v>47.6</v>
      </c>
      <c r="H214" s="271"/>
      <c r="I214" s="271"/>
    </row>
    <row r="215" spans="2:9" x14ac:dyDescent="0.25">
      <c r="B215" s="362">
        <v>44615</v>
      </c>
      <c r="C215" s="363">
        <v>8</v>
      </c>
      <c r="D215" s="364" t="s">
        <v>152</v>
      </c>
      <c r="E215" s="373" t="s">
        <v>151</v>
      </c>
      <c r="F215" s="352">
        <v>216</v>
      </c>
      <c r="G215" s="271">
        <v>68</v>
      </c>
      <c r="H215" s="376"/>
      <c r="I215" s="376"/>
    </row>
    <row r="216" spans="2:9" x14ac:dyDescent="0.25">
      <c r="B216" s="370">
        <v>44621</v>
      </c>
      <c r="C216" s="371">
        <v>9</v>
      </c>
      <c r="D216" s="364" t="s">
        <v>152</v>
      </c>
      <c r="E216" s="372" t="s">
        <v>151</v>
      </c>
      <c r="F216" s="357">
        <v>204</v>
      </c>
      <c r="G216" s="271">
        <v>55.5</v>
      </c>
      <c r="H216" s="376"/>
      <c r="I216" s="376"/>
    </row>
    <row r="217" spans="2:9" x14ac:dyDescent="0.25">
      <c r="B217" s="362">
        <v>44622</v>
      </c>
      <c r="C217" s="363">
        <v>9</v>
      </c>
      <c r="D217" s="364" t="s">
        <v>152</v>
      </c>
      <c r="E217" s="373" t="s">
        <v>151</v>
      </c>
      <c r="F217" s="352">
        <v>173</v>
      </c>
      <c r="G217" s="271">
        <v>69.7</v>
      </c>
      <c r="H217" s="376"/>
      <c r="I217" s="376"/>
    </row>
    <row r="218" spans="2:9" x14ac:dyDescent="0.25">
      <c r="B218" s="365">
        <v>44628</v>
      </c>
      <c r="C218" s="321">
        <v>10</v>
      </c>
      <c r="D218" s="268" t="s">
        <v>152</v>
      </c>
      <c r="E218" s="366" t="s">
        <v>151</v>
      </c>
      <c r="F218" s="357">
        <v>300</v>
      </c>
      <c r="G218" s="271">
        <v>88.35</v>
      </c>
      <c r="H218" s="271"/>
      <c r="I218" s="271"/>
    </row>
    <row r="219" spans="2:9" x14ac:dyDescent="0.25">
      <c r="B219" s="367">
        <v>44629</v>
      </c>
      <c r="C219" s="368">
        <v>10</v>
      </c>
      <c r="D219" s="268" t="s">
        <v>152</v>
      </c>
      <c r="E219" s="369" t="s">
        <v>151</v>
      </c>
      <c r="F219" s="352">
        <v>185</v>
      </c>
      <c r="G219" s="271">
        <v>78.150000000000006</v>
      </c>
      <c r="H219" s="271"/>
      <c r="I219" s="271"/>
    </row>
    <row r="220" spans="2:9" x14ac:dyDescent="0.25">
      <c r="B220" s="365">
        <v>44635</v>
      </c>
      <c r="C220" s="321">
        <v>11</v>
      </c>
      <c r="D220" s="268" t="s">
        <v>152</v>
      </c>
      <c r="E220" s="366" t="s">
        <v>151</v>
      </c>
      <c r="F220" s="357">
        <v>200</v>
      </c>
      <c r="G220" s="271">
        <v>44.19</v>
      </c>
      <c r="H220" s="271"/>
      <c r="I220" s="271"/>
    </row>
    <row r="221" spans="2:9" x14ac:dyDescent="0.25">
      <c r="B221" s="362">
        <v>44636</v>
      </c>
      <c r="C221" s="363">
        <v>11</v>
      </c>
      <c r="D221" s="364" t="s">
        <v>152</v>
      </c>
      <c r="E221" s="373" t="s">
        <v>151</v>
      </c>
      <c r="F221" s="352">
        <v>164</v>
      </c>
      <c r="G221" s="271">
        <v>73.08</v>
      </c>
      <c r="H221" s="376"/>
      <c r="I221" s="376"/>
    </row>
    <row r="222" spans="2:9" x14ac:dyDescent="0.25">
      <c r="B222" s="365">
        <v>44643</v>
      </c>
      <c r="C222" s="321">
        <v>12</v>
      </c>
      <c r="D222" s="268" t="s">
        <v>152</v>
      </c>
      <c r="E222" s="366" t="s">
        <v>151</v>
      </c>
      <c r="F222" s="357">
        <v>384</v>
      </c>
      <c r="G222" s="271"/>
      <c r="H222" s="271"/>
      <c r="I222" s="271">
        <v>32</v>
      </c>
    </row>
    <row r="223" spans="2:9" x14ac:dyDescent="0.25">
      <c r="B223" s="362">
        <v>44650</v>
      </c>
      <c r="C223" s="363">
        <v>13</v>
      </c>
      <c r="D223" s="364" t="s">
        <v>152</v>
      </c>
      <c r="E223" s="373" t="s">
        <v>151</v>
      </c>
      <c r="F223" s="352">
        <v>308</v>
      </c>
      <c r="G223" s="271"/>
      <c r="H223" s="376"/>
      <c r="I223" s="376">
        <v>27.5</v>
      </c>
    </row>
    <row r="224" spans="2:9" x14ac:dyDescent="0.25">
      <c r="B224" s="370">
        <v>44651</v>
      </c>
      <c r="C224" s="371">
        <v>13</v>
      </c>
      <c r="D224" s="364" t="s">
        <v>152</v>
      </c>
      <c r="E224" s="372" t="s">
        <v>151</v>
      </c>
      <c r="F224" s="357">
        <v>262</v>
      </c>
      <c r="G224" s="271"/>
      <c r="H224" s="376"/>
      <c r="I224" s="376">
        <v>20</v>
      </c>
    </row>
    <row r="225" spans="2:9" x14ac:dyDescent="0.25">
      <c r="B225" s="362">
        <v>44657</v>
      </c>
      <c r="C225" s="363">
        <v>14</v>
      </c>
      <c r="D225" s="364" t="s">
        <v>152</v>
      </c>
      <c r="E225" s="373" t="s">
        <v>151</v>
      </c>
      <c r="F225" s="352">
        <v>320</v>
      </c>
      <c r="G225" s="271">
        <v>170</v>
      </c>
      <c r="H225" s="376"/>
      <c r="I225" s="376"/>
    </row>
    <row r="226" spans="2:9" x14ac:dyDescent="0.25">
      <c r="B226" s="370">
        <v>44658</v>
      </c>
      <c r="C226" s="371">
        <v>14</v>
      </c>
      <c r="D226" s="364" t="s">
        <v>152</v>
      </c>
      <c r="E226" s="372" t="s">
        <v>151</v>
      </c>
      <c r="F226" s="357">
        <v>185</v>
      </c>
      <c r="G226" s="271">
        <v>100</v>
      </c>
      <c r="H226" s="376"/>
      <c r="I226" s="376"/>
    </row>
    <row r="227" spans="2:9" x14ac:dyDescent="0.25">
      <c r="B227" s="362">
        <v>44662</v>
      </c>
      <c r="C227" s="363">
        <v>15</v>
      </c>
      <c r="D227" s="364" t="s">
        <v>152</v>
      </c>
      <c r="E227" s="373" t="s">
        <v>151</v>
      </c>
      <c r="F227" s="352">
        <v>167</v>
      </c>
      <c r="G227" s="271"/>
      <c r="H227" s="376"/>
      <c r="I227" s="376">
        <v>25</v>
      </c>
    </row>
    <row r="228" spans="2:9" x14ac:dyDescent="0.25">
      <c r="B228" s="370">
        <v>44663</v>
      </c>
      <c r="C228" s="371">
        <v>15</v>
      </c>
      <c r="D228" s="364" t="s">
        <v>152</v>
      </c>
      <c r="E228" s="372" t="s">
        <v>151</v>
      </c>
      <c r="F228" s="357">
        <v>141</v>
      </c>
      <c r="G228" s="271"/>
      <c r="H228" s="376"/>
      <c r="I228" s="376">
        <v>13</v>
      </c>
    </row>
    <row r="229" spans="2:9" x14ac:dyDescent="0.25">
      <c r="B229" s="362">
        <v>44671</v>
      </c>
      <c r="C229" s="363">
        <v>16</v>
      </c>
      <c r="D229" s="364" t="s">
        <v>152</v>
      </c>
      <c r="E229" s="373" t="s">
        <v>151</v>
      </c>
      <c r="F229" s="352">
        <v>289</v>
      </c>
      <c r="G229" s="271">
        <v>130</v>
      </c>
      <c r="H229" s="376"/>
      <c r="I229" s="376"/>
    </row>
    <row r="230" spans="2:9" x14ac:dyDescent="0.25">
      <c r="B230" s="370">
        <v>44672</v>
      </c>
      <c r="C230" s="371">
        <v>16</v>
      </c>
      <c r="D230" s="364" t="s">
        <v>152</v>
      </c>
      <c r="E230" s="372" t="s">
        <v>151</v>
      </c>
      <c r="F230" s="357">
        <v>190</v>
      </c>
      <c r="G230" s="271">
        <v>134</v>
      </c>
      <c r="H230" s="376"/>
      <c r="I230" s="376"/>
    </row>
    <row r="231" spans="2:9" x14ac:dyDescent="0.25">
      <c r="B231" s="362">
        <v>44677</v>
      </c>
      <c r="C231" s="363">
        <v>17</v>
      </c>
      <c r="D231" s="364" t="s">
        <v>152</v>
      </c>
      <c r="E231" s="373" t="s">
        <v>151</v>
      </c>
      <c r="F231" s="352">
        <v>233</v>
      </c>
      <c r="G231" s="271">
        <v>112</v>
      </c>
      <c r="H231" s="376"/>
      <c r="I231" s="376"/>
    </row>
    <row r="232" spans="2:9" x14ac:dyDescent="0.25">
      <c r="B232" s="370">
        <v>44679</v>
      </c>
      <c r="C232" s="371">
        <v>17</v>
      </c>
      <c r="D232" s="364" t="s">
        <v>152</v>
      </c>
      <c r="E232" s="372" t="s">
        <v>151</v>
      </c>
      <c r="F232" s="357">
        <v>188</v>
      </c>
      <c r="G232" s="271">
        <v>122</v>
      </c>
      <c r="H232" s="376"/>
      <c r="I232" s="376"/>
    </row>
    <row r="233" spans="2:9" x14ac:dyDescent="0.25">
      <c r="B233" s="362">
        <v>44685</v>
      </c>
      <c r="C233" s="363">
        <v>18</v>
      </c>
      <c r="D233" s="364" t="s">
        <v>152</v>
      </c>
      <c r="E233" s="373" t="s">
        <v>151</v>
      </c>
      <c r="F233" s="352">
        <v>267</v>
      </c>
      <c r="G233" s="271"/>
      <c r="H233" s="376"/>
      <c r="I233" s="376">
        <v>36</v>
      </c>
    </row>
    <row r="234" spans="2:9" x14ac:dyDescent="0.25">
      <c r="B234" s="370">
        <v>44686</v>
      </c>
      <c r="C234" s="371">
        <v>18</v>
      </c>
      <c r="D234" s="364" t="s">
        <v>152</v>
      </c>
      <c r="E234" s="372" t="s">
        <v>151</v>
      </c>
      <c r="F234" s="357">
        <v>0</v>
      </c>
      <c r="G234" s="271">
        <v>83</v>
      </c>
      <c r="H234" s="376"/>
      <c r="I234" s="376"/>
    </row>
    <row r="235" spans="2:9" x14ac:dyDescent="0.25">
      <c r="B235" s="362">
        <v>44692</v>
      </c>
      <c r="C235" s="363">
        <v>19</v>
      </c>
      <c r="D235" s="364" t="s">
        <v>152</v>
      </c>
      <c r="E235" s="373" t="s">
        <v>151</v>
      </c>
      <c r="F235" s="352">
        <v>324</v>
      </c>
      <c r="G235" s="271">
        <v>106</v>
      </c>
      <c r="H235" s="376"/>
      <c r="I235" s="376"/>
    </row>
    <row r="236" spans="2:9" x14ac:dyDescent="0.25">
      <c r="B236" s="370">
        <v>44693</v>
      </c>
      <c r="C236" s="371">
        <v>19</v>
      </c>
      <c r="D236" s="364" t="s">
        <v>152</v>
      </c>
      <c r="E236" s="372" t="s">
        <v>151</v>
      </c>
      <c r="F236" s="357">
        <v>304</v>
      </c>
      <c r="G236" s="271">
        <v>132</v>
      </c>
      <c r="H236" s="376"/>
      <c r="I236" s="376"/>
    </row>
    <row r="237" spans="2:9" x14ac:dyDescent="0.25">
      <c r="B237" s="362">
        <v>44699</v>
      </c>
      <c r="C237" s="363">
        <v>20</v>
      </c>
      <c r="D237" s="364" t="s">
        <v>152</v>
      </c>
      <c r="E237" s="373" t="s">
        <v>151</v>
      </c>
      <c r="F237" s="352">
        <v>175</v>
      </c>
      <c r="G237" s="271">
        <v>49</v>
      </c>
      <c r="H237" s="376"/>
      <c r="I237" s="376"/>
    </row>
    <row r="238" spans="2:9" x14ac:dyDescent="0.25">
      <c r="B238" s="370">
        <v>44700</v>
      </c>
      <c r="C238" s="371">
        <v>20</v>
      </c>
      <c r="D238" s="364" t="s">
        <v>152</v>
      </c>
      <c r="E238" s="372" t="s">
        <v>151</v>
      </c>
      <c r="F238" s="357">
        <v>350</v>
      </c>
      <c r="G238" s="271">
        <v>127</v>
      </c>
      <c r="H238" s="376"/>
      <c r="I238" s="376"/>
    </row>
    <row r="239" spans="2:9" x14ac:dyDescent="0.25">
      <c r="B239" s="362">
        <v>44705</v>
      </c>
      <c r="C239" s="363">
        <v>21</v>
      </c>
      <c r="D239" s="364" t="s">
        <v>152</v>
      </c>
      <c r="E239" s="373" t="s">
        <v>151</v>
      </c>
      <c r="F239" s="352">
        <v>404</v>
      </c>
      <c r="G239" s="271">
        <v>90.8</v>
      </c>
      <c r="H239" s="376"/>
      <c r="I239" s="376"/>
    </row>
    <row r="240" spans="2:9" x14ac:dyDescent="0.25">
      <c r="B240" s="370">
        <v>44707</v>
      </c>
      <c r="C240" s="371">
        <v>21</v>
      </c>
      <c r="D240" s="364" t="s">
        <v>152</v>
      </c>
      <c r="E240" s="372" t="s">
        <v>151</v>
      </c>
      <c r="F240" s="357">
        <v>202</v>
      </c>
      <c r="G240" s="271">
        <v>96.3</v>
      </c>
      <c r="H240" s="376"/>
      <c r="I240" s="376"/>
    </row>
    <row r="241" spans="2:9" x14ac:dyDescent="0.25">
      <c r="B241" s="362">
        <v>44712</v>
      </c>
      <c r="C241" s="363">
        <v>22</v>
      </c>
      <c r="D241" s="364" t="s">
        <v>152</v>
      </c>
      <c r="E241" s="373" t="s">
        <v>151</v>
      </c>
      <c r="F241" s="352">
        <v>372</v>
      </c>
      <c r="G241" s="271">
        <v>161.58000000000001</v>
      </c>
      <c r="H241" s="376"/>
      <c r="I241" s="376"/>
    </row>
    <row r="242" spans="2:9" x14ac:dyDescent="0.25">
      <c r="B242" s="370">
        <v>44714</v>
      </c>
      <c r="C242" s="371">
        <v>22</v>
      </c>
      <c r="D242" s="364" t="s">
        <v>152</v>
      </c>
      <c r="E242" s="372" t="s">
        <v>151</v>
      </c>
      <c r="F242" s="357">
        <v>101</v>
      </c>
      <c r="G242" s="271">
        <v>50.4</v>
      </c>
      <c r="H242" s="376"/>
      <c r="I242" s="376"/>
    </row>
    <row r="243" spans="2:9" x14ac:dyDescent="0.25">
      <c r="B243" s="362">
        <v>44719</v>
      </c>
      <c r="C243" s="363">
        <v>23</v>
      </c>
      <c r="D243" s="364" t="s">
        <v>152</v>
      </c>
      <c r="E243" s="373" t="s">
        <v>151</v>
      </c>
      <c r="F243" s="352">
        <v>287</v>
      </c>
      <c r="G243" s="271">
        <v>132.6</v>
      </c>
      <c r="H243" s="376"/>
      <c r="I243" s="376"/>
    </row>
    <row r="244" spans="2:9" x14ac:dyDescent="0.25">
      <c r="B244" s="370">
        <v>44726</v>
      </c>
      <c r="C244" s="371">
        <v>24</v>
      </c>
      <c r="D244" s="364" t="s">
        <v>152</v>
      </c>
      <c r="E244" s="372" t="s">
        <v>151</v>
      </c>
      <c r="F244" s="357">
        <v>316</v>
      </c>
      <c r="G244" s="271">
        <v>92.4</v>
      </c>
      <c r="H244" s="376"/>
      <c r="I244" s="376"/>
    </row>
    <row r="245" spans="2:9" x14ac:dyDescent="0.25">
      <c r="B245" s="362">
        <v>44727</v>
      </c>
      <c r="C245" s="363">
        <v>24</v>
      </c>
      <c r="D245" s="364" t="s">
        <v>152</v>
      </c>
      <c r="E245" s="373" t="s">
        <v>151</v>
      </c>
      <c r="F245" s="352">
        <v>150</v>
      </c>
      <c r="G245" s="271">
        <v>49.4</v>
      </c>
      <c r="H245" s="376"/>
      <c r="I245" s="376"/>
    </row>
    <row r="246" spans="2:9" x14ac:dyDescent="0.25">
      <c r="B246" s="370">
        <v>44733</v>
      </c>
      <c r="C246" s="371">
        <v>25</v>
      </c>
      <c r="D246" s="364" t="s">
        <v>152</v>
      </c>
      <c r="E246" s="372" t="s">
        <v>151</v>
      </c>
      <c r="F246" s="357">
        <v>289</v>
      </c>
      <c r="G246" s="271">
        <v>70.8</v>
      </c>
      <c r="H246" s="376"/>
      <c r="I246" s="376"/>
    </row>
    <row r="247" spans="2:9" x14ac:dyDescent="0.25">
      <c r="B247" s="362">
        <v>44740</v>
      </c>
      <c r="C247" s="363">
        <v>26</v>
      </c>
      <c r="D247" s="364" t="s">
        <v>152</v>
      </c>
      <c r="E247" s="373" t="s">
        <v>151</v>
      </c>
      <c r="F247" s="352">
        <v>274</v>
      </c>
      <c r="G247" s="271">
        <v>74.52</v>
      </c>
      <c r="H247" s="376"/>
      <c r="I247" s="376"/>
    </row>
    <row r="248" spans="2:9" x14ac:dyDescent="0.25">
      <c r="B248" s="370">
        <v>44741</v>
      </c>
      <c r="C248" s="371">
        <v>26</v>
      </c>
      <c r="D248" s="364" t="s">
        <v>152</v>
      </c>
      <c r="E248" s="372" t="s">
        <v>151</v>
      </c>
      <c r="F248" s="357">
        <v>27</v>
      </c>
      <c r="G248" s="271">
        <v>4</v>
      </c>
      <c r="H248" s="376"/>
      <c r="I248" s="376"/>
    </row>
    <row r="249" spans="2:9" x14ac:dyDescent="0.25">
      <c r="B249" s="362">
        <v>44747</v>
      </c>
      <c r="C249" s="363">
        <v>27</v>
      </c>
      <c r="D249" s="364" t="s">
        <v>152</v>
      </c>
      <c r="E249" s="373" t="s">
        <v>151</v>
      </c>
      <c r="F249" s="352">
        <v>250</v>
      </c>
      <c r="G249" s="271">
        <v>51.1</v>
      </c>
      <c r="H249" s="376"/>
      <c r="I249" s="376"/>
    </row>
    <row r="250" spans="2:9" x14ac:dyDescent="0.25">
      <c r="B250" s="370">
        <v>44748</v>
      </c>
      <c r="C250" s="371">
        <v>27</v>
      </c>
      <c r="D250" s="364" t="s">
        <v>152</v>
      </c>
      <c r="E250" s="372" t="s">
        <v>151</v>
      </c>
      <c r="F250" s="357">
        <v>168</v>
      </c>
      <c r="G250" s="271">
        <v>33</v>
      </c>
      <c r="H250" s="376"/>
      <c r="I250" s="376"/>
    </row>
    <row r="251" spans="2:9" x14ac:dyDescent="0.25">
      <c r="B251" s="362">
        <v>44754</v>
      </c>
      <c r="C251" s="363">
        <v>28</v>
      </c>
      <c r="D251" s="364" t="s">
        <v>152</v>
      </c>
      <c r="E251" s="373" t="s">
        <v>151</v>
      </c>
      <c r="F251" s="352">
        <v>216</v>
      </c>
      <c r="G251" s="271">
        <v>52</v>
      </c>
      <c r="H251" s="376"/>
      <c r="I251" s="376"/>
    </row>
    <row r="252" spans="2:9" x14ac:dyDescent="0.25">
      <c r="B252" s="370">
        <v>44756</v>
      </c>
      <c r="C252" s="371">
        <v>28</v>
      </c>
      <c r="D252" s="364" t="s">
        <v>152</v>
      </c>
      <c r="E252" s="372" t="s">
        <v>151</v>
      </c>
      <c r="F252" s="357">
        <v>169</v>
      </c>
      <c r="G252" s="271">
        <v>29</v>
      </c>
      <c r="H252" s="376"/>
      <c r="I252" s="376"/>
    </row>
    <row r="253" spans="2:9" x14ac:dyDescent="0.25">
      <c r="B253" s="362">
        <v>44763</v>
      </c>
      <c r="C253" s="363">
        <v>29</v>
      </c>
      <c r="D253" s="364" t="s">
        <v>152</v>
      </c>
      <c r="E253" s="373" t="s">
        <v>151</v>
      </c>
      <c r="F253" s="352">
        <v>269</v>
      </c>
      <c r="G253" s="271">
        <v>67</v>
      </c>
      <c r="H253" s="376"/>
      <c r="I253" s="376"/>
    </row>
    <row r="254" spans="2:9" x14ac:dyDescent="0.25">
      <c r="B254" s="370">
        <v>44768</v>
      </c>
      <c r="C254" s="371">
        <v>30</v>
      </c>
      <c r="D254" s="364" t="s">
        <v>152</v>
      </c>
      <c r="E254" s="372" t="s">
        <v>151</v>
      </c>
      <c r="F254" s="357">
        <v>190</v>
      </c>
      <c r="G254" s="271">
        <v>68</v>
      </c>
      <c r="H254" s="376"/>
      <c r="I254" s="376"/>
    </row>
    <row r="255" spans="2:9" x14ac:dyDescent="0.25">
      <c r="B255" s="362">
        <v>44769</v>
      </c>
      <c r="C255" s="363">
        <v>30</v>
      </c>
      <c r="D255" s="364" t="s">
        <v>152</v>
      </c>
      <c r="E255" s="373" t="s">
        <v>151</v>
      </c>
      <c r="F255" s="352">
        <v>159</v>
      </c>
      <c r="G255" s="271">
        <v>76</v>
      </c>
      <c r="H255" s="376"/>
      <c r="I255" s="376"/>
    </row>
    <row r="256" spans="2:9" x14ac:dyDescent="0.25">
      <c r="B256" s="370">
        <v>44775</v>
      </c>
      <c r="C256" s="371">
        <v>31</v>
      </c>
      <c r="D256" s="364" t="s">
        <v>152</v>
      </c>
      <c r="E256" s="372" t="s">
        <v>151</v>
      </c>
      <c r="F256" s="357">
        <v>124</v>
      </c>
      <c r="G256" s="271">
        <v>27</v>
      </c>
      <c r="H256" s="376"/>
      <c r="I256" s="376"/>
    </row>
    <row r="257" spans="2:9" x14ac:dyDescent="0.25">
      <c r="B257" s="362">
        <v>44776</v>
      </c>
      <c r="C257" s="363">
        <v>31</v>
      </c>
      <c r="D257" s="364" t="s">
        <v>152</v>
      </c>
      <c r="E257" s="373" t="s">
        <v>151</v>
      </c>
      <c r="F257" s="352">
        <v>216</v>
      </c>
      <c r="G257" s="271">
        <v>89</v>
      </c>
      <c r="H257" s="376"/>
      <c r="I257" s="376"/>
    </row>
    <row r="258" spans="2:9" x14ac:dyDescent="0.25">
      <c r="B258" s="370">
        <v>44782</v>
      </c>
      <c r="C258" s="371">
        <v>32</v>
      </c>
      <c r="D258" s="364" t="s">
        <v>152</v>
      </c>
      <c r="E258" s="372" t="s">
        <v>151</v>
      </c>
      <c r="F258" s="357">
        <v>195</v>
      </c>
      <c r="G258" s="271">
        <v>53</v>
      </c>
      <c r="H258" s="376"/>
      <c r="I258" s="376"/>
    </row>
    <row r="259" spans="2:9" x14ac:dyDescent="0.25">
      <c r="B259" s="362">
        <v>44783</v>
      </c>
      <c r="C259" s="363">
        <v>32</v>
      </c>
      <c r="D259" s="364" t="s">
        <v>152</v>
      </c>
      <c r="E259" s="373" t="s">
        <v>151</v>
      </c>
      <c r="F259" s="352">
        <v>141</v>
      </c>
      <c r="G259" s="271">
        <v>38</v>
      </c>
      <c r="H259" s="376"/>
      <c r="I259" s="376"/>
    </row>
    <row r="260" spans="2:9" x14ac:dyDescent="0.25">
      <c r="B260" s="370">
        <v>44796</v>
      </c>
      <c r="C260" s="371">
        <v>34</v>
      </c>
      <c r="D260" s="364" t="s">
        <v>152</v>
      </c>
      <c r="E260" s="372" t="s">
        <v>151</v>
      </c>
      <c r="F260" s="357">
        <v>372</v>
      </c>
      <c r="G260" s="271">
        <v>98</v>
      </c>
      <c r="H260" s="376"/>
      <c r="I260" s="376"/>
    </row>
    <row r="261" spans="2:9" x14ac:dyDescent="0.25">
      <c r="B261" s="362">
        <v>44797</v>
      </c>
      <c r="C261" s="363">
        <v>34</v>
      </c>
      <c r="D261" s="364" t="s">
        <v>152</v>
      </c>
      <c r="E261" s="373" t="s">
        <v>151</v>
      </c>
      <c r="F261" s="352">
        <v>400</v>
      </c>
      <c r="G261" s="271">
        <v>158</v>
      </c>
      <c r="H261" s="376"/>
      <c r="I261" s="376"/>
    </row>
    <row r="262" spans="2:9" x14ac:dyDescent="0.25">
      <c r="B262" s="370">
        <v>44803</v>
      </c>
      <c r="C262" s="371">
        <v>35</v>
      </c>
      <c r="D262" s="364" t="s">
        <v>152</v>
      </c>
      <c r="E262" s="372" t="s">
        <v>151</v>
      </c>
      <c r="F262" s="357">
        <v>40</v>
      </c>
      <c r="G262" s="271">
        <v>15</v>
      </c>
      <c r="H262" s="376"/>
      <c r="I262" s="376"/>
    </row>
    <row r="263" spans="2:9" x14ac:dyDescent="0.25">
      <c r="B263" s="362">
        <v>44804</v>
      </c>
      <c r="C263" s="363">
        <v>35</v>
      </c>
      <c r="D263" s="364" t="s">
        <v>152</v>
      </c>
      <c r="E263" s="373" t="s">
        <v>151</v>
      </c>
      <c r="F263" s="352">
        <v>312</v>
      </c>
      <c r="G263" s="271"/>
      <c r="H263" s="378">
        <v>3523</v>
      </c>
      <c r="I263" s="376"/>
    </row>
    <row r="264" spans="2:9" x14ac:dyDescent="0.25">
      <c r="B264" s="370">
        <v>44810</v>
      </c>
      <c r="C264" s="371">
        <v>36</v>
      </c>
      <c r="D264" s="364" t="s">
        <v>152</v>
      </c>
      <c r="E264" s="372" t="s">
        <v>151</v>
      </c>
      <c r="F264" s="357">
        <v>342</v>
      </c>
      <c r="G264" s="271"/>
      <c r="H264" s="376">
        <v>2786</v>
      </c>
      <c r="I264" s="376"/>
    </row>
    <row r="265" spans="2:9" x14ac:dyDescent="0.25">
      <c r="B265" s="362">
        <v>44817</v>
      </c>
      <c r="C265" s="363">
        <v>37</v>
      </c>
      <c r="D265" s="364" t="s">
        <v>211</v>
      </c>
      <c r="E265" s="373" t="s">
        <v>151</v>
      </c>
      <c r="F265" s="352">
        <v>130</v>
      </c>
      <c r="G265" s="271">
        <v>137.91999999999999</v>
      </c>
      <c r="H265" s="376"/>
      <c r="I265" s="376"/>
    </row>
    <row r="266" spans="2:9" x14ac:dyDescent="0.25">
      <c r="B266" s="370">
        <v>44817</v>
      </c>
      <c r="C266" s="371">
        <v>37</v>
      </c>
      <c r="D266" s="364" t="s">
        <v>211</v>
      </c>
      <c r="E266" s="372" t="s">
        <v>151</v>
      </c>
      <c r="F266" s="357">
        <v>199</v>
      </c>
      <c r="G266" s="271"/>
      <c r="H266" s="376"/>
      <c r="I266" s="376"/>
    </row>
    <row r="267" spans="2:9" x14ac:dyDescent="0.25">
      <c r="B267" s="362">
        <v>44824</v>
      </c>
      <c r="C267" s="363">
        <v>38</v>
      </c>
      <c r="D267" s="364" t="s">
        <v>211</v>
      </c>
      <c r="E267" s="373" t="s">
        <v>151</v>
      </c>
      <c r="F267" s="352">
        <v>373</v>
      </c>
      <c r="G267" s="271">
        <v>95</v>
      </c>
      <c r="H267" s="376"/>
      <c r="I267" s="376"/>
    </row>
    <row r="268" spans="2:9" x14ac:dyDescent="0.25">
      <c r="B268" s="370">
        <v>44825</v>
      </c>
      <c r="C268" s="371">
        <v>38</v>
      </c>
      <c r="D268" s="364" t="s">
        <v>209</v>
      </c>
      <c r="E268" s="372" t="s">
        <v>151</v>
      </c>
      <c r="F268" s="357">
        <v>88</v>
      </c>
      <c r="G268" s="271">
        <v>29</v>
      </c>
      <c r="H268" s="376"/>
      <c r="I268" s="376"/>
    </row>
    <row r="269" spans="2:9" x14ac:dyDescent="0.25">
      <c r="B269" s="362">
        <v>44825</v>
      </c>
      <c r="C269" s="363">
        <v>38</v>
      </c>
      <c r="D269" s="364" t="s">
        <v>152</v>
      </c>
      <c r="E269" s="373" t="s">
        <v>151</v>
      </c>
      <c r="F269" s="352">
        <v>35</v>
      </c>
      <c r="G269" s="271">
        <v>38</v>
      </c>
      <c r="H269" s="376"/>
      <c r="I269" s="376"/>
    </row>
    <row r="270" spans="2:9" x14ac:dyDescent="0.25">
      <c r="B270" s="370">
        <v>44830</v>
      </c>
      <c r="C270" s="371">
        <v>39</v>
      </c>
      <c r="D270" s="364" t="s">
        <v>211</v>
      </c>
      <c r="E270" s="372" t="s">
        <v>151</v>
      </c>
      <c r="F270" s="357">
        <v>307</v>
      </c>
      <c r="G270" s="271"/>
      <c r="H270" s="376">
        <v>1870</v>
      </c>
      <c r="I270" s="376"/>
    </row>
    <row r="271" spans="2:9" x14ac:dyDescent="0.25">
      <c r="B271" s="362">
        <v>44840</v>
      </c>
      <c r="C271" s="363">
        <v>40</v>
      </c>
      <c r="D271" s="364" t="s">
        <v>211</v>
      </c>
      <c r="E271" s="372" t="s">
        <v>151</v>
      </c>
      <c r="F271" s="357">
        <v>78</v>
      </c>
      <c r="G271" s="271"/>
      <c r="H271" s="376">
        <v>127</v>
      </c>
      <c r="I271" s="376"/>
    </row>
    <row r="272" spans="2:9" x14ac:dyDescent="0.25">
      <c r="B272" s="362">
        <v>44845</v>
      </c>
      <c r="C272" s="363">
        <v>41</v>
      </c>
      <c r="D272" s="364" t="s">
        <v>211</v>
      </c>
      <c r="E272" s="372" t="s">
        <v>151</v>
      </c>
      <c r="F272" s="357">
        <v>404</v>
      </c>
      <c r="G272" s="271">
        <v>30</v>
      </c>
      <c r="H272" s="376"/>
      <c r="I272" s="376"/>
    </row>
    <row r="273" spans="2:9" x14ac:dyDescent="0.25">
      <c r="B273" s="370">
        <v>44846</v>
      </c>
      <c r="C273" s="371">
        <v>41</v>
      </c>
      <c r="D273" s="364" t="s">
        <v>211</v>
      </c>
      <c r="E273" s="372" t="s">
        <v>151</v>
      </c>
      <c r="F273" s="357">
        <v>201</v>
      </c>
      <c r="G273" s="271"/>
      <c r="H273" s="376">
        <v>510</v>
      </c>
      <c r="I273" s="376"/>
    </row>
    <row r="274" spans="2:9" x14ac:dyDescent="0.25">
      <c r="B274" s="362">
        <v>44852</v>
      </c>
      <c r="C274" s="363">
        <v>42</v>
      </c>
      <c r="D274" s="364" t="s">
        <v>211</v>
      </c>
      <c r="E274" s="372" t="s">
        <v>151</v>
      </c>
      <c r="F274" s="357">
        <v>347</v>
      </c>
      <c r="G274" s="271"/>
      <c r="H274" s="376">
        <v>82</v>
      </c>
      <c r="I274" s="376"/>
    </row>
    <row r="275" spans="2:9" x14ac:dyDescent="0.25">
      <c r="B275" s="370">
        <v>44853</v>
      </c>
      <c r="C275" s="371">
        <v>42</v>
      </c>
      <c r="D275" s="364" t="s">
        <v>211</v>
      </c>
      <c r="E275" s="372" t="s">
        <v>151</v>
      </c>
      <c r="F275" s="357">
        <v>69</v>
      </c>
      <c r="G275" s="271"/>
      <c r="H275" s="376">
        <v>11</v>
      </c>
      <c r="I275" s="376"/>
    </row>
    <row r="276" spans="2:9" x14ac:dyDescent="0.25">
      <c r="B276" s="362">
        <v>44853</v>
      </c>
      <c r="C276" s="363">
        <v>42</v>
      </c>
      <c r="D276" s="364" t="s">
        <v>211</v>
      </c>
      <c r="E276" s="372" t="s">
        <v>151</v>
      </c>
      <c r="F276" s="357">
        <v>84</v>
      </c>
      <c r="G276" s="271"/>
      <c r="H276" s="376">
        <v>0</v>
      </c>
      <c r="I276" s="376"/>
    </row>
    <row r="277" spans="2:9" x14ac:dyDescent="0.25">
      <c r="B277" s="362">
        <v>44858</v>
      </c>
      <c r="C277" s="363">
        <v>43</v>
      </c>
      <c r="D277" s="364" t="s">
        <v>211</v>
      </c>
      <c r="E277" s="372" t="s">
        <v>151</v>
      </c>
      <c r="F277" s="357">
        <v>100</v>
      </c>
      <c r="G277" s="271"/>
      <c r="H277" s="376"/>
      <c r="I277" s="376"/>
    </row>
    <row r="278" spans="2:9" x14ac:dyDescent="0.25">
      <c r="B278" s="370"/>
      <c r="C278" s="371"/>
      <c r="D278" s="364" t="s">
        <v>211</v>
      </c>
      <c r="E278" s="372" t="s">
        <v>151</v>
      </c>
      <c r="F278" s="357"/>
      <c r="G278" s="271"/>
      <c r="H278" s="376"/>
      <c r="I278" s="376"/>
    </row>
    <row r="279" spans="2:9" x14ac:dyDescent="0.25">
      <c r="B279" s="370"/>
      <c r="C279" s="371"/>
      <c r="D279" s="364" t="s">
        <v>211</v>
      </c>
      <c r="E279" s="372" t="s">
        <v>151</v>
      </c>
      <c r="F279" s="357"/>
      <c r="G279" s="271"/>
      <c r="H279" s="376"/>
      <c r="I279" s="376"/>
    </row>
    <row r="280" spans="2:9" x14ac:dyDescent="0.25">
      <c r="B280" s="370"/>
      <c r="C280" s="371"/>
      <c r="D280" s="364" t="s">
        <v>211</v>
      </c>
      <c r="E280" s="372" t="s">
        <v>151</v>
      </c>
      <c r="F280" s="357"/>
      <c r="G280" s="271"/>
      <c r="H280" s="376"/>
      <c r="I280" s="376"/>
    </row>
    <row r="281" spans="2:9" x14ac:dyDescent="0.25">
      <c r="B281" s="370"/>
      <c r="C281" s="371"/>
      <c r="D281" s="364" t="s">
        <v>211</v>
      </c>
      <c r="E281" s="372" t="s">
        <v>151</v>
      </c>
      <c r="F281" s="357"/>
      <c r="G281" s="271"/>
      <c r="H281" s="376"/>
      <c r="I281" s="376"/>
    </row>
    <row r="282" spans="2:9" x14ac:dyDescent="0.25">
      <c r="B282" s="370"/>
      <c r="C282" s="371"/>
      <c r="D282" s="364" t="s">
        <v>211</v>
      </c>
      <c r="E282" s="372" t="s">
        <v>151</v>
      </c>
      <c r="F282" s="357"/>
      <c r="G282" s="271"/>
      <c r="H282" s="376"/>
      <c r="I282" s="376"/>
    </row>
    <row r="283" spans="2:9" x14ac:dyDescent="0.25">
      <c r="B283" s="370"/>
      <c r="C283" s="371"/>
      <c r="D283" s="364" t="s">
        <v>211</v>
      </c>
      <c r="E283" s="372" t="s">
        <v>151</v>
      </c>
      <c r="F283" s="357"/>
      <c r="G283" s="271"/>
      <c r="H283" s="376"/>
      <c r="I283" s="376"/>
    </row>
    <row r="284" spans="2:9" x14ac:dyDescent="0.25">
      <c r="B284" s="370"/>
      <c r="C284" s="371"/>
      <c r="D284" s="364" t="s">
        <v>211</v>
      </c>
      <c r="E284" s="372" t="s">
        <v>151</v>
      </c>
      <c r="F284" s="357"/>
      <c r="G284" s="271"/>
      <c r="H284" s="376"/>
      <c r="I284" s="376"/>
    </row>
    <row r="285" spans="2:9" x14ac:dyDescent="0.25">
      <c r="B285" s="370"/>
      <c r="C285" s="371"/>
      <c r="D285" s="364" t="s">
        <v>211</v>
      </c>
      <c r="E285" s="372" t="s">
        <v>151</v>
      </c>
      <c r="F285" s="357"/>
      <c r="G285" s="271"/>
      <c r="H285" s="376"/>
      <c r="I285" s="376"/>
    </row>
    <row r="286" spans="2:9" x14ac:dyDescent="0.25">
      <c r="B286" s="370"/>
      <c r="C286" s="371"/>
      <c r="D286" s="364" t="s">
        <v>211</v>
      </c>
      <c r="E286" s="372" t="s">
        <v>151</v>
      </c>
      <c r="F286" s="357"/>
      <c r="G286" s="271"/>
      <c r="H286" s="376"/>
      <c r="I286" s="376"/>
    </row>
    <row r="287" spans="2:9" x14ac:dyDescent="0.25">
      <c r="B287" s="370"/>
      <c r="C287" s="371"/>
      <c r="D287" s="364" t="s">
        <v>211</v>
      </c>
      <c r="E287" s="372" t="s">
        <v>151</v>
      </c>
      <c r="F287" s="357"/>
      <c r="G287" s="271"/>
      <c r="H287" s="376"/>
      <c r="I287" s="376"/>
    </row>
    <row r="288" spans="2:9" x14ac:dyDescent="0.25">
      <c r="B288" s="370"/>
      <c r="C288" s="371"/>
      <c r="D288" s="364" t="s">
        <v>211</v>
      </c>
      <c r="E288" s="372" t="s">
        <v>151</v>
      </c>
      <c r="F288" s="357"/>
      <c r="G288" s="271"/>
      <c r="H288" s="376"/>
      <c r="I288" s="376"/>
    </row>
    <row r="289" spans="2:9" x14ac:dyDescent="0.25">
      <c r="B289" s="370"/>
      <c r="C289" s="371"/>
      <c r="D289" s="364" t="s">
        <v>211</v>
      </c>
      <c r="E289" s="372" t="s">
        <v>151</v>
      </c>
      <c r="F289" s="357"/>
      <c r="G289" s="271"/>
      <c r="H289" s="376"/>
      <c r="I289" s="376"/>
    </row>
    <row r="290" spans="2:9" x14ac:dyDescent="0.25">
      <c r="B290" s="370"/>
      <c r="C290" s="371"/>
      <c r="D290" s="364" t="s">
        <v>211</v>
      </c>
      <c r="E290" s="372" t="s">
        <v>151</v>
      </c>
      <c r="F290" s="357"/>
      <c r="G290" s="271"/>
      <c r="H290" s="376"/>
      <c r="I290" s="376"/>
    </row>
    <row r="291" spans="2:9" x14ac:dyDescent="0.25">
      <c r="B291" s="370"/>
      <c r="C291" s="371"/>
      <c r="D291" s="364" t="s">
        <v>211</v>
      </c>
      <c r="E291" s="372" t="s">
        <v>151</v>
      </c>
      <c r="F291" s="357"/>
      <c r="G291" s="271"/>
      <c r="H291" s="376"/>
      <c r="I291" s="376"/>
    </row>
    <row r="292" spans="2:9" x14ac:dyDescent="0.25">
      <c r="B292" s="370"/>
      <c r="C292" s="371"/>
      <c r="D292" s="364" t="s">
        <v>211</v>
      </c>
      <c r="E292" s="372" t="s">
        <v>151</v>
      </c>
      <c r="F292" s="357"/>
      <c r="G292" s="271"/>
      <c r="H292" s="376"/>
      <c r="I292" s="376"/>
    </row>
    <row r="293" spans="2:9" x14ac:dyDescent="0.25">
      <c r="B293" s="370"/>
      <c r="C293" s="371"/>
      <c r="D293" s="364" t="s">
        <v>211</v>
      </c>
      <c r="E293" s="372" t="s">
        <v>151</v>
      </c>
      <c r="F293" s="357"/>
      <c r="G293" s="271"/>
      <c r="H293" s="376"/>
      <c r="I293" s="376"/>
    </row>
    <row r="294" spans="2:9" x14ac:dyDescent="0.25">
      <c r="B294" s="370"/>
      <c r="C294" s="371"/>
      <c r="D294" s="364" t="s">
        <v>211</v>
      </c>
      <c r="E294" s="372" t="s">
        <v>151</v>
      </c>
      <c r="F294" s="357"/>
      <c r="G294" s="271"/>
      <c r="H294" s="376"/>
      <c r="I294" s="376"/>
    </row>
    <row r="295" spans="2:9" x14ac:dyDescent="0.25">
      <c r="B295" s="370"/>
      <c r="C295" s="371"/>
      <c r="D295" s="364" t="s">
        <v>211</v>
      </c>
      <c r="E295" s="372" t="s">
        <v>151</v>
      </c>
      <c r="F295" s="357"/>
      <c r="G295" s="271"/>
      <c r="H295" s="376"/>
      <c r="I295" s="376"/>
    </row>
    <row r="296" spans="2:9" x14ac:dyDescent="0.25">
      <c r="B296" s="370"/>
      <c r="C296" s="371"/>
      <c r="D296" s="364" t="s">
        <v>211</v>
      </c>
      <c r="E296" s="372" t="s">
        <v>151</v>
      </c>
      <c r="F296" s="357"/>
      <c r="G296" s="271"/>
      <c r="H296" s="376"/>
      <c r="I296" s="376"/>
    </row>
    <row r="297" spans="2:9" x14ac:dyDescent="0.25">
      <c r="B297" s="370"/>
      <c r="C297" s="371"/>
      <c r="D297" s="364" t="s">
        <v>211</v>
      </c>
      <c r="E297" s="372" t="s">
        <v>151</v>
      </c>
      <c r="F297" s="357"/>
      <c r="G297" s="271"/>
      <c r="H297" s="376"/>
      <c r="I297" s="376"/>
    </row>
    <row r="298" spans="2:9" x14ac:dyDescent="0.25">
      <c r="B298" s="370"/>
      <c r="C298" s="371"/>
      <c r="D298" s="364" t="s">
        <v>211</v>
      </c>
      <c r="E298" s="372" t="s">
        <v>151</v>
      </c>
      <c r="F298" s="357"/>
      <c r="G298" s="271"/>
      <c r="H298" s="376"/>
      <c r="I298" s="376"/>
    </row>
    <row r="299" spans="2:9" s="381" customFormat="1" ht="21" x14ac:dyDescent="0.35">
      <c r="D299" s="382" t="s">
        <v>213</v>
      </c>
      <c r="E299" s="383"/>
      <c r="F299" s="384">
        <f>SUM(F176:F270)</f>
        <v>23652</v>
      </c>
      <c r="G299" s="385">
        <f>SUM(G176:G270)</f>
        <v>5007.9100000000008</v>
      </c>
      <c r="H299" s="385">
        <f>SUM(H176:H270)</f>
        <v>8179</v>
      </c>
      <c r="I299" s="386">
        <f>SUM(I176:I270)</f>
        <v>153.5</v>
      </c>
    </row>
    <row r="303" spans="2:9" ht="15.75" thickBot="1" x14ac:dyDescent="0.3"/>
    <row r="304" spans="2:9" ht="15.75" thickBot="1" x14ac:dyDescent="0.3">
      <c r="B304" s="343" t="s">
        <v>6</v>
      </c>
      <c r="C304" s="344" t="s">
        <v>86</v>
      </c>
      <c r="D304" s="345" t="s">
        <v>214</v>
      </c>
      <c r="E304" s="346" t="s">
        <v>8</v>
      </c>
      <c r="F304" s="347" t="s">
        <v>9</v>
      </c>
      <c r="G304" s="345" t="s">
        <v>10</v>
      </c>
      <c r="H304" s="261" t="s">
        <v>138</v>
      </c>
      <c r="I304" s="261" t="s">
        <v>139</v>
      </c>
    </row>
    <row r="305" spans="2:9" x14ac:dyDescent="0.25">
      <c r="B305" s="348">
        <v>44468</v>
      </c>
      <c r="C305" s="349">
        <v>39</v>
      </c>
      <c r="D305" s="349" t="s">
        <v>207</v>
      </c>
      <c r="E305" s="351" t="s">
        <v>31</v>
      </c>
      <c r="F305" s="352">
        <v>68</v>
      </c>
      <c r="G305" s="271">
        <v>65.52</v>
      </c>
      <c r="H305" s="271"/>
      <c r="I305" s="271"/>
    </row>
    <row r="306" spans="2:9" x14ac:dyDescent="0.25">
      <c r="B306" s="353">
        <v>44482</v>
      </c>
      <c r="C306" s="354">
        <v>41</v>
      </c>
      <c r="D306" s="354" t="s">
        <v>157</v>
      </c>
      <c r="E306" s="355" t="s">
        <v>31</v>
      </c>
      <c r="F306" s="357">
        <v>106</v>
      </c>
      <c r="G306" s="271">
        <v>50.4</v>
      </c>
      <c r="H306" s="271"/>
      <c r="I306" s="271"/>
    </row>
    <row r="307" spans="2:9" x14ac:dyDescent="0.25">
      <c r="B307" s="348">
        <v>44496</v>
      </c>
      <c r="C307" s="349">
        <v>43</v>
      </c>
      <c r="D307" s="349" t="s">
        <v>157</v>
      </c>
      <c r="E307" s="351" t="s">
        <v>31</v>
      </c>
      <c r="F307" s="352">
        <v>121</v>
      </c>
      <c r="G307" s="271">
        <v>55</v>
      </c>
      <c r="H307" s="271"/>
      <c r="I307" s="271"/>
    </row>
    <row r="308" spans="2:9" x14ac:dyDescent="0.25">
      <c r="B308" s="353">
        <v>44497</v>
      </c>
      <c r="C308" s="354">
        <v>43</v>
      </c>
      <c r="D308" s="354" t="s">
        <v>157</v>
      </c>
      <c r="E308" s="355" t="s">
        <v>31</v>
      </c>
      <c r="F308" s="357">
        <v>50</v>
      </c>
      <c r="G308" s="271">
        <v>80.959999999999994</v>
      </c>
      <c r="H308" s="271"/>
      <c r="I308" s="271"/>
    </row>
    <row r="309" spans="2:9" x14ac:dyDescent="0.25">
      <c r="B309" s="348">
        <v>44510</v>
      </c>
      <c r="C309" s="349">
        <v>45</v>
      </c>
      <c r="D309" s="349" t="s">
        <v>157</v>
      </c>
      <c r="E309" s="351" t="s">
        <v>31</v>
      </c>
      <c r="F309" s="352">
        <v>208</v>
      </c>
      <c r="G309" s="271">
        <v>68.400000000000006</v>
      </c>
      <c r="H309" s="271"/>
      <c r="I309" s="271"/>
    </row>
    <row r="310" spans="2:9" x14ac:dyDescent="0.25">
      <c r="B310" s="353">
        <v>44517</v>
      </c>
      <c r="C310" s="354">
        <v>46</v>
      </c>
      <c r="D310" s="354" t="s">
        <v>157</v>
      </c>
      <c r="E310" s="355" t="s">
        <v>31</v>
      </c>
      <c r="F310" s="357">
        <v>186</v>
      </c>
      <c r="G310" s="271">
        <v>43.120000000000005</v>
      </c>
      <c r="H310" s="271"/>
      <c r="I310" s="271"/>
    </row>
    <row r="311" spans="2:9" x14ac:dyDescent="0.25">
      <c r="B311" s="348">
        <v>44524</v>
      </c>
      <c r="C311" s="349">
        <v>47</v>
      </c>
      <c r="D311" s="349" t="s">
        <v>157</v>
      </c>
      <c r="E311" s="351" t="s">
        <v>31</v>
      </c>
      <c r="F311" s="352">
        <v>100</v>
      </c>
      <c r="G311" s="271">
        <v>25.2</v>
      </c>
      <c r="H311" s="271"/>
      <c r="I311" s="271"/>
    </row>
    <row r="312" spans="2:9" x14ac:dyDescent="0.25">
      <c r="B312" s="353">
        <v>44531</v>
      </c>
      <c r="C312" s="354">
        <v>48</v>
      </c>
      <c r="D312" s="354" t="s">
        <v>157</v>
      </c>
      <c r="E312" s="355" t="s">
        <v>31</v>
      </c>
      <c r="F312" s="357">
        <v>32</v>
      </c>
      <c r="G312" s="271">
        <v>12.5</v>
      </c>
      <c r="H312" s="271"/>
      <c r="I312" s="271"/>
    </row>
    <row r="313" spans="2:9" x14ac:dyDescent="0.25">
      <c r="B313" s="348">
        <v>44546</v>
      </c>
      <c r="C313" s="349">
        <v>50</v>
      </c>
      <c r="D313" s="349" t="s">
        <v>157</v>
      </c>
      <c r="E313" s="351" t="s">
        <v>31</v>
      </c>
      <c r="F313" s="352">
        <v>103</v>
      </c>
      <c r="G313" s="271">
        <v>61.199999999999996</v>
      </c>
      <c r="H313" s="271"/>
      <c r="I313" s="271"/>
    </row>
    <row r="314" spans="2:9" x14ac:dyDescent="0.25">
      <c r="B314" s="353">
        <v>44559</v>
      </c>
      <c r="C314" s="354">
        <v>52</v>
      </c>
      <c r="D314" s="354" t="s">
        <v>157</v>
      </c>
      <c r="E314" s="355" t="s">
        <v>31</v>
      </c>
      <c r="F314" s="357">
        <v>81</v>
      </c>
      <c r="G314" s="271">
        <v>11</v>
      </c>
      <c r="H314" s="271"/>
      <c r="I314" s="271"/>
    </row>
    <row r="315" spans="2:9" x14ac:dyDescent="0.25">
      <c r="B315" s="348">
        <v>44566</v>
      </c>
      <c r="C315" s="359">
        <v>1</v>
      </c>
      <c r="D315" s="379" t="s">
        <v>157</v>
      </c>
      <c r="E315" s="351" t="s">
        <v>31</v>
      </c>
      <c r="F315" s="377">
        <v>77</v>
      </c>
      <c r="G315" s="273">
        <v>49</v>
      </c>
      <c r="H315" s="271"/>
      <c r="I315" s="271"/>
    </row>
    <row r="316" spans="2:9" x14ac:dyDescent="0.25">
      <c r="B316" s="353">
        <v>44579</v>
      </c>
      <c r="C316" s="306">
        <v>3</v>
      </c>
      <c r="D316" s="380" t="s">
        <v>157</v>
      </c>
      <c r="E316" s="355" t="s">
        <v>31</v>
      </c>
      <c r="F316" s="357">
        <v>87</v>
      </c>
      <c r="G316" s="273">
        <v>37.4</v>
      </c>
      <c r="H316" s="271"/>
      <c r="I316" s="271"/>
    </row>
    <row r="317" spans="2:9" x14ac:dyDescent="0.25">
      <c r="B317" s="348">
        <v>44587</v>
      </c>
      <c r="C317" s="359">
        <v>4</v>
      </c>
      <c r="D317" s="379" t="s">
        <v>157</v>
      </c>
      <c r="E317" s="351" t="s">
        <v>31</v>
      </c>
      <c r="F317" s="352">
        <v>87</v>
      </c>
      <c r="G317" s="273">
        <v>42.5</v>
      </c>
      <c r="H317" s="271"/>
      <c r="I317" s="271"/>
    </row>
    <row r="318" spans="2:9" x14ac:dyDescent="0.25">
      <c r="B318" s="353">
        <v>44594</v>
      </c>
      <c r="C318" s="306">
        <v>5</v>
      </c>
      <c r="D318" s="380" t="s">
        <v>157</v>
      </c>
      <c r="E318" s="355" t="s">
        <v>31</v>
      </c>
      <c r="F318" s="357">
        <v>92</v>
      </c>
      <c r="G318" s="273">
        <v>61.2</v>
      </c>
      <c r="H318" s="271"/>
      <c r="I318" s="271"/>
    </row>
    <row r="319" spans="2:9" x14ac:dyDescent="0.25">
      <c r="B319" s="348">
        <v>44601</v>
      </c>
      <c r="C319" s="359">
        <v>6</v>
      </c>
      <c r="D319" s="379" t="s">
        <v>157</v>
      </c>
      <c r="E319" s="351" t="s">
        <v>31</v>
      </c>
      <c r="F319" s="352">
        <v>78</v>
      </c>
      <c r="G319" s="273"/>
      <c r="H319" s="271"/>
      <c r="I319" s="271"/>
    </row>
    <row r="320" spans="2:9" x14ac:dyDescent="0.25">
      <c r="B320" s="365">
        <v>44608</v>
      </c>
      <c r="C320" s="321">
        <v>7</v>
      </c>
      <c r="D320" s="380" t="s">
        <v>157</v>
      </c>
      <c r="E320" s="355" t="s">
        <v>31</v>
      </c>
      <c r="F320" s="357">
        <v>154</v>
      </c>
      <c r="G320" s="273">
        <v>39.119999999999997</v>
      </c>
      <c r="H320" s="271"/>
      <c r="I320" s="271"/>
    </row>
    <row r="321" spans="2:9" x14ac:dyDescent="0.25">
      <c r="B321" s="367">
        <v>44620</v>
      </c>
      <c r="C321" s="368">
        <v>9</v>
      </c>
      <c r="D321" s="379" t="s">
        <v>157</v>
      </c>
      <c r="E321" s="351" t="s">
        <v>31</v>
      </c>
      <c r="F321" s="352">
        <v>115.5</v>
      </c>
      <c r="G321" s="273">
        <v>44.24</v>
      </c>
      <c r="H321" s="271"/>
      <c r="I321" s="271"/>
    </row>
    <row r="322" spans="2:9" x14ac:dyDescent="0.25">
      <c r="B322" s="370">
        <v>44623</v>
      </c>
      <c r="C322" s="371">
        <v>9</v>
      </c>
      <c r="D322" s="380" t="s">
        <v>157</v>
      </c>
      <c r="E322" s="355" t="s">
        <v>31</v>
      </c>
      <c r="F322" s="357">
        <v>31</v>
      </c>
      <c r="G322" s="375"/>
      <c r="H322" s="376"/>
      <c r="I322" s="376">
        <v>2</v>
      </c>
    </row>
    <row r="323" spans="2:9" x14ac:dyDescent="0.25">
      <c r="B323" s="362">
        <v>44637</v>
      </c>
      <c r="C323" s="363">
        <v>11</v>
      </c>
      <c r="D323" s="379" t="s">
        <v>157</v>
      </c>
      <c r="E323" s="351" t="s">
        <v>31</v>
      </c>
      <c r="F323" s="352">
        <v>200</v>
      </c>
      <c r="G323" s="375">
        <v>14</v>
      </c>
      <c r="H323" s="376"/>
      <c r="I323" s="376"/>
    </row>
    <row r="324" spans="2:9" x14ac:dyDescent="0.25">
      <c r="B324" s="370">
        <v>44642</v>
      </c>
      <c r="C324" s="371">
        <v>12</v>
      </c>
      <c r="D324" s="380" t="s">
        <v>157</v>
      </c>
      <c r="E324" s="355" t="s">
        <v>31</v>
      </c>
      <c r="F324" s="357">
        <v>180</v>
      </c>
      <c r="G324" s="375">
        <v>54.34</v>
      </c>
      <c r="H324" s="376"/>
      <c r="I324" s="376"/>
    </row>
    <row r="325" spans="2:9" x14ac:dyDescent="0.25">
      <c r="B325" s="367">
        <v>44649</v>
      </c>
      <c r="C325" s="368">
        <v>13</v>
      </c>
      <c r="D325" s="379" t="s">
        <v>157</v>
      </c>
      <c r="E325" s="351" t="s">
        <v>31</v>
      </c>
      <c r="F325" s="352">
        <v>215.6</v>
      </c>
      <c r="G325" s="273">
        <v>44.1</v>
      </c>
      <c r="H325" s="271"/>
      <c r="I325" s="271"/>
    </row>
    <row r="326" spans="2:9" x14ac:dyDescent="0.25">
      <c r="B326" s="370">
        <v>44656</v>
      </c>
      <c r="C326" s="371">
        <v>14</v>
      </c>
      <c r="D326" s="380" t="s">
        <v>157</v>
      </c>
      <c r="E326" s="355" t="s">
        <v>31</v>
      </c>
      <c r="F326" s="357">
        <v>160</v>
      </c>
      <c r="G326" s="375">
        <v>65</v>
      </c>
      <c r="H326" s="376"/>
      <c r="I326" s="376"/>
    </row>
    <row r="327" spans="2:9" x14ac:dyDescent="0.25">
      <c r="B327" s="362">
        <v>44670</v>
      </c>
      <c r="C327" s="363">
        <v>16</v>
      </c>
      <c r="D327" s="379" t="s">
        <v>157</v>
      </c>
      <c r="E327" s="351" t="s">
        <v>31</v>
      </c>
      <c r="F327" s="352">
        <v>221</v>
      </c>
      <c r="G327" s="375">
        <v>42</v>
      </c>
      <c r="H327" s="376"/>
      <c r="I327" s="376"/>
    </row>
    <row r="328" spans="2:9" x14ac:dyDescent="0.25">
      <c r="B328" s="370">
        <v>44672</v>
      </c>
      <c r="C328" s="371">
        <v>16</v>
      </c>
      <c r="D328" s="380" t="s">
        <v>157</v>
      </c>
      <c r="E328" s="355" t="s">
        <v>31</v>
      </c>
      <c r="F328" s="357">
        <v>120</v>
      </c>
      <c r="G328" s="375">
        <v>36.96</v>
      </c>
      <c r="H328" s="376"/>
      <c r="I328" s="376"/>
    </row>
    <row r="329" spans="2:9" x14ac:dyDescent="0.25">
      <c r="B329" s="362">
        <v>44678</v>
      </c>
      <c r="C329" s="363">
        <v>17</v>
      </c>
      <c r="D329" s="379" t="s">
        <v>157</v>
      </c>
      <c r="E329" s="351" t="s">
        <v>31</v>
      </c>
      <c r="F329" s="352">
        <v>208</v>
      </c>
      <c r="G329" s="375">
        <v>36</v>
      </c>
      <c r="H329" s="376"/>
      <c r="I329" s="376"/>
    </row>
    <row r="330" spans="2:9" x14ac:dyDescent="0.25">
      <c r="B330" s="370">
        <v>44684</v>
      </c>
      <c r="C330" s="371">
        <v>18</v>
      </c>
      <c r="D330" s="380" t="s">
        <v>157</v>
      </c>
      <c r="E330" s="355" t="s">
        <v>31</v>
      </c>
      <c r="F330" s="357">
        <v>221</v>
      </c>
      <c r="G330" s="375"/>
      <c r="H330" s="376"/>
      <c r="I330" s="376">
        <v>18</v>
      </c>
    </row>
    <row r="331" spans="2:9" x14ac:dyDescent="0.25">
      <c r="B331" s="362">
        <v>44691</v>
      </c>
      <c r="C331" s="363">
        <v>19</v>
      </c>
      <c r="D331" s="379" t="s">
        <v>157</v>
      </c>
      <c r="E331" s="351" t="s">
        <v>31</v>
      </c>
      <c r="F331" s="352">
        <v>173</v>
      </c>
      <c r="G331" s="375">
        <v>45.2</v>
      </c>
      <c r="H331" s="376"/>
      <c r="I331" s="376"/>
    </row>
    <row r="332" spans="2:9" x14ac:dyDescent="0.25">
      <c r="B332" s="370">
        <v>44698</v>
      </c>
      <c r="C332" s="371">
        <v>20</v>
      </c>
      <c r="D332" s="380" t="s">
        <v>157</v>
      </c>
      <c r="E332" s="355" t="s">
        <v>31</v>
      </c>
      <c r="F332" s="357">
        <v>259</v>
      </c>
      <c r="G332" s="375">
        <v>39</v>
      </c>
      <c r="H332" s="376"/>
      <c r="I332" s="376"/>
    </row>
    <row r="333" spans="2:9" x14ac:dyDescent="0.25">
      <c r="B333" s="362">
        <v>44706</v>
      </c>
      <c r="C333" s="363">
        <v>21</v>
      </c>
      <c r="D333" s="379" t="s">
        <v>157</v>
      </c>
      <c r="E333" s="351" t="s">
        <v>31</v>
      </c>
      <c r="F333" s="352">
        <v>327</v>
      </c>
      <c r="G333" s="375">
        <v>69</v>
      </c>
      <c r="H333" s="376"/>
      <c r="I333" s="376"/>
    </row>
    <row r="334" spans="2:9" x14ac:dyDescent="0.25">
      <c r="B334" s="370">
        <v>44713</v>
      </c>
      <c r="C334" s="371">
        <v>22</v>
      </c>
      <c r="D334" s="380" t="s">
        <v>157</v>
      </c>
      <c r="E334" s="355" t="s">
        <v>31</v>
      </c>
      <c r="F334" s="357">
        <v>341</v>
      </c>
      <c r="G334" s="375">
        <v>100.6</v>
      </c>
      <c r="H334" s="376"/>
      <c r="I334" s="376"/>
    </row>
    <row r="335" spans="2:9" x14ac:dyDescent="0.25">
      <c r="B335" s="362">
        <v>44714</v>
      </c>
      <c r="C335" s="363">
        <v>22</v>
      </c>
      <c r="D335" s="379" t="s">
        <v>157</v>
      </c>
      <c r="E335" s="351" t="s">
        <v>31</v>
      </c>
      <c r="F335" s="352">
        <v>79</v>
      </c>
      <c r="G335" s="375">
        <v>18.399999999999999</v>
      </c>
      <c r="H335" s="376"/>
      <c r="I335" s="376"/>
    </row>
    <row r="336" spans="2:9" x14ac:dyDescent="0.25">
      <c r="B336" s="370">
        <v>44718</v>
      </c>
      <c r="C336" s="371">
        <v>23</v>
      </c>
      <c r="D336" s="380" t="s">
        <v>157</v>
      </c>
      <c r="E336" s="355" t="s">
        <v>31</v>
      </c>
      <c r="F336" s="357">
        <v>263</v>
      </c>
      <c r="G336" s="375">
        <v>53.2</v>
      </c>
      <c r="H336" s="376"/>
      <c r="I336" s="376"/>
    </row>
    <row r="337" spans="2:9" x14ac:dyDescent="0.25">
      <c r="B337" s="362">
        <v>44727</v>
      </c>
      <c r="C337" s="363">
        <v>24</v>
      </c>
      <c r="D337" s="379" t="s">
        <v>157</v>
      </c>
      <c r="E337" s="351" t="s">
        <v>31</v>
      </c>
      <c r="F337" s="352">
        <v>347</v>
      </c>
      <c r="G337" s="375">
        <v>107.4</v>
      </c>
      <c r="H337" s="376"/>
      <c r="I337" s="376"/>
    </row>
    <row r="338" spans="2:9" x14ac:dyDescent="0.25">
      <c r="B338" s="370">
        <v>44734</v>
      </c>
      <c r="C338" s="371">
        <v>25</v>
      </c>
      <c r="D338" s="380" t="s">
        <v>157</v>
      </c>
      <c r="E338" s="355" t="s">
        <v>31</v>
      </c>
      <c r="F338" s="357">
        <v>370</v>
      </c>
      <c r="G338" s="375">
        <v>136.1</v>
      </c>
      <c r="H338" s="376"/>
      <c r="I338" s="376"/>
    </row>
    <row r="339" spans="2:9" x14ac:dyDescent="0.25">
      <c r="B339" s="362">
        <v>44735</v>
      </c>
      <c r="C339" s="363">
        <v>25</v>
      </c>
      <c r="D339" s="379" t="s">
        <v>157</v>
      </c>
      <c r="E339" s="351" t="s">
        <v>31</v>
      </c>
      <c r="F339" s="352">
        <v>106</v>
      </c>
      <c r="G339" s="375">
        <v>25</v>
      </c>
      <c r="H339" s="376"/>
      <c r="I339" s="376"/>
    </row>
    <row r="340" spans="2:9" x14ac:dyDescent="0.25">
      <c r="B340" s="370">
        <v>44741</v>
      </c>
      <c r="C340" s="371">
        <v>26</v>
      </c>
      <c r="D340" s="380" t="s">
        <v>157</v>
      </c>
      <c r="E340" s="355" t="s">
        <v>31</v>
      </c>
      <c r="F340" s="357">
        <v>410</v>
      </c>
      <c r="G340" s="375">
        <v>125.8</v>
      </c>
      <c r="H340" s="376"/>
      <c r="I340" s="376"/>
    </row>
    <row r="341" spans="2:9" x14ac:dyDescent="0.25">
      <c r="B341" s="362">
        <v>44748</v>
      </c>
      <c r="C341" s="363">
        <v>27</v>
      </c>
      <c r="D341" s="379" t="s">
        <v>157</v>
      </c>
      <c r="E341" s="351" t="s">
        <v>31</v>
      </c>
      <c r="F341" s="352">
        <v>417</v>
      </c>
      <c r="G341" s="375">
        <v>141.4</v>
      </c>
      <c r="H341" s="376"/>
      <c r="I341" s="376"/>
    </row>
    <row r="342" spans="2:9" x14ac:dyDescent="0.25">
      <c r="B342" s="370">
        <v>44754</v>
      </c>
      <c r="C342" s="371">
        <v>28</v>
      </c>
      <c r="D342" s="380" t="s">
        <v>157</v>
      </c>
      <c r="E342" s="355" t="s">
        <v>31</v>
      </c>
      <c r="F342" s="357">
        <v>234</v>
      </c>
      <c r="G342" s="375">
        <v>125</v>
      </c>
      <c r="H342" s="376"/>
      <c r="I342" s="376"/>
    </row>
    <row r="343" spans="2:9" x14ac:dyDescent="0.25">
      <c r="B343" s="362">
        <v>44761</v>
      </c>
      <c r="C343" s="363">
        <v>29</v>
      </c>
      <c r="D343" s="379" t="s">
        <v>157</v>
      </c>
      <c r="E343" s="351" t="s">
        <v>31</v>
      </c>
      <c r="F343" s="352">
        <v>227</v>
      </c>
      <c r="G343" s="375">
        <v>110</v>
      </c>
      <c r="H343" s="376"/>
      <c r="I343" s="376"/>
    </row>
    <row r="344" spans="2:9" x14ac:dyDescent="0.25">
      <c r="B344" s="370">
        <v>44768</v>
      </c>
      <c r="C344" s="371">
        <v>30</v>
      </c>
      <c r="D344" s="380" t="s">
        <v>157</v>
      </c>
      <c r="E344" s="355" t="s">
        <v>31</v>
      </c>
      <c r="F344" s="357">
        <v>269</v>
      </c>
      <c r="G344" s="375">
        <v>130</v>
      </c>
      <c r="H344" s="376"/>
      <c r="I344" s="376"/>
    </row>
    <row r="345" spans="2:9" x14ac:dyDescent="0.25">
      <c r="B345" s="362">
        <v>44775</v>
      </c>
      <c r="C345" s="363">
        <v>31</v>
      </c>
      <c r="D345" s="379" t="s">
        <v>157</v>
      </c>
      <c r="E345" s="351" t="s">
        <v>31</v>
      </c>
      <c r="F345" s="352">
        <v>182</v>
      </c>
      <c r="G345" s="375">
        <v>122</v>
      </c>
      <c r="H345" s="376"/>
      <c r="I345" s="376"/>
    </row>
    <row r="346" spans="2:9" x14ac:dyDescent="0.25">
      <c r="B346" s="370">
        <v>44782</v>
      </c>
      <c r="C346" s="371">
        <v>32</v>
      </c>
      <c r="D346" s="380" t="s">
        <v>157</v>
      </c>
      <c r="E346" s="355" t="s">
        <v>31</v>
      </c>
      <c r="F346" s="357">
        <v>120</v>
      </c>
      <c r="G346" s="375">
        <v>95</v>
      </c>
      <c r="H346" s="376"/>
      <c r="I346" s="376"/>
    </row>
    <row r="347" spans="2:9" x14ac:dyDescent="0.25">
      <c r="B347" s="362">
        <v>44795</v>
      </c>
      <c r="C347" s="363">
        <v>34</v>
      </c>
      <c r="D347" s="379" t="s">
        <v>157</v>
      </c>
      <c r="E347" s="351" t="s">
        <v>31</v>
      </c>
      <c r="F347" s="352">
        <v>205</v>
      </c>
      <c r="G347" s="375">
        <v>134</v>
      </c>
      <c r="H347" s="376"/>
      <c r="I347" s="376"/>
    </row>
    <row r="348" spans="2:9" x14ac:dyDescent="0.25">
      <c r="B348" s="370">
        <v>44796</v>
      </c>
      <c r="C348" s="371">
        <v>34</v>
      </c>
      <c r="D348" s="380" t="s">
        <v>157</v>
      </c>
      <c r="E348" s="355" t="s">
        <v>31</v>
      </c>
      <c r="F348" s="357">
        <v>0</v>
      </c>
      <c r="G348" s="375">
        <v>27</v>
      </c>
      <c r="H348" s="376"/>
      <c r="I348" s="376"/>
    </row>
    <row r="349" spans="2:9" x14ac:dyDescent="0.25">
      <c r="B349" s="362">
        <v>44804</v>
      </c>
      <c r="C349" s="363">
        <v>35</v>
      </c>
      <c r="D349" s="379" t="s">
        <v>157</v>
      </c>
      <c r="E349" s="351" t="s">
        <v>31</v>
      </c>
      <c r="F349" s="352">
        <v>80</v>
      </c>
      <c r="G349" s="375"/>
      <c r="H349" s="378">
        <v>2937</v>
      </c>
      <c r="I349" s="376"/>
    </row>
    <row r="350" spans="2:9" x14ac:dyDescent="0.25">
      <c r="B350" s="370">
        <v>44811</v>
      </c>
      <c r="C350" s="371">
        <v>36</v>
      </c>
      <c r="D350" s="380" t="s">
        <v>157</v>
      </c>
      <c r="E350" s="355" t="s">
        <v>31</v>
      </c>
      <c r="F350" s="357">
        <v>184</v>
      </c>
      <c r="G350" s="375"/>
      <c r="H350" s="376">
        <v>1025</v>
      </c>
      <c r="I350" s="376"/>
    </row>
    <row r="351" spans="2:9" x14ac:dyDescent="0.25">
      <c r="B351" s="362">
        <v>44818</v>
      </c>
      <c r="C351" s="363">
        <v>37</v>
      </c>
      <c r="D351" s="379" t="s">
        <v>157</v>
      </c>
      <c r="E351" s="351" t="s">
        <v>31</v>
      </c>
      <c r="F351" s="352">
        <v>95</v>
      </c>
      <c r="G351" s="375"/>
      <c r="H351" s="376"/>
      <c r="I351" s="376"/>
    </row>
    <row r="352" spans="2:9" x14ac:dyDescent="0.25">
      <c r="B352" s="370">
        <v>44826</v>
      </c>
      <c r="C352" s="371">
        <v>38</v>
      </c>
      <c r="D352" s="380" t="s">
        <v>157</v>
      </c>
      <c r="E352" s="355" t="s">
        <v>31</v>
      </c>
      <c r="F352" s="357">
        <v>93</v>
      </c>
      <c r="G352" s="375"/>
      <c r="H352" s="376"/>
      <c r="I352" s="376"/>
    </row>
    <row r="353" spans="2:9" x14ac:dyDescent="0.25">
      <c r="B353" s="362">
        <v>44832</v>
      </c>
      <c r="C353" s="363">
        <v>39</v>
      </c>
      <c r="D353" s="379" t="s">
        <v>157</v>
      </c>
      <c r="E353" s="351" t="s">
        <v>31</v>
      </c>
      <c r="F353" s="352">
        <v>96</v>
      </c>
      <c r="G353" s="375"/>
      <c r="H353" s="376">
        <v>1450</v>
      </c>
      <c r="I353" s="376"/>
    </row>
    <row r="354" spans="2:9" x14ac:dyDescent="0.25">
      <c r="B354" s="362">
        <v>44839</v>
      </c>
      <c r="C354" s="363">
        <v>40</v>
      </c>
      <c r="D354" s="380" t="s">
        <v>157</v>
      </c>
      <c r="E354" s="404" t="s">
        <v>31</v>
      </c>
      <c r="F354" s="403">
        <v>65</v>
      </c>
      <c r="G354" s="394"/>
      <c r="H354" s="286">
        <v>970</v>
      </c>
      <c r="I354" s="394"/>
    </row>
    <row r="355" spans="2:9" x14ac:dyDescent="0.25">
      <c r="B355" s="367">
        <v>44847</v>
      </c>
      <c r="C355" s="368">
        <v>41</v>
      </c>
      <c r="D355" s="379" t="s">
        <v>157</v>
      </c>
      <c r="E355" s="404" t="s">
        <v>31</v>
      </c>
      <c r="F355" s="403">
        <v>94</v>
      </c>
      <c r="G355" s="394"/>
      <c r="H355" s="286">
        <v>0</v>
      </c>
      <c r="I355" s="394"/>
    </row>
    <row r="356" spans="2:9" x14ac:dyDescent="0.25">
      <c r="B356" s="405">
        <v>44854</v>
      </c>
      <c r="C356" s="406">
        <v>42</v>
      </c>
      <c r="D356" s="379" t="s">
        <v>215</v>
      </c>
      <c r="E356" s="404" t="s">
        <v>31</v>
      </c>
      <c r="F356" s="403">
        <v>59</v>
      </c>
      <c r="G356" s="394"/>
      <c r="H356" s="286">
        <v>1050</v>
      </c>
      <c r="I356" s="394"/>
    </row>
    <row r="357" spans="2:9" x14ac:dyDescent="0.25">
      <c r="B357" s="401"/>
      <c r="C357" s="402"/>
      <c r="D357" s="396"/>
      <c r="E357" s="397"/>
      <c r="F357" s="398"/>
      <c r="G357" s="394"/>
      <c r="H357" s="286"/>
      <c r="I357" s="394"/>
    </row>
    <row r="358" spans="2:9" x14ac:dyDescent="0.25">
      <c r="B358" s="401"/>
      <c r="C358" s="402"/>
      <c r="D358" s="396"/>
      <c r="E358" s="397"/>
      <c r="F358" s="398"/>
      <c r="G358" s="394"/>
      <c r="H358" s="286"/>
      <c r="I358" s="394"/>
    </row>
    <row r="359" spans="2:9" x14ac:dyDescent="0.25">
      <c r="B359" s="401"/>
      <c r="C359" s="402"/>
      <c r="D359" s="396"/>
      <c r="E359" s="397"/>
      <c r="F359" s="398"/>
      <c r="G359" s="394"/>
      <c r="H359" s="286"/>
      <c r="I359" s="394"/>
    </row>
    <row r="360" spans="2:9" x14ac:dyDescent="0.25">
      <c r="B360" s="401"/>
      <c r="C360" s="402"/>
      <c r="D360" s="396"/>
      <c r="E360" s="397"/>
      <c r="F360" s="398"/>
      <c r="G360" s="394"/>
      <c r="H360" s="286"/>
      <c r="I360" s="394"/>
    </row>
    <row r="361" spans="2:9" x14ac:dyDescent="0.25">
      <c r="B361" s="401"/>
      <c r="C361" s="402"/>
      <c r="D361" s="396"/>
      <c r="E361" s="397"/>
      <c r="F361" s="398"/>
      <c r="G361" s="394"/>
      <c r="H361" s="286"/>
      <c r="I361" s="394"/>
    </row>
    <row r="362" spans="2:9" x14ac:dyDescent="0.25">
      <c r="B362" s="401"/>
      <c r="C362" s="402"/>
      <c r="D362" s="396"/>
      <c r="E362" s="397"/>
      <c r="F362" s="398"/>
      <c r="G362" s="394"/>
      <c r="H362" s="286"/>
      <c r="I362" s="394"/>
    </row>
    <row r="363" spans="2:9" x14ac:dyDescent="0.25">
      <c r="B363" s="401"/>
      <c r="C363" s="402"/>
      <c r="D363" s="396"/>
      <c r="E363" s="397"/>
      <c r="F363" s="398"/>
      <c r="G363" s="394"/>
      <c r="H363" s="286"/>
      <c r="I363" s="394"/>
    </row>
    <row r="364" spans="2:9" x14ac:dyDescent="0.25">
      <c r="B364" s="401"/>
      <c r="C364" s="402"/>
      <c r="D364" s="396"/>
      <c r="E364" s="397"/>
      <c r="F364" s="398"/>
      <c r="G364" s="394"/>
      <c r="H364" s="286"/>
      <c r="I364" s="394"/>
    </row>
    <row r="365" spans="2:9" x14ac:dyDescent="0.25">
      <c r="B365" s="401"/>
      <c r="C365" s="402"/>
      <c r="D365" s="396"/>
      <c r="E365" s="397"/>
      <c r="F365" s="398"/>
      <c r="G365" s="394"/>
      <c r="H365" s="286"/>
      <c r="I365" s="394"/>
    </row>
    <row r="366" spans="2:9" x14ac:dyDescent="0.25">
      <c r="B366" s="401"/>
      <c r="C366" s="402"/>
      <c r="D366" s="396"/>
      <c r="E366" s="397"/>
      <c r="F366" s="398"/>
      <c r="G366" s="394"/>
      <c r="H366" s="286"/>
      <c r="I366" s="394"/>
    </row>
    <row r="367" spans="2:9" x14ac:dyDescent="0.25">
      <c r="B367" s="401"/>
      <c r="C367" s="402"/>
      <c r="D367" s="396"/>
      <c r="E367" s="397"/>
      <c r="F367" s="398"/>
      <c r="G367" s="394"/>
      <c r="H367" s="286"/>
      <c r="I367" s="394"/>
    </row>
    <row r="368" spans="2:9" x14ac:dyDescent="0.25">
      <c r="B368" s="401"/>
      <c r="C368" s="402"/>
      <c r="D368" s="396"/>
      <c r="E368" s="397"/>
      <c r="F368" s="398"/>
      <c r="G368" s="394"/>
      <c r="H368" s="286"/>
      <c r="I368" s="394"/>
    </row>
    <row r="369" spans="2:9" x14ac:dyDescent="0.25">
      <c r="B369" s="401"/>
      <c r="C369" s="402"/>
      <c r="D369" s="396"/>
      <c r="E369" s="397"/>
      <c r="F369" s="398"/>
      <c r="G369" s="394"/>
      <c r="H369" s="286"/>
      <c r="I369" s="394"/>
    </row>
    <row r="370" spans="2:9" x14ac:dyDescent="0.25">
      <c r="B370" s="401"/>
      <c r="C370" s="402"/>
      <c r="D370" s="396"/>
      <c r="E370" s="397"/>
      <c r="F370" s="398"/>
      <c r="G370" s="394"/>
      <c r="H370" s="286"/>
      <c r="I370" s="394"/>
    </row>
    <row r="371" spans="2:9" x14ac:dyDescent="0.25">
      <c r="B371" s="401"/>
      <c r="C371" s="402"/>
      <c r="D371" s="396"/>
      <c r="E371" s="397"/>
      <c r="F371" s="398"/>
      <c r="G371" s="394"/>
      <c r="H371" s="286"/>
      <c r="I371" s="394"/>
    </row>
    <row r="372" spans="2:9" x14ac:dyDescent="0.25">
      <c r="B372" s="401"/>
      <c r="C372" s="402"/>
      <c r="D372" s="396"/>
      <c r="E372" s="397"/>
      <c r="F372" s="398"/>
      <c r="G372" s="394"/>
      <c r="H372" s="286"/>
      <c r="I372" s="394"/>
    </row>
    <row r="373" spans="2:9" x14ac:dyDescent="0.25">
      <c r="B373" s="401"/>
      <c r="C373" s="402"/>
      <c r="D373" s="396"/>
      <c r="E373" s="397"/>
      <c r="F373" s="398"/>
      <c r="G373" s="394"/>
      <c r="H373" s="286"/>
      <c r="I373" s="394"/>
    </row>
    <row r="374" spans="2:9" x14ac:dyDescent="0.25">
      <c r="B374" s="401"/>
      <c r="C374" s="402"/>
      <c r="D374" s="396"/>
      <c r="E374" s="397"/>
      <c r="F374" s="398"/>
      <c r="G374" s="394"/>
      <c r="H374" s="286"/>
      <c r="I374" s="394"/>
    </row>
    <row r="375" spans="2:9" x14ac:dyDescent="0.25">
      <c r="B375" s="401"/>
      <c r="C375" s="402"/>
      <c r="D375" s="396"/>
      <c r="E375" s="397"/>
      <c r="F375" s="398"/>
      <c r="G375" s="394"/>
      <c r="H375" s="286"/>
      <c r="I375" s="394"/>
    </row>
    <row r="376" spans="2:9" x14ac:dyDescent="0.25">
      <c r="B376" s="401"/>
      <c r="C376" s="402"/>
      <c r="D376" s="396"/>
      <c r="E376" s="397"/>
      <c r="F376" s="398"/>
      <c r="G376" s="394"/>
      <c r="H376" s="286"/>
      <c r="I376" s="394"/>
    </row>
    <row r="377" spans="2:9" x14ac:dyDescent="0.25">
      <c r="B377" s="401"/>
      <c r="C377" s="402"/>
      <c r="D377" s="396"/>
      <c r="E377" s="397"/>
      <c r="F377" s="398"/>
      <c r="G377" s="394"/>
      <c r="H377" s="286"/>
      <c r="I377" s="394"/>
    </row>
    <row r="378" spans="2:9" x14ac:dyDescent="0.25">
      <c r="B378" s="401"/>
      <c r="C378" s="402"/>
      <c r="D378" s="396"/>
      <c r="E378" s="397"/>
      <c r="F378" s="398"/>
      <c r="G378" s="394"/>
      <c r="H378" s="286"/>
      <c r="I378" s="394"/>
    </row>
    <row r="379" spans="2:9" x14ac:dyDescent="0.25">
      <c r="B379" s="401"/>
      <c r="C379" s="402"/>
      <c r="D379" s="396"/>
      <c r="E379" s="397"/>
      <c r="F379" s="398"/>
      <c r="G379" s="394"/>
      <c r="H379" s="286"/>
      <c r="I379" s="394"/>
    </row>
    <row r="380" spans="2:9" x14ac:dyDescent="0.25">
      <c r="B380" s="401"/>
      <c r="C380" s="402"/>
      <c r="D380" s="396"/>
      <c r="E380" s="397"/>
      <c r="F380" s="398"/>
      <c r="G380" s="394"/>
      <c r="H380" s="286"/>
      <c r="I380" s="394"/>
    </row>
    <row r="381" spans="2:9" s="381" customFormat="1" ht="21" x14ac:dyDescent="0.35">
      <c r="D381" s="382" t="s">
        <v>213</v>
      </c>
      <c r="E381" s="383"/>
      <c r="F381" s="384">
        <f>SUM(F305:F380)</f>
        <v>8397.1</v>
      </c>
      <c r="G381" s="385">
        <f>SUM(G305:G380)</f>
        <v>2643.26</v>
      </c>
      <c r="H381" s="385">
        <f>SUM(H305:H380)</f>
        <v>7432</v>
      </c>
      <c r="I381" s="386">
        <f>SUM(I305:I380)</f>
        <v>20</v>
      </c>
    </row>
  </sheetData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126" scale="21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A513-AAC9-44D1-9432-59214CFD827E}">
  <dimension ref="B1:BM178"/>
  <sheetViews>
    <sheetView topLeftCell="A157" zoomScaleNormal="100" workbookViewId="0">
      <selection activeCell="AD154" sqref="AD154:AG154"/>
    </sheetView>
  </sheetViews>
  <sheetFormatPr baseColWidth="10" defaultColWidth="11.42578125" defaultRowHeight="15" x14ac:dyDescent="0.25"/>
  <cols>
    <col min="1" max="1" width="4.42578125" customWidth="1"/>
    <col min="2" max="2" width="7.28515625" customWidth="1"/>
    <col min="3" max="3" width="12.7109375" customWidth="1"/>
    <col min="4" max="4" width="4.7109375" customWidth="1"/>
    <col min="5" max="5" width="5.5703125" customWidth="1"/>
    <col min="6" max="6" width="7" customWidth="1"/>
    <col min="7" max="7" width="5.7109375" customWidth="1"/>
    <col min="8" max="8" width="1.85546875" customWidth="1"/>
    <col min="9" max="9" width="0" hidden="1" customWidth="1"/>
    <col min="10" max="10" width="7.85546875" customWidth="1"/>
    <col min="11" max="11" width="15.140625" customWidth="1"/>
    <col min="12" max="12" width="7" customWidth="1"/>
    <col min="13" max="13" width="5.85546875" customWidth="1"/>
    <col min="14" max="14" width="4.7109375" customWidth="1"/>
    <col min="15" max="15" width="6.85546875" customWidth="1"/>
    <col min="16" max="16" width="4" customWidth="1"/>
    <col min="17" max="17" width="3.85546875" customWidth="1"/>
    <col min="18" max="19" width="7.28515625" customWidth="1"/>
    <col min="20" max="20" width="12.7109375" customWidth="1"/>
    <col min="21" max="21" width="4.7109375" customWidth="1"/>
    <col min="22" max="22" width="5.5703125" customWidth="1"/>
    <col min="23" max="23" width="7" customWidth="1"/>
    <col min="24" max="24" width="5.7109375" customWidth="1"/>
    <col min="25" max="25" width="1.85546875" customWidth="1"/>
    <col min="26" max="26" width="1.85546875" hidden="1" customWidth="1"/>
    <col min="27" max="27" width="7.85546875" customWidth="1"/>
    <col min="28" max="28" width="15.140625" customWidth="1"/>
    <col min="29" max="29" width="7" customWidth="1"/>
    <col min="30" max="30" width="5.85546875" customWidth="1"/>
    <col min="31" max="31" width="4.7109375" customWidth="1"/>
    <col min="32" max="32" width="6.85546875" customWidth="1"/>
    <col min="33" max="33" width="4" customWidth="1"/>
    <col min="34" max="35" width="7.28515625" customWidth="1"/>
    <col min="36" max="36" width="12.7109375" customWidth="1"/>
    <col min="37" max="37" width="4.7109375" customWidth="1"/>
    <col min="38" max="38" width="5.5703125" customWidth="1"/>
    <col min="39" max="39" width="7" customWidth="1"/>
    <col min="40" max="40" width="5.7109375" customWidth="1"/>
    <col min="41" max="41" width="1.85546875" customWidth="1"/>
    <col min="42" max="42" width="0" hidden="1" customWidth="1"/>
    <col min="43" max="43" width="7.85546875" customWidth="1"/>
    <col min="44" max="44" width="15.140625" customWidth="1"/>
    <col min="45" max="45" width="7" customWidth="1"/>
    <col min="46" max="46" width="5.85546875" customWidth="1"/>
    <col min="47" max="47" width="4.7109375" customWidth="1"/>
    <col min="48" max="48" width="6.85546875" customWidth="1"/>
    <col min="49" max="49" width="4" customWidth="1"/>
    <col min="51" max="51" width="7.28515625" customWidth="1"/>
    <col min="52" max="52" width="12.7109375" customWidth="1"/>
    <col min="53" max="53" width="4.7109375" customWidth="1"/>
    <col min="54" max="54" width="5.5703125" customWidth="1"/>
    <col min="55" max="55" width="7" customWidth="1"/>
    <col min="56" max="56" width="5.7109375" customWidth="1"/>
    <col min="57" max="57" width="1.85546875" customWidth="1"/>
    <col min="58" max="58" width="0" hidden="1" customWidth="1"/>
    <col min="59" max="59" width="7.85546875" customWidth="1"/>
    <col min="60" max="60" width="15.140625" customWidth="1"/>
    <col min="61" max="61" width="7" customWidth="1"/>
    <col min="62" max="62" width="5.85546875" customWidth="1"/>
    <col min="63" max="63" width="4.7109375" customWidth="1"/>
    <col min="64" max="64" width="6.85546875" customWidth="1"/>
    <col min="65" max="65" width="4" customWidth="1"/>
  </cols>
  <sheetData>
    <row r="1" spans="2:48" ht="15" customHeight="1" x14ac:dyDescent="0.25">
      <c r="B1" s="650" t="s">
        <v>36</v>
      </c>
      <c r="C1" s="651"/>
      <c r="D1" s="652"/>
      <c r="E1" s="652"/>
      <c r="F1" s="652"/>
      <c r="G1" s="651"/>
      <c r="H1" s="651"/>
      <c r="I1" s="651"/>
      <c r="J1" s="653"/>
      <c r="K1" s="654" t="s">
        <v>37</v>
      </c>
      <c r="L1" s="655"/>
      <c r="M1" s="655"/>
      <c r="N1" s="655"/>
      <c r="O1" s="655"/>
      <c r="P1" s="656"/>
      <c r="R1" s="650" t="s">
        <v>36</v>
      </c>
      <c r="S1" s="651"/>
      <c r="T1" s="652"/>
      <c r="U1" s="652"/>
      <c r="V1" s="652"/>
      <c r="W1" s="651"/>
      <c r="X1" s="651"/>
      <c r="Y1" s="651"/>
      <c r="Z1" s="653"/>
      <c r="AA1" s="654" t="s">
        <v>37</v>
      </c>
      <c r="AB1" s="655"/>
      <c r="AC1" s="655"/>
      <c r="AD1" s="655"/>
      <c r="AE1" s="655"/>
      <c r="AF1" s="656"/>
    </row>
    <row r="2" spans="2:48" ht="18.75" customHeight="1" x14ac:dyDescent="0.3">
      <c r="B2" s="663" t="s">
        <v>8</v>
      </c>
      <c r="C2" s="664"/>
      <c r="D2" s="115" t="s">
        <v>38</v>
      </c>
      <c r="E2" s="116" t="s">
        <v>39</v>
      </c>
      <c r="F2" s="117" t="s">
        <v>40</v>
      </c>
      <c r="G2" s="731" t="s">
        <v>41</v>
      </c>
      <c r="H2" s="732"/>
      <c r="I2" s="732"/>
      <c r="J2" s="733"/>
      <c r="K2" s="657"/>
      <c r="L2" s="658"/>
      <c r="M2" s="658"/>
      <c r="N2" s="658"/>
      <c r="O2" s="658"/>
      <c r="P2" s="659"/>
      <c r="R2" s="663" t="s">
        <v>8</v>
      </c>
      <c r="S2" s="664"/>
      <c r="T2" s="115" t="s">
        <v>38</v>
      </c>
      <c r="U2" s="116" t="s">
        <v>39</v>
      </c>
      <c r="V2" s="117" t="s">
        <v>40</v>
      </c>
      <c r="W2" s="737" t="s">
        <v>41</v>
      </c>
      <c r="X2" s="738"/>
      <c r="Y2" s="738"/>
      <c r="Z2" s="739"/>
      <c r="AA2" s="657"/>
      <c r="AB2" s="658"/>
      <c r="AC2" s="658"/>
      <c r="AD2" s="658"/>
      <c r="AE2" s="658"/>
      <c r="AF2" s="659"/>
    </row>
    <row r="3" spans="2:48" ht="37.5" customHeight="1" thickBot="1" x14ac:dyDescent="0.3">
      <c r="B3" s="729" t="s">
        <v>30</v>
      </c>
      <c r="C3" s="730"/>
      <c r="D3" s="118">
        <v>19</v>
      </c>
      <c r="E3" s="119">
        <v>10</v>
      </c>
      <c r="F3" s="120">
        <v>2021</v>
      </c>
      <c r="G3" s="734"/>
      <c r="H3" s="735"/>
      <c r="I3" s="735"/>
      <c r="J3" s="736"/>
      <c r="K3" s="660"/>
      <c r="L3" s="661"/>
      <c r="M3" s="661"/>
      <c r="N3" s="661"/>
      <c r="O3" s="661"/>
      <c r="P3" s="662"/>
      <c r="R3" s="671" t="s">
        <v>29</v>
      </c>
      <c r="S3" s="672"/>
      <c r="T3" s="118">
        <v>19</v>
      </c>
      <c r="U3" s="119">
        <v>10</v>
      </c>
      <c r="V3" s="120">
        <v>2021</v>
      </c>
      <c r="W3" s="740"/>
      <c r="X3" s="741"/>
      <c r="Y3" s="741"/>
      <c r="Z3" s="742"/>
      <c r="AA3" s="660"/>
      <c r="AB3" s="661"/>
      <c r="AC3" s="661"/>
      <c r="AD3" s="661"/>
      <c r="AE3" s="661"/>
      <c r="AF3" s="662"/>
    </row>
    <row r="4" spans="2:48" ht="15" customHeight="1" x14ac:dyDescent="0.25">
      <c r="B4" s="648" t="s">
        <v>42</v>
      </c>
      <c r="C4" s="649"/>
      <c r="D4" s="719" t="s">
        <v>43</v>
      </c>
      <c r="E4" s="719"/>
      <c r="F4" s="719"/>
      <c r="G4" s="719"/>
      <c r="H4" s="719"/>
      <c r="I4" s="719"/>
      <c r="J4" s="720"/>
      <c r="K4" s="642" t="s">
        <v>44</v>
      </c>
      <c r="L4" s="643"/>
      <c r="M4" s="712">
        <v>100</v>
      </c>
      <c r="N4" s="713"/>
      <c r="O4" s="713"/>
      <c r="P4" s="721"/>
      <c r="R4" s="648" t="s">
        <v>42</v>
      </c>
      <c r="S4" s="649"/>
      <c r="T4" s="718">
        <v>0.28333333333333333</v>
      </c>
      <c r="U4" s="719"/>
      <c r="V4" s="719"/>
      <c r="W4" s="719"/>
      <c r="X4" s="719"/>
      <c r="Y4" s="719"/>
      <c r="Z4" s="720"/>
      <c r="AA4" s="642" t="s">
        <v>44</v>
      </c>
      <c r="AB4" s="643"/>
      <c r="AC4" s="712">
        <v>250</v>
      </c>
      <c r="AD4" s="713"/>
      <c r="AE4" s="713"/>
      <c r="AF4" s="721"/>
    </row>
    <row r="5" spans="2:48" ht="15.75" customHeight="1" x14ac:dyDescent="0.25">
      <c r="B5" s="604" t="s">
        <v>45</v>
      </c>
      <c r="C5" s="605"/>
      <c r="D5" s="704" t="s">
        <v>46</v>
      </c>
      <c r="E5" s="704"/>
      <c r="F5" s="704"/>
      <c r="G5" s="704"/>
      <c r="H5" s="704"/>
      <c r="I5" s="704"/>
      <c r="J5" s="705"/>
      <c r="K5" s="646" t="s">
        <v>47</v>
      </c>
      <c r="L5" s="646"/>
      <c r="M5" s="646"/>
      <c r="N5" s="646"/>
      <c r="O5" s="646"/>
      <c r="P5" s="647"/>
      <c r="R5" s="604" t="s">
        <v>45</v>
      </c>
      <c r="S5" s="605"/>
      <c r="T5" s="722">
        <v>0.73611111111111116</v>
      </c>
      <c r="U5" s="704"/>
      <c r="V5" s="704"/>
      <c r="W5" s="704"/>
      <c r="X5" s="704"/>
      <c r="Y5" s="704"/>
      <c r="Z5" s="705"/>
      <c r="AA5" s="646" t="s">
        <v>47</v>
      </c>
      <c r="AB5" s="646"/>
      <c r="AC5" s="646"/>
      <c r="AD5" s="646"/>
      <c r="AE5" s="646"/>
      <c r="AF5" s="647"/>
    </row>
    <row r="6" spans="2:48" x14ac:dyDescent="0.25">
      <c r="B6" s="637" t="s">
        <v>48</v>
      </c>
      <c r="C6" s="638"/>
      <c r="D6" s="704">
        <v>13.33</v>
      </c>
      <c r="E6" s="704"/>
      <c r="F6" s="704"/>
      <c r="G6" s="704"/>
      <c r="H6" s="704"/>
      <c r="I6" s="704"/>
      <c r="J6" s="705"/>
      <c r="K6" s="635" t="s">
        <v>49</v>
      </c>
      <c r="L6" s="636"/>
      <c r="M6" s="681">
        <v>80</v>
      </c>
      <c r="N6" s="682"/>
      <c r="O6" s="682"/>
      <c r="P6" s="714"/>
      <c r="R6" s="637" t="s">
        <v>48</v>
      </c>
      <c r="S6" s="638"/>
      <c r="T6" s="704">
        <v>21.3</v>
      </c>
      <c r="U6" s="704"/>
      <c r="V6" s="704"/>
      <c r="W6" s="704"/>
      <c r="X6" s="704"/>
      <c r="Y6" s="704"/>
      <c r="Z6" s="705"/>
      <c r="AA6" s="635" t="s">
        <v>49</v>
      </c>
      <c r="AB6" s="636"/>
      <c r="AC6" s="681">
        <v>278</v>
      </c>
      <c r="AD6" s="682"/>
      <c r="AE6" s="682"/>
      <c r="AF6" s="714"/>
    </row>
    <row r="7" spans="2:48" ht="15" customHeight="1" x14ac:dyDescent="0.25">
      <c r="B7" s="604" t="s">
        <v>50</v>
      </c>
      <c r="C7" s="605"/>
      <c r="D7" s="704">
        <v>10</v>
      </c>
      <c r="E7" s="704"/>
      <c r="F7" s="704"/>
      <c r="G7" s="704"/>
      <c r="H7" s="704"/>
      <c r="I7" s="704"/>
      <c r="J7" s="705"/>
      <c r="K7" s="635" t="s">
        <v>51</v>
      </c>
      <c r="L7" s="636"/>
      <c r="M7" s="681"/>
      <c r="N7" s="682"/>
      <c r="O7" s="682"/>
      <c r="P7" s="714"/>
      <c r="R7" s="604" t="s">
        <v>50</v>
      </c>
      <c r="S7" s="605"/>
      <c r="T7" s="704">
        <v>119</v>
      </c>
      <c r="U7" s="704"/>
      <c r="V7" s="704"/>
      <c r="W7" s="704"/>
      <c r="X7" s="704"/>
      <c r="Y7" s="704"/>
      <c r="Z7" s="705"/>
      <c r="AA7" s="635" t="s">
        <v>51</v>
      </c>
      <c r="AB7" s="636"/>
      <c r="AC7" s="681"/>
      <c r="AD7" s="682"/>
      <c r="AE7" s="682"/>
      <c r="AF7" s="714"/>
    </row>
    <row r="8" spans="2:48" ht="15" customHeight="1" x14ac:dyDescent="0.25">
      <c r="B8" s="604" t="s">
        <v>52</v>
      </c>
      <c r="C8" s="605"/>
      <c r="D8" s="704">
        <v>122</v>
      </c>
      <c r="E8" s="704"/>
      <c r="F8" s="704"/>
      <c r="G8" s="704"/>
      <c r="H8" s="704"/>
      <c r="I8" s="704"/>
      <c r="J8" s="705"/>
      <c r="K8" s="614" t="s">
        <v>53</v>
      </c>
      <c r="L8" s="615"/>
      <c r="M8" s="681"/>
      <c r="N8" s="682"/>
      <c r="O8" s="682"/>
      <c r="P8" s="714"/>
      <c r="R8" s="604" t="s">
        <v>52</v>
      </c>
      <c r="S8" s="605"/>
      <c r="T8" s="704">
        <v>508</v>
      </c>
      <c r="U8" s="704"/>
      <c r="V8" s="704"/>
      <c r="W8" s="704"/>
      <c r="X8" s="704"/>
      <c r="Y8" s="704"/>
      <c r="Z8" s="705"/>
      <c r="AA8" s="614" t="s">
        <v>53</v>
      </c>
      <c r="AB8" s="615"/>
      <c r="AC8" s="681"/>
      <c r="AD8" s="682"/>
      <c r="AE8" s="682"/>
      <c r="AF8" s="714"/>
    </row>
    <row r="9" spans="2:48" ht="15.75" customHeight="1" thickBot="1" x14ac:dyDescent="0.3">
      <c r="B9" s="604" t="s">
        <v>54</v>
      </c>
      <c r="C9" s="605"/>
      <c r="D9" s="704">
        <v>231</v>
      </c>
      <c r="E9" s="704"/>
      <c r="F9" s="704"/>
      <c r="G9" s="704"/>
      <c r="H9" s="704"/>
      <c r="I9" s="704"/>
      <c r="J9" s="705"/>
      <c r="K9" s="614" t="s">
        <v>55</v>
      </c>
      <c r="L9" s="615"/>
      <c r="M9" s="715"/>
      <c r="N9" s="716"/>
      <c r="O9" s="716"/>
      <c r="P9" s="717"/>
      <c r="R9" s="604" t="s">
        <v>54</v>
      </c>
      <c r="S9" s="605"/>
      <c r="T9" s="704">
        <v>244</v>
      </c>
      <c r="U9" s="704"/>
      <c r="V9" s="704"/>
      <c r="W9" s="704"/>
      <c r="X9" s="704"/>
      <c r="Y9" s="704"/>
      <c r="Z9" s="705"/>
      <c r="AA9" s="614" t="s">
        <v>55</v>
      </c>
      <c r="AB9" s="615"/>
      <c r="AC9" s="715"/>
      <c r="AD9" s="716"/>
      <c r="AE9" s="716"/>
      <c r="AF9" s="717"/>
    </row>
    <row r="10" spans="2:48" ht="15.75" customHeight="1" thickBot="1" x14ac:dyDescent="0.3">
      <c r="B10" s="604" t="s">
        <v>56</v>
      </c>
      <c r="C10" s="605"/>
      <c r="D10" s="704">
        <v>10</v>
      </c>
      <c r="E10" s="704"/>
      <c r="F10" s="704"/>
      <c r="G10" s="704"/>
      <c r="H10" s="704"/>
      <c r="I10" s="704"/>
      <c r="J10" s="705"/>
      <c r="K10" s="614" t="s">
        <v>57</v>
      </c>
      <c r="L10" s="615"/>
      <c r="M10" s="706"/>
      <c r="N10" s="707"/>
      <c r="O10" s="707"/>
      <c r="P10" s="708"/>
      <c r="R10" s="604" t="s">
        <v>56</v>
      </c>
      <c r="S10" s="605"/>
      <c r="T10" s="704">
        <v>114</v>
      </c>
      <c r="U10" s="704"/>
      <c r="V10" s="704"/>
      <c r="W10" s="704"/>
      <c r="X10" s="704"/>
      <c r="Y10" s="704"/>
      <c r="Z10" s="705"/>
      <c r="AA10" s="614" t="s">
        <v>57</v>
      </c>
      <c r="AB10" s="615"/>
      <c r="AC10" s="706"/>
      <c r="AD10" s="707"/>
      <c r="AE10" s="707"/>
      <c r="AF10" s="708"/>
    </row>
    <row r="11" spans="2:48" ht="21.75" thickBot="1" x14ac:dyDescent="0.3">
      <c r="B11" s="619" t="s">
        <v>58</v>
      </c>
      <c r="C11" s="620"/>
      <c r="D11" s="673">
        <f>SUM(D7:D10)</f>
        <v>373</v>
      </c>
      <c r="E11" s="673"/>
      <c r="F11" s="673"/>
      <c r="G11" s="673"/>
      <c r="H11" s="673"/>
      <c r="I11" s="673"/>
      <c r="J11" s="674"/>
      <c r="K11" s="121" t="s">
        <v>59</v>
      </c>
      <c r="L11" s="122"/>
      <c r="M11" s="706">
        <v>80</v>
      </c>
      <c r="N11" s="707"/>
      <c r="O11" s="707"/>
      <c r="P11" s="708"/>
      <c r="R11" s="619" t="s">
        <v>58</v>
      </c>
      <c r="S11" s="620"/>
      <c r="T11" s="673">
        <f>SUM(T7:T10)</f>
        <v>985</v>
      </c>
      <c r="U11" s="673"/>
      <c r="V11" s="673"/>
      <c r="W11" s="673"/>
      <c r="X11" s="673"/>
      <c r="Y11" s="673"/>
      <c r="Z11" s="674"/>
      <c r="AA11" s="121" t="s">
        <v>59</v>
      </c>
      <c r="AB11" s="122"/>
      <c r="AC11" s="706">
        <f>SUM(AC6:AC10)</f>
        <v>278</v>
      </c>
      <c r="AD11" s="707"/>
      <c r="AE11" s="707"/>
      <c r="AF11" s="708"/>
    </row>
    <row r="12" spans="2:48" ht="15.75" x14ac:dyDescent="0.25">
      <c r="B12" s="607" t="s">
        <v>60</v>
      </c>
      <c r="C12" s="608"/>
      <c r="D12" s="712" t="s">
        <v>61</v>
      </c>
      <c r="E12" s="713"/>
      <c r="F12" s="713"/>
      <c r="G12" s="713"/>
      <c r="H12" s="713"/>
      <c r="I12" s="713"/>
      <c r="J12" s="608"/>
      <c r="K12" s="123" t="s">
        <v>62</v>
      </c>
      <c r="L12" s="124"/>
      <c r="M12" s="125"/>
      <c r="N12" s="125"/>
      <c r="O12" s="125"/>
      <c r="P12" s="126"/>
      <c r="R12" s="607" t="s">
        <v>60</v>
      </c>
      <c r="S12" s="608"/>
      <c r="T12" s="712"/>
      <c r="U12" s="713"/>
      <c r="V12" s="713"/>
      <c r="W12" s="713"/>
      <c r="X12" s="713"/>
      <c r="Y12" s="713"/>
      <c r="Z12" s="608"/>
      <c r="AA12" s="123" t="s">
        <v>62</v>
      </c>
      <c r="AB12" s="124"/>
      <c r="AC12" s="125"/>
      <c r="AD12" s="125"/>
      <c r="AE12" s="125"/>
      <c r="AF12" s="126"/>
    </row>
    <row r="13" spans="2:48" x14ac:dyDescent="0.25">
      <c r="B13" s="588" t="s">
        <v>63</v>
      </c>
      <c r="C13" s="589"/>
      <c r="D13" s="681">
        <v>4.66</v>
      </c>
      <c r="E13" s="682"/>
      <c r="F13" s="682"/>
      <c r="G13" s="682"/>
      <c r="H13" s="682"/>
      <c r="I13" s="682"/>
      <c r="J13" s="683"/>
      <c r="K13" s="127"/>
      <c r="L13" s="128" t="s">
        <v>64</v>
      </c>
      <c r="M13" s="128"/>
      <c r="N13" s="128"/>
      <c r="O13" s="128"/>
      <c r="P13" s="129"/>
      <c r="R13" s="588" t="s">
        <v>63</v>
      </c>
      <c r="S13" s="589"/>
      <c r="T13" s="681">
        <v>3.6</v>
      </c>
      <c r="U13" s="682"/>
      <c r="V13" s="682"/>
      <c r="W13" s="682"/>
      <c r="X13" s="682"/>
      <c r="Y13" s="682"/>
      <c r="Z13" s="683"/>
      <c r="AA13" s="593" t="s">
        <v>69</v>
      </c>
      <c r="AB13" s="594"/>
      <c r="AC13" s="594"/>
      <c r="AD13" s="594"/>
      <c r="AE13" s="594"/>
      <c r="AF13" s="595"/>
    </row>
    <row r="14" spans="2:48" ht="15.75" thickBot="1" x14ac:dyDescent="0.3">
      <c r="B14" s="599" t="s">
        <v>65</v>
      </c>
      <c r="C14" s="600"/>
      <c r="D14" s="684">
        <v>4.0999999999999996</v>
      </c>
      <c r="E14" s="685"/>
      <c r="F14" s="685"/>
      <c r="G14" s="685"/>
      <c r="H14" s="685"/>
      <c r="I14" s="685"/>
      <c r="J14" s="686"/>
      <c r="K14" s="130"/>
      <c r="L14" s="131"/>
      <c r="M14" s="131"/>
      <c r="N14" s="131"/>
      <c r="O14" s="131"/>
      <c r="P14" s="132"/>
      <c r="R14" s="599" t="s">
        <v>65</v>
      </c>
      <c r="S14" s="600"/>
      <c r="T14" s="684">
        <v>3.4</v>
      </c>
      <c r="U14" s="685"/>
      <c r="V14" s="685"/>
      <c r="W14" s="685"/>
      <c r="X14" s="685"/>
      <c r="Y14" s="685"/>
      <c r="Z14" s="686"/>
      <c r="AA14" s="596"/>
      <c r="AB14" s="597"/>
      <c r="AC14" s="597"/>
      <c r="AD14" s="597"/>
      <c r="AE14" s="597"/>
      <c r="AF14" s="598"/>
    </row>
    <row r="15" spans="2:48" ht="15.75" thickBot="1" x14ac:dyDescent="0.3"/>
    <row r="16" spans="2:48" ht="15" customHeight="1" x14ac:dyDescent="0.25">
      <c r="B16" s="650" t="s">
        <v>36</v>
      </c>
      <c r="C16" s="651"/>
      <c r="D16" s="652"/>
      <c r="E16" s="652"/>
      <c r="F16" s="652"/>
      <c r="G16" s="651"/>
      <c r="H16" s="651"/>
      <c r="I16" s="651"/>
      <c r="J16" s="653"/>
      <c r="K16" s="654" t="s">
        <v>37</v>
      </c>
      <c r="L16" s="655"/>
      <c r="M16" s="655"/>
      <c r="N16" s="655"/>
      <c r="O16" s="655"/>
      <c r="P16" s="656"/>
      <c r="R16" s="650" t="s">
        <v>36</v>
      </c>
      <c r="S16" s="651"/>
      <c r="T16" s="652"/>
      <c r="U16" s="652"/>
      <c r="V16" s="652"/>
      <c r="W16" s="651"/>
      <c r="X16" s="651"/>
      <c r="Y16" s="651"/>
      <c r="Z16" s="653"/>
      <c r="AA16" s="654" t="s">
        <v>37</v>
      </c>
      <c r="AB16" s="655"/>
      <c r="AC16" s="655"/>
      <c r="AD16" s="655"/>
      <c r="AE16" s="655"/>
      <c r="AF16" s="656"/>
      <c r="AH16" s="650" t="s">
        <v>36</v>
      </c>
      <c r="AI16" s="651"/>
      <c r="AJ16" s="652"/>
      <c r="AK16" s="652"/>
      <c r="AL16" s="652"/>
      <c r="AM16" s="651"/>
      <c r="AN16" s="651"/>
      <c r="AO16" s="651"/>
      <c r="AP16" s="653"/>
      <c r="AQ16" s="654" t="s">
        <v>37</v>
      </c>
      <c r="AR16" s="655"/>
      <c r="AS16" s="655"/>
      <c r="AT16" s="655"/>
      <c r="AU16" s="655"/>
      <c r="AV16" s="656"/>
    </row>
    <row r="17" spans="2:48" ht="18.75" customHeight="1" x14ac:dyDescent="0.3">
      <c r="B17" s="663" t="s">
        <v>8</v>
      </c>
      <c r="C17" s="664"/>
      <c r="D17" s="115" t="s">
        <v>38</v>
      </c>
      <c r="E17" s="116" t="s">
        <v>39</v>
      </c>
      <c r="F17" s="117" t="s">
        <v>40</v>
      </c>
      <c r="G17" s="737" t="s">
        <v>41</v>
      </c>
      <c r="H17" s="738"/>
      <c r="I17" s="738"/>
      <c r="J17" s="739"/>
      <c r="K17" s="657"/>
      <c r="L17" s="658"/>
      <c r="M17" s="658"/>
      <c r="N17" s="658"/>
      <c r="O17" s="658"/>
      <c r="P17" s="659"/>
      <c r="R17" s="663" t="s">
        <v>8</v>
      </c>
      <c r="S17" s="664"/>
      <c r="T17" s="115" t="s">
        <v>38</v>
      </c>
      <c r="U17" s="116" t="s">
        <v>39</v>
      </c>
      <c r="V17" s="117" t="s">
        <v>40</v>
      </c>
      <c r="W17" s="737" t="s">
        <v>41</v>
      </c>
      <c r="X17" s="738"/>
      <c r="Y17" s="738"/>
      <c r="Z17" s="739"/>
      <c r="AA17" s="657"/>
      <c r="AB17" s="658"/>
      <c r="AC17" s="658"/>
      <c r="AD17" s="658"/>
      <c r="AE17" s="658"/>
      <c r="AF17" s="659"/>
      <c r="AH17" s="663" t="s">
        <v>8</v>
      </c>
      <c r="AI17" s="664"/>
      <c r="AJ17" s="115" t="s">
        <v>38</v>
      </c>
      <c r="AK17" s="116" t="s">
        <v>39</v>
      </c>
      <c r="AL17" s="117" t="s">
        <v>40</v>
      </c>
      <c r="AM17" s="737" t="s">
        <v>41</v>
      </c>
      <c r="AN17" s="738"/>
      <c r="AO17" s="738"/>
      <c r="AP17" s="739"/>
      <c r="AQ17" s="657"/>
      <c r="AR17" s="658"/>
      <c r="AS17" s="658"/>
      <c r="AT17" s="658"/>
      <c r="AU17" s="658"/>
      <c r="AV17" s="659"/>
    </row>
    <row r="18" spans="2:48" ht="47.25" thickBot="1" x14ac:dyDescent="0.3">
      <c r="B18" s="671" t="s">
        <v>28</v>
      </c>
      <c r="C18" s="672"/>
      <c r="D18" s="118">
        <v>20</v>
      </c>
      <c r="E18" s="119">
        <v>10</v>
      </c>
      <c r="F18" s="120">
        <v>2021</v>
      </c>
      <c r="G18" s="740"/>
      <c r="H18" s="741"/>
      <c r="I18" s="741"/>
      <c r="J18" s="742"/>
      <c r="K18" s="660"/>
      <c r="L18" s="661"/>
      <c r="M18" s="661"/>
      <c r="N18" s="661"/>
      <c r="O18" s="661"/>
      <c r="P18" s="662"/>
      <c r="R18" s="671" t="s">
        <v>29</v>
      </c>
      <c r="S18" s="672"/>
      <c r="T18" s="118">
        <v>20</v>
      </c>
      <c r="U18" s="119">
        <v>10</v>
      </c>
      <c r="V18" s="120">
        <v>2021</v>
      </c>
      <c r="W18" s="740"/>
      <c r="X18" s="741"/>
      <c r="Y18" s="741"/>
      <c r="Z18" s="742"/>
      <c r="AA18" s="660"/>
      <c r="AB18" s="661"/>
      <c r="AC18" s="661"/>
      <c r="AD18" s="661"/>
      <c r="AE18" s="661"/>
      <c r="AF18" s="662"/>
      <c r="AH18" s="671" t="s">
        <v>31</v>
      </c>
      <c r="AI18" s="672"/>
      <c r="AJ18" s="118">
        <v>20</v>
      </c>
      <c r="AK18" s="119">
        <v>10</v>
      </c>
      <c r="AL18" s="120">
        <v>2021</v>
      </c>
      <c r="AM18" s="740"/>
      <c r="AN18" s="741"/>
      <c r="AO18" s="741"/>
      <c r="AP18" s="742"/>
      <c r="AQ18" s="660"/>
      <c r="AR18" s="661"/>
      <c r="AS18" s="661"/>
      <c r="AT18" s="661"/>
      <c r="AU18" s="661"/>
      <c r="AV18" s="662"/>
    </row>
    <row r="19" spans="2:48" ht="15" customHeight="1" x14ac:dyDescent="0.25">
      <c r="B19" s="648" t="s">
        <v>42</v>
      </c>
      <c r="C19" s="649"/>
      <c r="D19" s="718">
        <v>0.33333333333333331</v>
      </c>
      <c r="E19" s="719"/>
      <c r="F19" s="719"/>
      <c r="G19" s="719"/>
      <c r="H19" s="719"/>
      <c r="I19" s="719"/>
      <c r="J19" s="720"/>
      <c r="K19" s="642" t="s">
        <v>44</v>
      </c>
      <c r="L19" s="643"/>
      <c r="M19" s="712">
        <v>50</v>
      </c>
      <c r="N19" s="713"/>
      <c r="O19" s="713"/>
      <c r="P19" s="721"/>
      <c r="R19" s="648" t="s">
        <v>42</v>
      </c>
      <c r="S19" s="649"/>
      <c r="T19" s="719" t="s">
        <v>67</v>
      </c>
      <c r="U19" s="719"/>
      <c r="V19" s="719"/>
      <c r="W19" s="719"/>
      <c r="X19" s="719"/>
      <c r="Y19" s="719"/>
      <c r="Z19" s="720"/>
      <c r="AA19" s="642" t="s">
        <v>44</v>
      </c>
      <c r="AB19" s="643"/>
      <c r="AC19" s="712"/>
      <c r="AD19" s="713"/>
      <c r="AE19" s="713"/>
      <c r="AF19" s="721"/>
      <c r="AH19" s="648" t="s">
        <v>42</v>
      </c>
      <c r="AI19" s="649"/>
      <c r="AJ19" s="719" t="s">
        <v>70</v>
      </c>
      <c r="AK19" s="719"/>
      <c r="AL19" s="719"/>
      <c r="AM19" s="719"/>
      <c r="AN19" s="719"/>
      <c r="AO19" s="719"/>
      <c r="AP19" s="720"/>
      <c r="AQ19" s="642" t="s">
        <v>44</v>
      </c>
      <c r="AR19" s="643"/>
      <c r="AS19" s="712">
        <v>100</v>
      </c>
      <c r="AT19" s="713"/>
      <c r="AU19" s="713"/>
      <c r="AV19" s="721"/>
    </row>
    <row r="20" spans="2:48" ht="15.75" customHeight="1" x14ac:dyDescent="0.25">
      <c r="B20" s="604" t="s">
        <v>45</v>
      </c>
      <c r="C20" s="605"/>
      <c r="D20" s="722">
        <v>0.76041666666666663</v>
      </c>
      <c r="E20" s="704"/>
      <c r="F20" s="704"/>
      <c r="G20" s="704"/>
      <c r="H20" s="704"/>
      <c r="I20" s="704"/>
      <c r="J20" s="705"/>
      <c r="K20" s="646" t="s">
        <v>47</v>
      </c>
      <c r="L20" s="646"/>
      <c r="M20" s="646"/>
      <c r="N20" s="646"/>
      <c r="O20" s="646"/>
      <c r="P20" s="647"/>
      <c r="R20" s="604" t="s">
        <v>45</v>
      </c>
      <c r="S20" s="605"/>
      <c r="T20" s="704" t="s">
        <v>68</v>
      </c>
      <c r="U20" s="704"/>
      <c r="V20" s="704"/>
      <c r="W20" s="704"/>
      <c r="X20" s="704"/>
      <c r="Y20" s="704"/>
      <c r="Z20" s="705"/>
      <c r="AA20" s="646" t="s">
        <v>47</v>
      </c>
      <c r="AB20" s="646"/>
      <c r="AC20" s="646"/>
      <c r="AD20" s="646"/>
      <c r="AE20" s="646"/>
      <c r="AF20" s="647"/>
      <c r="AH20" s="604" t="s">
        <v>45</v>
      </c>
      <c r="AI20" s="605"/>
      <c r="AJ20" s="722">
        <v>0.63541666666666663</v>
      </c>
      <c r="AK20" s="704"/>
      <c r="AL20" s="704"/>
      <c r="AM20" s="704"/>
      <c r="AN20" s="704"/>
      <c r="AO20" s="704"/>
      <c r="AP20" s="705"/>
      <c r="AQ20" s="646" t="s">
        <v>47</v>
      </c>
      <c r="AR20" s="646"/>
      <c r="AS20" s="646"/>
      <c r="AT20" s="646"/>
      <c r="AU20" s="646"/>
      <c r="AV20" s="647"/>
    </row>
    <row r="21" spans="2:48" x14ac:dyDescent="0.25">
      <c r="B21" s="637" t="s">
        <v>48</v>
      </c>
      <c r="C21" s="638"/>
      <c r="D21" s="704"/>
      <c r="E21" s="704"/>
      <c r="F21" s="704"/>
      <c r="G21" s="704"/>
      <c r="H21" s="704"/>
      <c r="I21" s="704"/>
      <c r="J21" s="705"/>
      <c r="K21" s="635" t="s">
        <v>49</v>
      </c>
      <c r="L21" s="636"/>
      <c r="M21" s="681"/>
      <c r="N21" s="682"/>
      <c r="O21" s="682"/>
      <c r="P21" s="714"/>
      <c r="R21" s="637" t="s">
        <v>48</v>
      </c>
      <c r="S21" s="638"/>
      <c r="T21" s="704">
        <v>15.75</v>
      </c>
      <c r="U21" s="704"/>
      <c r="V21" s="704"/>
      <c r="W21" s="704"/>
      <c r="X21" s="704"/>
      <c r="Y21" s="704"/>
      <c r="Z21" s="705"/>
      <c r="AA21" s="635" t="s">
        <v>49</v>
      </c>
      <c r="AB21" s="636"/>
      <c r="AC21" s="681"/>
      <c r="AD21" s="682"/>
      <c r="AE21" s="682"/>
      <c r="AF21" s="714"/>
      <c r="AH21" s="637" t="s">
        <v>48</v>
      </c>
      <c r="AI21" s="638"/>
      <c r="AJ21" s="704" t="s">
        <v>71</v>
      </c>
      <c r="AK21" s="704"/>
      <c r="AL21" s="704"/>
      <c r="AM21" s="704"/>
      <c r="AN21" s="704"/>
      <c r="AO21" s="704"/>
      <c r="AP21" s="705"/>
      <c r="AQ21" s="635" t="s">
        <v>49</v>
      </c>
      <c r="AR21" s="636"/>
      <c r="AS21" s="681"/>
      <c r="AT21" s="682"/>
      <c r="AU21" s="682"/>
      <c r="AV21" s="714"/>
    </row>
    <row r="22" spans="2:48" ht="15" customHeight="1" x14ac:dyDescent="0.25">
      <c r="B22" s="604" t="s">
        <v>50</v>
      </c>
      <c r="C22" s="605"/>
      <c r="D22" s="704">
        <v>66</v>
      </c>
      <c r="E22" s="704"/>
      <c r="F22" s="704"/>
      <c r="G22" s="704"/>
      <c r="H22" s="704"/>
      <c r="I22" s="704"/>
      <c r="J22" s="705"/>
      <c r="K22" s="635" t="s">
        <v>51</v>
      </c>
      <c r="L22" s="636"/>
      <c r="M22" s="681">
        <v>22</v>
      </c>
      <c r="N22" s="682"/>
      <c r="O22" s="682"/>
      <c r="P22" s="714"/>
      <c r="R22" s="604" t="s">
        <v>50</v>
      </c>
      <c r="S22" s="605"/>
      <c r="T22" s="704">
        <v>108</v>
      </c>
      <c r="U22" s="704"/>
      <c r="V22" s="704"/>
      <c r="W22" s="704"/>
      <c r="X22" s="704"/>
      <c r="Y22" s="704"/>
      <c r="Z22" s="705"/>
      <c r="AA22" s="635" t="s">
        <v>51</v>
      </c>
      <c r="AB22" s="636"/>
      <c r="AC22" s="681">
        <v>189</v>
      </c>
      <c r="AD22" s="682"/>
      <c r="AE22" s="682"/>
      <c r="AF22" s="714"/>
      <c r="AH22" s="604" t="s">
        <v>50</v>
      </c>
      <c r="AI22" s="605"/>
      <c r="AJ22" s="704">
        <v>0</v>
      </c>
      <c r="AK22" s="704"/>
      <c r="AL22" s="704"/>
      <c r="AM22" s="704"/>
      <c r="AN22" s="704"/>
      <c r="AO22" s="704"/>
      <c r="AP22" s="705"/>
      <c r="AQ22" s="635" t="s">
        <v>51</v>
      </c>
      <c r="AR22" s="636"/>
      <c r="AS22" s="681"/>
      <c r="AT22" s="682"/>
      <c r="AU22" s="682"/>
      <c r="AV22" s="714"/>
    </row>
    <row r="23" spans="2:48" ht="15" customHeight="1" x14ac:dyDescent="0.25">
      <c r="B23" s="604" t="s">
        <v>52</v>
      </c>
      <c r="C23" s="605"/>
      <c r="D23" s="704">
        <v>129</v>
      </c>
      <c r="E23" s="704"/>
      <c r="F23" s="704"/>
      <c r="G23" s="704"/>
      <c r="H23" s="704"/>
      <c r="I23" s="704"/>
      <c r="J23" s="705"/>
      <c r="K23" s="614" t="s">
        <v>53</v>
      </c>
      <c r="L23" s="615"/>
      <c r="M23" s="681"/>
      <c r="N23" s="682"/>
      <c r="O23" s="682"/>
      <c r="P23" s="714"/>
      <c r="R23" s="604" t="s">
        <v>52</v>
      </c>
      <c r="S23" s="605"/>
      <c r="T23" s="704">
        <v>327</v>
      </c>
      <c r="U23" s="704"/>
      <c r="V23" s="704"/>
      <c r="W23" s="704"/>
      <c r="X23" s="704"/>
      <c r="Y23" s="704"/>
      <c r="Z23" s="705"/>
      <c r="AA23" s="614" t="s">
        <v>53</v>
      </c>
      <c r="AB23" s="615"/>
      <c r="AC23" s="681"/>
      <c r="AD23" s="682"/>
      <c r="AE23" s="682"/>
      <c r="AF23" s="714"/>
      <c r="AH23" s="604" t="s">
        <v>52</v>
      </c>
      <c r="AI23" s="605"/>
      <c r="AJ23" s="704">
        <v>9</v>
      </c>
      <c r="AK23" s="704"/>
      <c r="AL23" s="704"/>
      <c r="AM23" s="704"/>
      <c r="AN23" s="704"/>
      <c r="AO23" s="704"/>
      <c r="AP23" s="705"/>
      <c r="AQ23" s="614" t="s">
        <v>53</v>
      </c>
      <c r="AR23" s="615"/>
      <c r="AS23" s="681"/>
      <c r="AT23" s="682"/>
      <c r="AU23" s="682"/>
      <c r="AV23" s="714"/>
    </row>
    <row r="24" spans="2:48" ht="15.75" customHeight="1" thickBot="1" x14ac:dyDescent="0.3">
      <c r="B24" s="604" t="s">
        <v>54</v>
      </c>
      <c r="C24" s="605"/>
      <c r="D24" s="704">
        <v>170</v>
      </c>
      <c r="E24" s="704"/>
      <c r="F24" s="704"/>
      <c r="G24" s="704"/>
      <c r="H24" s="704"/>
      <c r="I24" s="704"/>
      <c r="J24" s="705"/>
      <c r="K24" s="614" t="s">
        <v>55</v>
      </c>
      <c r="L24" s="615"/>
      <c r="M24" s="715">
        <v>40</v>
      </c>
      <c r="N24" s="716"/>
      <c r="O24" s="716"/>
      <c r="P24" s="717"/>
      <c r="R24" s="604" t="s">
        <v>54</v>
      </c>
      <c r="S24" s="605"/>
      <c r="T24" s="704">
        <v>93</v>
      </c>
      <c r="U24" s="704"/>
      <c r="V24" s="704"/>
      <c r="W24" s="704"/>
      <c r="X24" s="704"/>
      <c r="Y24" s="704"/>
      <c r="Z24" s="705"/>
      <c r="AA24" s="614" t="s">
        <v>55</v>
      </c>
      <c r="AB24" s="615"/>
      <c r="AC24" s="715"/>
      <c r="AD24" s="716"/>
      <c r="AE24" s="716"/>
      <c r="AF24" s="717"/>
      <c r="AH24" s="604" t="s">
        <v>54</v>
      </c>
      <c r="AI24" s="605"/>
      <c r="AJ24" s="704">
        <v>197</v>
      </c>
      <c r="AK24" s="704"/>
      <c r="AL24" s="704"/>
      <c r="AM24" s="704"/>
      <c r="AN24" s="704"/>
      <c r="AO24" s="704"/>
      <c r="AP24" s="705"/>
      <c r="AQ24" s="614" t="s">
        <v>55</v>
      </c>
      <c r="AR24" s="615"/>
      <c r="AS24" s="715">
        <v>100</v>
      </c>
      <c r="AT24" s="716"/>
      <c r="AU24" s="716"/>
      <c r="AV24" s="717"/>
    </row>
    <row r="25" spans="2:48" ht="15.75" customHeight="1" thickBot="1" x14ac:dyDescent="0.3">
      <c r="B25" s="604" t="s">
        <v>56</v>
      </c>
      <c r="C25" s="605"/>
      <c r="D25" s="704">
        <v>237</v>
      </c>
      <c r="E25" s="704"/>
      <c r="F25" s="704"/>
      <c r="G25" s="704"/>
      <c r="H25" s="704"/>
      <c r="I25" s="704"/>
      <c r="J25" s="705"/>
      <c r="K25" s="614" t="s">
        <v>57</v>
      </c>
      <c r="L25" s="615"/>
      <c r="M25" s="706"/>
      <c r="N25" s="707"/>
      <c r="O25" s="707"/>
      <c r="P25" s="708"/>
      <c r="R25" s="604" t="s">
        <v>56</v>
      </c>
      <c r="S25" s="605"/>
      <c r="T25" s="704">
        <v>36</v>
      </c>
      <c r="U25" s="704"/>
      <c r="V25" s="704"/>
      <c r="W25" s="704"/>
      <c r="X25" s="704"/>
      <c r="Y25" s="704"/>
      <c r="Z25" s="705"/>
      <c r="AA25" s="614" t="s">
        <v>57</v>
      </c>
      <c r="AB25" s="615"/>
      <c r="AC25" s="706"/>
      <c r="AD25" s="707"/>
      <c r="AE25" s="707"/>
      <c r="AF25" s="708"/>
      <c r="AH25" s="604" t="s">
        <v>56</v>
      </c>
      <c r="AI25" s="605"/>
      <c r="AJ25" s="704">
        <v>201</v>
      </c>
      <c r="AK25" s="704"/>
      <c r="AL25" s="704"/>
      <c r="AM25" s="704"/>
      <c r="AN25" s="704"/>
      <c r="AO25" s="704"/>
      <c r="AP25" s="705"/>
      <c r="AQ25" s="614" t="s">
        <v>57</v>
      </c>
      <c r="AR25" s="615"/>
      <c r="AS25" s="706"/>
      <c r="AT25" s="707"/>
      <c r="AU25" s="707"/>
      <c r="AV25" s="708"/>
    </row>
    <row r="26" spans="2:48" ht="21.75" thickBot="1" x14ac:dyDescent="0.3">
      <c r="B26" s="619" t="s">
        <v>58</v>
      </c>
      <c r="C26" s="620"/>
      <c r="D26" s="673">
        <f>SUM(D22:D25)</f>
        <v>602</v>
      </c>
      <c r="E26" s="673"/>
      <c r="F26" s="673"/>
      <c r="G26" s="673"/>
      <c r="H26" s="673"/>
      <c r="I26" s="673"/>
      <c r="J26" s="674"/>
      <c r="K26" s="121" t="s">
        <v>59</v>
      </c>
      <c r="L26" s="122"/>
      <c r="M26" s="706">
        <f>SUM(M22:M25)</f>
        <v>62</v>
      </c>
      <c r="N26" s="707"/>
      <c r="O26" s="707"/>
      <c r="P26" s="708"/>
      <c r="R26" s="619" t="s">
        <v>58</v>
      </c>
      <c r="S26" s="620"/>
      <c r="T26" s="673">
        <f>SUM(T22:T25)</f>
        <v>564</v>
      </c>
      <c r="U26" s="673"/>
      <c r="V26" s="673"/>
      <c r="W26" s="673"/>
      <c r="X26" s="673"/>
      <c r="Y26" s="673"/>
      <c r="Z26" s="674"/>
      <c r="AA26" s="121" t="s">
        <v>59</v>
      </c>
      <c r="AB26" s="122"/>
      <c r="AC26" s="706">
        <f>SUM(AC22:AC25)</f>
        <v>189</v>
      </c>
      <c r="AD26" s="707"/>
      <c r="AE26" s="707"/>
      <c r="AF26" s="708"/>
      <c r="AH26" s="619" t="s">
        <v>58</v>
      </c>
      <c r="AI26" s="620"/>
      <c r="AJ26" s="673">
        <f>SUM(AJ22:AJ25)</f>
        <v>407</v>
      </c>
      <c r="AK26" s="673"/>
      <c r="AL26" s="673"/>
      <c r="AM26" s="673"/>
      <c r="AN26" s="673"/>
      <c r="AO26" s="673"/>
      <c r="AP26" s="674"/>
      <c r="AQ26" s="121" t="s">
        <v>59</v>
      </c>
      <c r="AR26" s="122"/>
      <c r="AS26" s="706"/>
      <c r="AT26" s="707"/>
      <c r="AU26" s="707"/>
      <c r="AV26" s="708"/>
    </row>
    <row r="27" spans="2:48" ht="15.75" x14ac:dyDescent="0.25">
      <c r="B27" s="607" t="s">
        <v>60</v>
      </c>
      <c r="C27" s="608"/>
      <c r="D27" s="712" t="s">
        <v>66</v>
      </c>
      <c r="E27" s="713"/>
      <c r="F27" s="713"/>
      <c r="G27" s="713"/>
      <c r="H27" s="713"/>
      <c r="I27" s="713"/>
      <c r="J27" s="608"/>
      <c r="K27" s="123" t="s">
        <v>62</v>
      </c>
      <c r="L27" s="124"/>
      <c r="M27" s="125"/>
      <c r="N27" s="125"/>
      <c r="O27" s="125"/>
      <c r="P27" s="126"/>
      <c r="R27" s="607" t="s">
        <v>60</v>
      </c>
      <c r="S27" s="608"/>
      <c r="T27" s="712"/>
      <c r="U27" s="713"/>
      <c r="V27" s="713"/>
      <c r="W27" s="713"/>
      <c r="X27" s="713"/>
      <c r="Y27" s="713"/>
      <c r="Z27" s="608"/>
      <c r="AA27" s="123" t="s">
        <v>62</v>
      </c>
      <c r="AB27" s="124"/>
      <c r="AC27" s="125"/>
      <c r="AD27" s="125"/>
      <c r="AE27" s="125"/>
      <c r="AF27" s="126"/>
      <c r="AH27" s="607" t="s">
        <v>60</v>
      </c>
      <c r="AI27" s="608"/>
      <c r="AJ27" s="712" t="s">
        <v>72</v>
      </c>
      <c r="AK27" s="713"/>
      <c r="AL27" s="713"/>
      <c r="AM27" s="713"/>
      <c r="AN27" s="713"/>
      <c r="AO27" s="713"/>
      <c r="AP27" s="608"/>
      <c r="AQ27" s="123" t="s">
        <v>62</v>
      </c>
      <c r="AR27" s="124"/>
      <c r="AS27" s="125"/>
      <c r="AT27" s="125"/>
      <c r="AU27" s="125"/>
      <c r="AV27" s="126"/>
    </row>
    <row r="28" spans="2:48" ht="15" customHeight="1" x14ac:dyDescent="0.25">
      <c r="B28" s="588" t="s">
        <v>63</v>
      </c>
      <c r="C28" s="589"/>
      <c r="D28" s="681">
        <v>9.6999999999999993</v>
      </c>
      <c r="E28" s="682"/>
      <c r="F28" s="682"/>
      <c r="G28" s="682"/>
      <c r="H28" s="682"/>
      <c r="I28" s="682"/>
      <c r="J28" s="683"/>
      <c r="K28" s="127"/>
      <c r="L28" s="128" t="s">
        <v>64</v>
      </c>
      <c r="M28" s="128"/>
      <c r="N28" s="128"/>
      <c r="O28" s="128"/>
      <c r="P28" s="129"/>
      <c r="R28" s="588" t="s">
        <v>63</v>
      </c>
      <c r="S28" s="589"/>
      <c r="T28" s="681">
        <v>2.9</v>
      </c>
      <c r="U28" s="682"/>
      <c r="V28" s="682"/>
      <c r="W28" s="682"/>
      <c r="X28" s="682"/>
      <c r="Y28" s="682"/>
      <c r="Z28" s="683"/>
      <c r="AA28" s="593" t="s">
        <v>69</v>
      </c>
      <c r="AB28" s="594"/>
      <c r="AC28" s="594"/>
      <c r="AD28" s="594"/>
      <c r="AE28" s="594"/>
      <c r="AF28" s="595"/>
      <c r="AH28" s="588" t="s">
        <v>63</v>
      </c>
      <c r="AI28" s="589"/>
      <c r="AJ28" s="681">
        <v>5.6</v>
      </c>
      <c r="AK28" s="682"/>
      <c r="AL28" s="682"/>
      <c r="AM28" s="682"/>
      <c r="AN28" s="682"/>
      <c r="AO28" s="682"/>
      <c r="AP28" s="683"/>
      <c r="AQ28" s="593" t="s">
        <v>73</v>
      </c>
      <c r="AR28" s="594"/>
      <c r="AS28" s="594"/>
      <c r="AT28" s="594"/>
      <c r="AU28" s="594"/>
      <c r="AV28" s="595"/>
    </row>
    <row r="29" spans="2:48" ht="15.75" thickBot="1" x14ac:dyDescent="0.3">
      <c r="B29" s="599" t="s">
        <v>65</v>
      </c>
      <c r="C29" s="600"/>
      <c r="D29" s="684">
        <v>5.3</v>
      </c>
      <c r="E29" s="685"/>
      <c r="F29" s="685"/>
      <c r="G29" s="685"/>
      <c r="H29" s="685"/>
      <c r="I29" s="685"/>
      <c r="J29" s="686"/>
      <c r="K29" s="130"/>
      <c r="L29" s="131"/>
      <c r="M29" s="131"/>
      <c r="N29" s="131"/>
      <c r="O29" s="131"/>
      <c r="P29" s="132"/>
      <c r="R29" s="599" t="s">
        <v>65</v>
      </c>
      <c r="S29" s="600"/>
      <c r="T29" s="684">
        <v>2.6</v>
      </c>
      <c r="U29" s="685"/>
      <c r="V29" s="685"/>
      <c r="W29" s="685"/>
      <c r="X29" s="685"/>
      <c r="Y29" s="685"/>
      <c r="Z29" s="686"/>
      <c r="AA29" s="596"/>
      <c r="AB29" s="597"/>
      <c r="AC29" s="597"/>
      <c r="AD29" s="597"/>
      <c r="AE29" s="597"/>
      <c r="AF29" s="598"/>
      <c r="AH29" s="599" t="s">
        <v>65</v>
      </c>
      <c r="AI29" s="600"/>
      <c r="AJ29" s="684">
        <v>5.3</v>
      </c>
      <c r="AK29" s="685"/>
      <c r="AL29" s="685"/>
      <c r="AM29" s="685"/>
      <c r="AN29" s="685"/>
      <c r="AO29" s="685"/>
      <c r="AP29" s="686"/>
      <c r="AQ29" s="596"/>
      <c r="AR29" s="597"/>
      <c r="AS29" s="597"/>
      <c r="AT29" s="597"/>
      <c r="AU29" s="597"/>
      <c r="AV29" s="598"/>
    </row>
    <row r="30" spans="2:48" ht="15.75" thickBot="1" x14ac:dyDescent="0.3"/>
    <row r="31" spans="2:48" x14ac:dyDescent="0.25">
      <c r="B31" s="650" t="s">
        <v>36</v>
      </c>
      <c r="C31" s="651"/>
      <c r="D31" s="652"/>
      <c r="E31" s="652"/>
      <c r="F31" s="652"/>
      <c r="G31" s="651"/>
      <c r="H31" s="651"/>
      <c r="I31" s="651"/>
      <c r="J31" s="653"/>
      <c r="K31" s="654" t="s">
        <v>37</v>
      </c>
      <c r="L31" s="655"/>
      <c r="M31" s="655"/>
      <c r="N31" s="655"/>
      <c r="O31" s="655"/>
      <c r="P31" s="656"/>
      <c r="S31" s="650" t="s">
        <v>36</v>
      </c>
      <c r="T31" s="651"/>
      <c r="U31" s="652"/>
      <c r="V31" s="652"/>
      <c r="W31" s="652"/>
      <c r="X31" s="651"/>
      <c r="Y31" s="651"/>
      <c r="Z31" s="651"/>
      <c r="AA31" s="653"/>
      <c r="AB31" s="654" t="s">
        <v>37</v>
      </c>
      <c r="AC31" s="655"/>
      <c r="AD31" s="655"/>
      <c r="AE31" s="655"/>
      <c r="AF31" s="655"/>
      <c r="AG31" s="656"/>
    </row>
    <row r="32" spans="2:48" ht="18.75" x14ac:dyDescent="0.3">
      <c r="B32" s="663" t="s">
        <v>8</v>
      </c>
      <c r="C32" s="664"/>
      <c r="D32" s="115" t="s">
        <v>38</v>
      </c>
      <c r="E32" s="116" t="s">
        <v>39</v>
      </c>
      <c r="F32" s="117" t="s">
        <v>40</v>
      </c>
      <c r="G32" s="723" t="s">
        <v>74</v>
      </c>
      <c r="H32" s="724"/>
      <c r="I32" s="724"/>
      <c r="J32" s="725"/>
      <c r="K32" s="657"/>
      <c r="L32" s="658"/>
      <c r="M32" s="658"/>
      <c r="N32" s="658"/>
      <c r="O32" s="658"/>
      <c r="P32" s="659"/>
      <c r="S32" s="663" t="s">
        <v>8</v>
      </c>
      <c r="T32" s="664"/>
      <c r="U32" s="115" t="s">
        <v>38</v>
      </c>
      <c r="V32" s="116" t="s">
        <v>39</v>
      </c>
      <c r="W32" s="117" t="s">
        <v>40</v>
      </c>
      <c r="X32" s="723" t="s">
        <v>74</v>
      </c>
      <c r="Y32" s="724"/>
      <c r="Z32" s="724"/>
      <c r="AA32" s="725"/>
      <c r="AB32" s="657"/>
      <c r="AC32" s="658"/>
      <c r="AD32" s="658"/>
      <c r="AE32" s="658"/>
      <c r="AF32" s="658"/>
      <c r="AG32" s="659"/>
    </row>
    <row r="33" spans="2:65" ht="47.25" thickBot="1" x14ac:dyDescent="0.3">
      <c r="B33" s="729" t="s">
        <v>30</v>
      </c>
      <c r="C33" s="730"/>
      <c r="D33" s="118">
        <v>26</v>
      </c>
      <c r="E33" s="119">
        <v>10</v>
      </c>
      <c r="F33" s="120">
        <v>2021</v>
      </c>
      <c r="G33" s="726"/>
      <c r="H33" s="727"/>
      <c r="I33" s="727"/>
      <c r="J33" s="728"/>
      <c r="K33" s="660"/>
      <c r="L33" s="661"/>
      <c r="M33" s="661"/>
      <c r="N33" s="661"/>
      <c r="O33" s="661"/>
      <c r="P33" s="662"/>
      <c r="S33" s="671" t="s">
        <v>29</v>
      </c>
      <c r="T33" s="672"/>
      <c r="U33" s="118">
        <v>26</v>
      </c>
      <c r="V33" s="119">
        <v>10</v>
      </c>
      <c r="W33" s="120">
        <v>2021</v>
      </c>
      <c r="X33" s="726"/>
      <c r="Y33" s="727"/>
      <c r="Z33" s="727"/>
      <c r="AA33" s="728"/>
      <c r="AB33" s="660"/>
      <c r="AC33" s="661"/>
      <c r="AD33" s="661"/>
      <c r="AE33" s="661"/>
      <c r="AF33" s="661"/>
      <c r="AG33" s="662"/>
    </row>
    <row r="34" spans="2:65" x14ac:dyDescent="0.25">
      <c r="B34" s="648" t="s">
        <v>42</v>
      </c>
      <c r="C34" s="649"/>
      <c r="D34" s="719" t="s">
        <v>75</v>
      </c>
      <c r="E34" s="719"/>
      <c r="F34" s="719"/>
      <c r="G34" s="719"/>
      <c r="H34" s="719"/>
      <c r="I34" s="719"/>
      <c r="J34" s="720"/>
      <c r="K34" s="642" t="s">
        <v>44</v>
      </c>
      <c r="L34" s="643"/>
      <c r="M34" s="712">
        <v>100</v>
      </c>
      <c r="N34" s="713"/>
      <c r="O34" s="713"/>
      <c r="P34" s="721"/>
      <c r="S34" s="648" t="s">
        <v>42</v>
      </c>
      <c r="T34" s="649"/>
      <c r="U34" s="718">
        <v>0.27777777777777779</v>
      </c>
      <c r="V34" s="719"/>
      <c r="W34" s="719"/>
      <c r="X34" s="719"/>
      <c r="Y34" s="719"/>
      <c r="Z34" s="719"/>
      <c r="AA34" s="720"/>
      <c r="AB34" s="642" t="s">
        <v>44</v>
      </c>
      <c r="AC34" s="643"/>
      <c r="AD34" s="712">
        <v>300</v>
      </c>
      <c r="AE34" s="713"/>
      <c r="AF34" s="713"/>
      <c r="AG34" s="721"/>
    </row>
    <row r="35" spans="2:65" ht="15.75" x14ac:dyDescent="0.25">
      <c r="B35" s="604" t="s">
        <v>45</v>
      </c>
      <c r="C35" s="605"/>
      <c r="D35" s="704" t="s">
        <v>76</v>
      </c>
      <c r="E35" s="704"/>
      <c r="F35" s="704"/>
      <c r="G35" s="704"/>
      <c r="H35" s="704"/>
      <c r="I35" s="704"/>
      <c r="J35" s="705"/>
      <c r="K35" s="646" t="s">
        <v>47</v>
      </c>
      <c r="L35" s="646"/>
      <c r="M35" s="646"/>
      <c r="N35" s="646"/>
      <c r="O35" s="646"/>
      <c r="P35" s="647"/>
      <c r="S35" s="604" t="s">
        <v>45</v>
      </c>
      <c r="T35" s="605"/>
      <c r="U35" s="722">
        <v>0.65277777777777779</v>
      </c>
      <c r="V35" s="704"/>
      <c r="W35" s="704"/>
      <c r="X35" s="704"/>
      <c r="Y35" s="704"/>
      <c r="Z35" s="704"/>
      <c r="AA35" s="705"/>
      <c r="AB35" s="646" t="s">
        <v>47</v>
      </c>
      <c r="AC35" s="646"/>
      <c r="AD35" s="646"/>
      <c r="AE35" s="646"/>
      <c r="AF35" s="646"/>
      <c r="AG35" s="647"/>
    </row>
    <row r="36" spans="2:65" x14ac:dyDescent="0.25">
      <c r="B36" s="637" t="s">
        <v>48</v>
      </c>
      <c r="C36" s="638"/>
      <c r="D36" s="704">
        <v>14</v>
      </c>
      <c r="E36" s="704"/>
      <c r="F36" s="704"/>
      <c r="G36" s="704"/>
      <c r="H36" s="704"/>
      <c r="I36" s="704"/>
      <c r="J36" s="705"/>
      <c r="K36" s="635" t="s">
        <v>49</v>
      </c>
      <c r="L36" s="636"/>
      <c r="M36" s="681">
        <v>62</v>
      </c>
      <c r="N36" s="682"/>
      <c r="O36" s="682"/>
      <c r="P36" s="714"/>
      <c r="S36" s="637" t="s">
        <v>48</v>
      </c>
      <c r="T36" s="638"/>
      <c r="U36" s="704">
        <v>18.75</v>
      </c>
      <c r="V36" s="704"/>
      <c r="W36" s="704"/>
      <c r="X36" s="704"/>
      <c r="Y36" s="704"/>
      <c r="Z36" s="704"/>
      <c r="AA36" s="705"/>
      <c r="AB36" s="635" t="s">
        <v>49</v>
      </c>
      <c r="AC36" s="636"/>
      <c r="AD36" s="681">
        <f>125+90</f>
        <v>215</v>
      </c>
      <c r="AE36" s="682"/>
      <c r="AF36" s="682"/>
      <c r="AG36" s="714"/>
    </row>
    <row r="37" spans="2:65" x14ac:dyDescent="0.25">
      <c r="B37" s="604" t="s">
        <v>50</v>
      </c>
      <c r="C37" s="605"/>
      <c r="D37" s="704">
        <v>10</v>
      </c>
      <c r="E37" s="704"/>
      <c r="F37" s="704"/>
      <c r="G37" s="704"/>
      <c r="H37" s="704"/>
      <c r="I37" s="704"/>
      <c r="J37" s="705"/>
      <c r="K37" s="635" t="s">
        <v>51</v>
      </c>
      <c r="L37" s="636"/>
      <c r="M37" s="681"/>
      <c r="N37" s="682"/>
      <c r="O37" s="682"/>
      <c r="P37" s="714"/>
      <c r="S37" s="604" t="s">
        <v>50</v>
      </c>
      <c r="T37" s="605"/>
      <c r="U37" s="704">
        <v>20</v>
      </c>
      <c r="V37" s="704"/>
      <c r="W37" s="704"/>
      <c r="X37" s="704"/>
      <c r="Y37" s="704"/>
      <c r="Z37" s="704"/>
      <c r="AA37" s="705"/>
      <c r="AB37" s="635" t="s">
        <v>51</v>
      </c>
      <c r="AC37" s="636"/>
      <c r="AD37" s="681">
        <v>100</v>
      </c>
      <c r="AE37" s="682"/>
      <c r="AF37" s="682"/>
      <c r="AG37" s="714"/>
    </row>
    <row r="38" spans="2:65" x14ac:dyDescent="0.25">
      <c r="B38" s="604" t="s">
        <v>52</v>
      </c>
      <c r="C38" s="605"/>
      <c r="D38" s="704">
        <v>27</v>
      </c>
      <c r="E38" s="704"/>
      <c r="F38" s="704"/>
      <c r="G38" s="704"/>
      <c r="H38" s="704"/>
      <c r="I38" s="704"/>
      <c r="J38" s="705"/>
      <c r="K38" s="614" t="s">
        <v>53</v>
      </c>
      <c r="L38" s="615"/>
      <c r="M38" s="681"/>
      <c r="N38" s="682"/>
      <c r="O38" s="682"/>
      <c r="P38" s="714"/>
      <c r="S38" s="604" t="s">
        <v>52</v>
      </c>
      <c r="T38" s="605"/>
      <c r="U38" s="704">
        <v>520</v>
      </c>
      <c r="V38" s="704"/>
      <c r="W38" s="704"/>
      <c r="X38" s="704"/>
      <c r="Y38" s="704"/>
      <c r="Z38" s="704"/>
      <c r="AA38" s="705"/>
      <c r="AB38" s="614" t="s">
        <v>53</v>
      </c>
      <c r="AC38" s="615"/>
      <c r="AD38" s="681"/>
      <c r="AE38" s="682"/>
      <c r="AF38" s="682"/>
      <c r="AG38" s="714"/>
    </row>
    <row r="39" spans="2:65" ht="15.75" thickBot="1" x14ac:dyDescent="0.3">
      <c r="B39" s="604" t="s">
        <v>54</v>
      </c>
      <c r="C39" s="605"/>
      <c r="D39" s="704">
        <v>378</v>
      </c>
      <c r="E39" s="704"/>
      <c r="F39" s="704"/>
      <c r="G39" s="704"/>
      <c r="H39" s="704"/>
      <c r="I39" s="704"/>
      <c r="J39" s="705"/>
      <c r="K39" s="614" t="s">
        <v>55</v>
      </c>
      <c r="L39" s="615"/>
      <c r="M39" s="715">
        <v>24</v>
      </c>
      <c r="N39" s="716"/>
      <c r="O39" s="716"/>
      <c r="P39" s="717"/>
      <c r="S39" s="604" t="s">
        <v>54</v>
      </c>
      <c r="T39" s="605"/>
      <c r="U39" s="704">
        <v>206</v>
      </c>
      <c r="V39" s="704"/>
      <c r="W39" s="704"/>
      <c r="X39" s="704"/>
      <c r="Y39" s="704"/>
      <c r="Z39" s="704"/>
      <c r="AA39" s="705"/>
      <c r="AB39" s="614" t="s">
        <v>55</v>
      </c>
      <c r="AC39" s="615"/>
      <c r="AD39" s="715"/>
      <c r="AE39" s="716"/>
      <c r="AF39" s="716"/>
      <c r="AG39" s="717"/>
    </row>
    <row r="40" spans="2:65" ht="15.75" thickBot="1" x14ac:dyDescent="0.3">
      <c r="B40" s="604" t="s">
        <v>56</v>
      </c>
      <c r="C40" s="605"/>
      <c r="D40" s="704"/>
      <c r="E40" s="704"/>
      <c r="F40" s="704"/>
      <c r="G40" s="704"/>
      <c r="H40" s="704"/>
      <c r="I40" s="704"/>
      <c r="J40" s="705"/>
      <c r="K40" s="614" t="s">
        <v>57</v>
      </c>
      <c r="L40" s="615"/>
      <c r="M40" s="706"/>
      <c r="N40" s="707"/>
      <c r="O40" s="707"/>
      <c r="P40" s="708"/>
      <c r="S40" s="604" t="s">
        <v>56</v>
      </c>
      <c r="T40" s="605"/>
      <c r="U40" s="704">
        <v>112</v>
      </c>
      <c r="V40" s="704"/>
      <c r="W40" s="704"/>
      <c r="X40" s="704"/>
      <c r="Y40" s="704"/>
      <c r="Z40" s="704"/>
      <c r="AA40" s="705"/>
      <c r="AB40" s="614" t="s">
        <v>57</v>
      </c>
      <c r="AC40" s="615"/>
      <c r="AD40" s="706"/>
      <c r="AE40" s="707"/>
      <c r="AF40" s="707"/>
      <c r="AG40" s="708"/>
    </row>
    <row r="41" spans="2:65" ht="21.75" thickBot="1" x14ac:dyDescent="0.3">
      <c r="B41" s="619" t="s">
        <v>58</v>
      </c>
      <c r="C41" s="620"/>
      <c r="D41" s="673">
        <f>SUM(D37:D40)</f>
        <v>415</v>
      </c>
      <c r="E41" s="673"/>
      <c r="F41" s="673"/>
      <c r="G41" s="673"/>
      <c r="H41" s="673"/>
      <c r="I41" s="673"/>
      <c r="J41" s="674"/>
      <c r="K41" s="121" t="s">
        <v>59</v>
      </c>
      <c r="L41" s="122"/>
      <c r="M41" s="709">
        <f>SUM(M36:P39)</f>
        <v>86</v>
      </c>
      <c r="N41" s="710"/>
      <c r="O41" s="710"/>
      <c r="P41" s="711"/>
      <c r="S41" s="619" t="s">
        <v>58</v>
      </c>
      <c r="T41" s="620"/>
      <c r="U41" s="673">
        <f>SUM(U37:U40)</f>
        <v>858</v>
      </c>
      <c r="V41" s="673"/>
      <c r="W41" s="673"/>
      <c r="X41" s="673"/>
      <c r="Y41" s="673"/>
      <c r="Z41" s="673"/>
      <c r="AA41" s="674"/>
      <c r="AB41" s="134" t="s">
        <v>59</v>
      </c>
      <c r="AC41" s="135"/>
      <c r="AD41" s="743">
        <f>SUM(AD36:AD40)</f>
        <v>315</v>
      </c>
      <c r="AE41" s="744"/>
      <c r="AF41" s="744"/>
      <c r="AG41" s="745"/>
    </row>
    <row r="42" spans="2:65" ht="15.75" x14ac:dyDescent="0.25">
      <c r="B42" s="607" t="s">
        <v>60</v>
      </c>
      <c r="C42" s="608"/>
      <c r="D42" s="712" t="s">
        <v>77</v>
      </c>
      <c r="E42" s="713"/>
      <c r="F42" s="713"/>
      <c r="G42" s="713"/>
      <c r="H42" s="713"/>
      <c r="I42" s="713"/>
      <c r="J42" s="608"/>
      <c r="K42" s="123" t="s">
        <v>62</v>
      </c>
      <c r="L42" s="124"/>
      <c r="M42" s="125"/>
      <c r="N42" s="125"/>
      <c r="O42" s="125"/>
      <c r="P42" s="126"/>
      <c r="S42" s="746" t="s">
        <v>80</v>
      </c>
      <c r="T42" s="747"/>
      <c r="U42" s="748">
        <v>125</v>
      </c>
      <c r="V42" s="749"/>
      <c r="W42" s="749"/>
      <c r="X42" s="749"/>
      <c r="Y42" s="749"/>
      <c r="Z42" s="749"/>
      <c r="AA42" s="747"/>
      <c r="AB42" s="137"/>
      <c r="AC42" s="138"/>
      <c r="AD42" s="201"/>
      <c r="AE42" s="201"/>
      <c r="AF42" s="201"/>
      <c r="AG42" s="202"/>
    </row>
    <row r="43" spans="2:65" ht="15.75" x14ac:dyDescent="0.25">
      <c r="B43" s="588" t="s">
        <v>63</v>
      </c>
      <c r="C43" s="589"/>
      <c r="D43" s="681">
        <v>4.8</v>
      </c>
      <c r="E43" s="682"/>
      <c r="F43" s="682"/>
      <c r="G43" s="682"/>
      <c r="H43" s="682"/>
      <c r="I43" s="682"/>
      <c r="J43" s="683"/>
      <c r="K43" s="127"/>
      <c r="L43" s="128" t="s">
        <v>64</v>
      </c>
      <c r="M43" s="128"/>
      <c r="N43" s="128"/>
      <c r="O43" s="128"/>
      <c r="P43" s="129"/>
      <c r="S43" s="681" t="s">
        <v>60</v>
      </c>
      <c r="T43" s="683"/>
      <c r="U43" s="681"/>
      <c r="V43" s="682"/>
      <c r="W43" s="682"/>
      <c r="X43" s="682"/>
      <c r="Y43" s="682"/>
      <c r="Z43" s="682"/>
      <c r="AA43" s="683"/>
      <c r="AB43" s="136" t="s">
        <v>62</v>
      </c>
      <c r="AC43" s="198"/>
      <c r="AD43" s="199"/>
      <c r="AE43" s="199"/>
      <c r="AF43" s="199"/>
      <c r="AG43" s="206"/>
    </row>
    <row r="44" spans="2:65" ht="15.75" thickBot="1" x14ac:dyDescent="0.3">
      <c r="B44" s="599" t="s">
        <v>65</v>
      </c>
      <c r="C44" s="600"/>
      <c r="D44" s="684">
        <v>4.5</v>
      </c>
      <c r="E44" s="685"/>
      <c r="F44" s="685"/>
      <c r="G44" s="685"/>
      <c r="H44" s="685"/>
      <c r="I44" s="685"/>
      <c r="J44" s="686"/>
      <c r="K44" s="130"/>
      <c r="L44" s="131"/>
      <c r="M44" s="131"/>
      <c r="N44" s="131"/>
      <c r="O44" s="131"/>
      <c r="P44" s="132"/>
      <c r="S44" s="588" t="s">
        <v>63</v>
      </c>
      <c r="T44" s="589"/>
      <c r="U44" s="681">
        <v>3.9</v>
      </c>
      <c r="V44" s="682"/>
      <c r="W44" s="682"/>
      <c r="X44" s="682"/>
      <c r="Y44" s="682"/>
      <c r="Z44" s="682"/>
      <c r="AA44" s="683"/>
      <c r="AB44" s="593" t="s">
        <v>81</v>
      </c>
      <c r="AC44" s="594"/>
      <c r="AD44" s="594"/>
      <c r="AE44" s="594"/>
      <c r="AF44" s="594"/>
      <c r="AG44" s="595"/>
    </row>
    <row r="45" spans="2:65" ht="15.75" thickBot="1" x14ac:dyDescent="0.3">
      <c r="S45" s="599" t="s">
        <v>65</v>
      </c>
      <c r="T45" s="600"/>
      <c r="U45" s="684">
        <v>3.7</v>
      </c>
      <c r="V45" s="685"/>
      <c r="W45" s="685"/>
      <c r="X45" s="685"/>
      <c r="Y45" s="685"/>
      <c r="Z45" s="685"/>
      <c r="AA45" s="686"/>
      <c r="AB45" s="596"/>
      <c r="AC45" s="597"/>
      <c r="AD45" s="597"/>
      <c r="AE45" s="597"/>
      <c r="AF45" s="597"/>
      <c r="AG45" s="598"/>
    </row>
    <row r="46" spans="2:65" ht="15" customHeight="1" x14ac:dyDescent="0.25">
      <c r="B46" s="650" t="s">
        <v>36</v>
      </c>
      <c r="C46" s="651"/>
      <c r="D46" s="652"/>
      <c r="E46" s="652"/>
      <c r="F46" s="652"/>
      <c r="G46" s="651"/>
      <c r="H46" s="651"/>
      <c r="I46" s="651"/>
      <c r="J46" s="653"/>
      <c r="K46" s="654" t="s">
        <v>37</v>
      </c>
      <c r="L46" s="655"/>
      <c r="M46" s="655"/>
      <c r="N46" s="655"/>
      <c r="O46" s="655"/>
      <c r="P46" s="656"/>
      <c r="S46" s="650" t="s">
        <v>36</v>
      </c>
      <c r="T46" s="651"/>
      <c r="U46" s="652"/>
      <c r="V46" s="652"/>
      <c r="W46" s="652"/>
      <c r="X46" s="651"/>
      <c r="Y46" s="651"/>
      <c r="Z46" s="651"/>
      <c r="AA46" s="653"/>
      <c r="AB46" s="654" t="s">
        <v>37</v>
      </c>
      <c r="AC46" s="655"/>
      <c r="AD46" s="655"/>
      <c r="AE46" s="655"/>
      <c r="AF46" s="655"/>
      <c r="AG46" s="656"/>
      <c r="AI46" s="650" t="s">
        <v>36</v>
      </c>
      <c r="AJ46" s="651"/>
      <c r="AK46" s="652"/>
      <c r="AL46" s="652"/>
      <c r="AM46" s="652"/>
      <c r="AN46" s="651"/>
      <c r="AO46" s="651"/>
      <c r="AP46" s="651"/>
      <c r="AQ46" s="653"/>
      <c r="AR46" s="654" t="s">
        <v>37</v>
      </c>
      <c r="AS46" s="655"/>
      <c r="AT46" s="655"/>
      <c r="AU46" s="655"/>
      <c r="AV46" s="655"/>
      <c r="AW46" s="656"/>
      <c r="AY46" s="650" t="s">
        <v>36</v>
      </c>
      <c r="AZ46" s="651"/>
      <c r="BA46" s="652"/>
      <c r="BB46" s="652"/>
      <c r="BC46" s="652"/>
      <c r="BD46" s="651"/>
      <c r="BE46" s="651"/>
      <c r="BF46" s="651"/>
      <c r="BG46" s="653"/>
      <c r="BH46" s="654" t="s">
        <v>37</v>
      </c>
      <c r="BI46" s="655"/>
      <c r="BJ46" s="655"/>
      <c r="BK46" s="655"/>
      <c r="BL46" s="655"/>
      <c r="BM46" s="656"/>
    </row>
    <row r="47" spans="2:65" ht="18.75" customHeight="1" x14ac:dyDescent="0.3">
      <c r="B47" s="663" t="s">
        <v>8</v>
      </c>
      <c r="C47" s="664"/>
      <c r="D47" s="115" t="s">
        <v>38</v>
      </c>
      <c r="E47" s="116" t="s">
        <v>39</v>
      </c>
      <c r="F47" s="117" t="s">
        <v>40</v>
      </c>
      <c r="G47" s="723" t="s">
        <v>74</v>
      </c>
      <c r="H47" s="724"/>
      <c r="I47" s="724"/>
      <c r="J47" s="725"/>
      <c r="K47" s="657"/>
      <c r="L47" s="658"/>
      <c r="M47" s="658"/>
      <c r="N47" s="658"/>
      <c r="O47" s="658"/>
      <c r="P47" s="659"/>
      <c r="S47" s="663" t="s">
        <v>8</v>
      </c>
      <c r="T47" s="664"/>
      <c r="U47" s="115" t="s">
        <v>38</v>
      </c>
      <c r="V47" s="116" t="s">
        <v>39</v>
      </c>
      <c r="W47" s="117" t="s">
        <v>40</v>
      </c>
      <c r="X47" s="723" t="s">
        <v>74</v>
      </c>
      <c r="Y47" s="724"/>
      <c r="Z47" s="724"/>
      <c r="AA47" s="725"/>
      <c r="AB47" s="657"/>
      <c r="AC47" s="658"/>
      <c r="AD47" s="658"/>
      <c r="AE47" s="658"/>
      <c r="AF47" s="658"/>
      <c r="AG47" s="659"/>
      <c r="AI47" s="663" t="s">
        <v>8</v>
      </c>
      <c r="AJ47" s="664"/>
      <c r="AK47" s="115" t="s">
        <v>38</v>
      </c>
      <c r="AL47" s="116" t="s">
        <v>39</v>
      </c>
      <c r="AM47" s="117" t="s">
        <v>40</v>
      </c>
      <c r="AN47" s="723" t="s">
        <v>74</v>
      </c>
      <c r="AO47" s="724"/>
      <c r="AP47" s="724"/>
      <c r="AQ47" s="725"/>
      <c r="AR47" s="657"/>
      <c r="AS47" s="658"/>
      <c r="AT47" s="658"/>
      <c r="AU47" s="658"/>
      <c r="AV47" s="658"/>
      <c r="AW47" s="659"/>
      <c r="AY47" s="663" t="s">
        <v>8</v>
      </c>
      <c r="AZ47" s="664"/>
      <c r="BA47" s="115" t="s">
        <v>38</v>
      </c>
      <c r="BB47" s="116" t="s">
        <v>39</v>
      </c>
      <c r="BC47" s="117" t="s">
        <v>40</v>
      </c>
      <c r="BD47" s="723" t="s">
        <v>74</v>
      </c>
      <c r="BE47" s="724"/>
      <c r="BF47" s="724"/>
      <c r="BG47" s="725"/>
      <c r="BH47" s="657"/>
      <c r="BI47" s="658"/>
      <c r="BJ47" s="658"/>
      <c r="BK47" s="658"/>
      <c r="BL47" s="658"/>
      <c r="BM47" s="659"/>
    </row>
    <row r="48" spans="2:65" ht="47.25" customHeight="1" thickBot="1" x14ac:dyDescent="0.3">
      <c r="B48" s="671" t="s">
        <v>28</v>
      </c>
      <c r="C48" s="672"/>
      <c r="D48" s="118">
        <v>27</v>
      </c>
      <c r="E48" s="119">
        <v>10</v>
      </c>
      <c r="F48" s="120">
        <v>2021</v>
      </c>
      <c r="G48" s="726"/>
      <c r="H48" s="727"/>
      <c r="I48" s="727"/>
      <c r="J48" s="728"/>
      <c r="K48" s="660"/>
      <c r="L48" s="661"/>
      <c r="M48" s="661"/>
      <c r="N48" s="661"/>
      <c r="O48" s="661"/>
      <c r="P48" s="662"/>
      <c r="S48" s="671" t="s">
        <v>31</v>
      </c>
      <c r="T48" s="672"/>
      <c r="U48" s="118">
        <v>27</v>
      </c>
      <c r="V48" s="119">
        <v>10</v>
      </c>
      <c r="W48" s="120">
        <v>2021</v>
      </c>
      <c r="X48" s="726"/>
      <c r="Y48" s="727"/>
      <c r="Z48" s="727"/>
      <c r="AA48" s="728"/>
      <c r="AB48" s="660"/>
      <c r="AC48" s="661"/>
      <c r="AD48" s="661"/>
      <c r="AE48" s="661"/>
      <c r="AF48" s="661"/>
      <c r="AG48" s="662"/>
      <c r="AI48" s="671" t="s">
        <v>29</v>
      </c>
      <c r="AJ48" s="672"/>
      <c r="AK48" s="118">
        <v>27</v>
      </c>
      <c r="AL48" s="119">
        <v>10</v>
      </c>
      <c r="AM48" s="120">
        <v>2021</v>
      </c>
      <c r="AN48" s="726"/>
      <c r="AO48" s="727"/>
      <c r="AP48" s="727"/>
      <c r="AQ48" s="728"/>
      <c r="AR48" s="660"/>
      <c r="AS48" s="661"/>
      <c r="AT48" s="661"/>
      <c r="AU48" s="661"/>
      <c r="AV48" s="661"/>
      <c r="AW48" s="662"/>
      <c r="AY48" s="671" t="s">
        <v>31</v>
      </c>
      <c r="AZ48" s="672"/>
      <c r="BA48" s="118">
        <v>28</v>
      </c>
      <c r="BB48" s="119">
        <v>10</v>
      </c>
      <c r="BC48" s="120">
        <v>2021</v>
      </c>
      <c r="BD48" s="726"/>
      <c r="BE48" s="727"/>
      <c r="BF48" s="727"/>
      <c r="BG48" s="728"/>
      <c r="BH48" s="660"/>
      <c r="BI48" s="661"/>
      <c r="BJ48" s="661"/>
      <c r="BK48" s="661"/>
      <c r="BL48" s="661"/>
      <c r="BM48" s="662"/>
    </row>
    <row r="49" spans="2:65" ht="15" customHeight="1" x14ac:dyDescent="0.25">
      <c r="B49" s="648" t="s">
        <v>42</v>
      </c>
      <c r="C49" s="649"/>
      <c r="D49" s="718">
        <v>0.31944444444444448</v>
      </c>
      <c r="E49" s="719"/>
      <c r="F49" s="719"/>
      <c r="G49" s="719"/>
      <c r="H49" s="719"/>
      <c r="I49" s="719"/>
      <c r="J49" s="720"/>
      <c r="K49" s="642" t="s">
        <v>44</v>
      </c>
      <c r="L49" s="643"/>
      <c r="M49" s="712">
        <v>100</v>
      </c>
      <c r="N49" s="713"/>
      <c r="O49" s="713"/>
      <c r="P49" s="721"/>
      <c r="S49" s="648" t="s">
        <v>42</v>
      </c>
      <c r="T49" s="649"/>
      <c r="U49" s="718">
        <v>0.27083333333333331</v>
      </c>
      <c r="V49" s="719"/>
      <c r="W49" s="719"/>
      <c r="X49" s="719"/>
      <c r="Y49" s="719"/>
      <c r="Z49" s="719"/>
      <c r="AA49" s="720"/>
      <c r="AB49" s="642" t="s">
        <v>44</v>
      </c>
      <c r="AC49" s="643"/>
      <c r="AD49" s="712">
        <v>150</v>
      </c>
      <c r="AE49" s="713"/>
      <c r="AF49" s="713"/>
      <c r="AG49" s="721"/>
      <c r="AI49" s="648" t="s">
        <v>42</v>
      </c>
      <c r="AJ49" s="649"/>
      <c r="AK49" s="718">
        <v>0.27083333333333331</v>
      </c>
      <c r="AL49" s="719"/>
      <c r="AM49" s="719"/>
      <c r="AN49" s="719"/>
      <c r="AO49" s="719"/>
      <c r="AP49" s="719"/>
      <c r="AQ49" s="720"/>
      <c r="AR49" s="642" t="s">
        <v>44</v>
      </c>
      <c r="AS49" s="643"/>
      <c r="AT49" s="712"/>
      <c r="AU49" s="713"/>
      <c r="AV49" s="713"/>
      <c r="AW49" s="721"/>
      <c r="AY49" s="648" t="s">
        <v>42</v>
      </c>
      <c r="AZ49" s="649"/>
      <c r="BA49" s="639">
        <v>0.25</v>
      </c>
      <c r="BB49" s="640"/>
      <c r="BC49" s="640"/>
      <c r="BD49" s="640"/>
      <c r="BE49" s="640"/>
      <c r="BF49" s="640"/>
      <c r="BG49" s="641"/>
      <c r="BH49" s="642" t="s">
        <v>44</v>
      </c>
      <c r="BI49" s="643"/>
      <c r="BJ49" s="611">
        <v>100</v>
      </c>
      <c r="BK49" s="610"/>
      <c r="BL49" s="610"/>
      <c r="BM49" s="644"/>
    </row>
    <row r="50" spans="2:65" ht="15.75" customHeight="1" x14ac:dyDescent="0.25">
      <c r="B50" s="604" t="s">
        <v>45</v>
      </c>
      <c r="C50" s="605"/>
      <c r="D50" s="722">
        <v>0.77083333333333337</v>
      </c>
      <c r="E50" s="704"/>
      <c r="F50" s="704"/>
      <c r="G50" s="704"/>
      <c r="H50" s="704"/>
      <c r="I50" s="704"/>
      <c r="J50" s="705"/>
      <c r="K50" s="646" t="s">
        <v>47</v>
      </c>
      <c r="L50" s="646"/>
      <c r="M50" s="646"/>
      <c r="N50" s="646"/>
      <c r="O50" s="646"/>
      <c r="P50" s="647"/>
      <c r="S50" s="604" t="s">
        <v>45</v>
      </c>
      <c r="T50" s="605"/>
      <c r="U50" s="722">
        <v>0.72916666666666663</v>
      </c>
      <c r="V50" s="704"/>
      <c r="W50" s="704"/>
      <c r="X50" s="704"/>
      <c r="Y50" s="704"/>
      <c r="Z50" s="704"/>
      <c r="AA50" s="705"/>
      <c r="AB50" s="646" t="s">
        <v>47</v>
      </c>
      <c r="AC50" s="646"/>
      <c r="AD50" s="646"/>
      <c r="AE50" s="646"/>
      <c r="AF50" s="646"/>
      <c r="AG50" s="647"/>
      <c r="AI50" s="604" t="s">
        <v>45</v>
      </c>
      <c r="AJ50" s="605"/>
      <c r="AK50" s="722">
        <v>0.65277777777777779</v>
      </c>
      <c r="AL50" s="704"/>
      <c r="AM50" s="704"/>
      <c r="AN50" s="704"/>
      <c r="AO50" s="704"/>
      <c r="AP50" s="704"/>
      <c r="AQ50" s="705"/>
      <c r="AR50" s="646" t="s">
        <v>47</v>
      </c>
      <c r="AS50" s="646"/>
      <c r="AT50" s="646"/>
      <c r="AU50" s="646"/>
      <c r="AV50" s="646"/>
      <c r="AW50" s="647"/>
      <c r="AY50" s="604" t="s">
        <v>45</v>
      </c>
      <c r="AZ50" s="605"/>
      <c r="BA50" s="645">
        <v>0.64583333333333337</v>
      </c>
      <c r="BB50" s="606"/>
      <c r="BC50" s="606"/>
      <c r="BD50" s="606"/>
      <c r="BE50" s="606"/>
      <c r="BF50" s="606"/>
      <c r="BG50" s="613"/>
      <c r="BH50" s="646" t="s">
        <v>47</v>
      </c>
      <c r="BI50" s="646"/>
      <c r="BJ50" s="646"/>
      <c r="BK50" s="646"/>
      <c r="BL50" s="646"/>
      <c r="BM50" s="647"/>
    </row>
    <row r="51" spans="2:65" ht="15.75" x14ac:dyDescent="0.25">
      <c r="B51" s="637" t="s">
        <v>48</v>
      </c>
      <c r="C51" s="638"/>
      <c r="D51" s="704">
        <v>18</v>
      </c>
      <c r="E51" s="704"/>
      <c r="F51" s="704"/>
      <c r="G51" s="704"/>
      <c r="H51" s="704"/>
      <c r="I51" s="704"/>
      <c r="J51" s="705"/>
      <c r="K51" s="635" t="s">
        <v>49</v>
      </c>
      <c r="L51" s="636"/>
      <c r="M51" s="681"/>
      <c r="N51" s="682"/>
      <c r="O51" s="682"/>
      <c r="P51" s="714"/>
      <c r="S51" s="637" t="s">
        <v>48</v>
      </c>
      <c r="T51" s="638"/>
      <c r="U51" s="704">
        <v>10.08</v>
      </c>
      <c r="V51" s="704"/>
      <c r="W51" s="704"/>
      <c r="X51" s="704"/>
      <c r="Y51" s="704"/>
      <c r="Z51" s="704"/>
      <c r="AA51" s="705"/>
      <c r="AB51" s="635" t="s">
        <v>49</v>
      </c>
      <c r="AC51" s="636"/>
      <c r="AD51" s="681"/>
      <c r="AE51" s="682"/>
      <c r="AF51" s="682"/>
      <c r="AG51" s="714"/>
      <c r="AI51" s="637" t="s">
        <v>48</v>
      </c>
      <c r="AJ51" s="638"/>
      <c r="AK51" s="704">
        <v>16.8</v>
      </c>
      <c r="AL51" s="704"/>
      <c r="AM51" s="704"/>
      <c r="AN51" s="704"/>
      <c r="AO51" s="704"/>
      <c r="AP51" s="704"/>
      <c r="AQ51" s="705"/>
      <c r="AR51" s="635" t="s">
        <v>49</v>
      </c>
      <c r="AS51" s="636"/>
      <c r="AT51" s="681"/>
      <c r="AU51" s="682"/>
      <c r="AV51" s="682"/>
      <c r="AW51" s="714"/>
      <c r="AY51" s="637" t="s">
        <v>48</v>
      </c>
      <c r="AZ51" s="638"/>
      <c r="BA51" s="606"/>
      <c r="BB51" s="606"/>
      <c r="BC51" s="606"/>
      <c r="BD51" s="606"/>
      <c r="BE51" s="606"/>
      <c r="BF51" s="606"/>
      <c r="BG51" s="613"/>
      <c r="BH51" s="635" t="s">
        <v>49</v>
      </c>
      <c r="BI51" s="636"/>
      <c r="BJ51" s="590"/>
      <c r="BK51" s="591"/>
      <c r="BL51" s="591"/>
      <c r="BM51" s="631"/>
    </row>
    <row r="52" spans="2:65" ht="15" customHeight="1" x14ac:dyDescent="0.25">
      <c r="B52" s="604" t="s">
        <v>50</v>
      </c>
      <c r="C52" s="605"/>
      <c r="D52" s="704">
        <v>13</v>
      </c>
      <c r="E52" s="704"/>
      <c r="F52" s="704"/>
      <c r="G52" s="704"/>
      <c r="H52" s="704"/>
      <c r="I52" s="704"/>
      <c r="J52" s="705"/>
      <c r="K52" s="635" t="s">
        <v>51</v>
      </c>
      <c r="L52" s="636"/>
      <c r="M52" s="681"/>
      <c r="N52" s="682"/>
      <c r="O52" s="682"/>
      <c r="P52" s="714"/>
      <c r="S52" s="604" t="s">
        <v>50</v>
      </c>
      <c r="T52" s="605"/>
      <c r="U52" s="704">
        <v>118</v>
      </c>
      <c r="V52" s="704"/>
      <c r="W52" s="704"/>
      <c r="X52" s="704"/>
      <c r="Y52" s="704"/>
      <c r="Z52" s="704"/>
      <c r="AA52" s="705"/>
      <c r="AB52" s="635" t="s">
        <v>51</v>
      </c>
      <c r="AC52" s="636"/>
      <c r="AD52" s="681"/>
      <c r="AE52" s="682"/>
      <c r="AF52" s="682"/>
      <c r="AG52" s="714"/>
      <c r="AI52" s="604" t="s">
        <v>50</v>
      </c>
      <c r="AJ52" s="605"/>
      <c r="AK52" s="704">
        <v>50</v>
      </c>
      <c r="AL52" s="704"/>
      <c r="AM52" s="704"/>
      <c r="AN52" s="704"/>
      <c r="AO52" s="704"/>
      <c r="AP52" s="704"/>
      <c r="AQ52" s="705"/>
      <c r="AR52" s="635" t="s">
        <v>51</v>
      </c>
      <c r="AS52" s="636"/>
      <c r="AT52" s="681">
        <v>185</v>
      </c>
      <c r="AU52" s="682"/>
      <c r="AV52" s="682"/>
      <c r="AW52" s="714"/>
      <c r="AY52" s="604" t="s">
        <v>50</v>
      </c>
      <c r="AZ52" s="605"/>
      <c r="BA52" s="606"/>
      <c r="BB52" s="606"/>
      <c r="BC52" s="606"/>
      <c r="BD52" s="606"/>
      <c r="BE52" s="606"/>
      <c r="BF52" s="606"/>
      <c r="BG52" s="613"/>
      <c r="BH52" s="635" t="s">
        <v>51</v>
      </c>
      <c r="BI52" s="636"/>
      <c r="BJ52" s="590"/>
      <c r="BK52" s="591"/>
      <c r="BL52" s="591"/>
      <c r="BM52" s="631"/>
    </row>
    <row r="53" spans="2:65" ht="15" customHeight="1" x14ac:dyDescent="0.25">
      <c r="B53" s="604" t="s">
        <v>52</v>
      </c>
      <c r="C53" s="605"/>
      <c r="D53" s="704">
        <v>38</v>
      </c>
      <c r="E53" s="704"/>
      <c r="F53" s="704"/>
      <c r="G53" s="704"/>
      <c r="H53" s="704"/>
      <c r="I53" s="704"/>
      <c r="J53" s="705"/>
      <c r="K53" s="614" t="s">
        <v>53</v>
      </c>
      <c r="L53" s="615"/>
      <c r="M53" s="681">
        <v>57</v>
      </c>
      <c r="N53" s="682"/>
      <c r="O53" s="682"/>
      <c r="P53" s="714"/>
      <c r="S53" s="604" t="s">
        <v>52</v>
      </c>
      <c r="T53" s="605"/>
      <c r="U53" s="704">
        <v>35</v>
      </c>
      <c r="V53" s="704"/>
      <c r="W53" s="704"/>
      <c r="X53" s="704"/>
      <c r="Y53" s="704"/>
      <c r="Z53" s="704"/>
      <c r="AA53" s="705"/>
      <c r="AB53" s="203"/>
      <c r="AC53" s="204"/>
      <c r="AD53" s="200"/>
      <c r="AE53" s="201"/>
      <c r="AF53" s="201"/>
      <c r="AG53" s="205"/>
      <c r="AI53" s="604" t="s">
        <v>52</v>
      </c>
      <c r="AJ53" s="605"/>
      <c r="AK53" s="704">
        <v>401</v>
      </c>
      <c r="AL53" s="704"/>
      <c r="AM53" s="704"/>
      <c r="AN53" s="704"/>
      <c r="AO53" s="704"/>
      <c r="AP53" s="704"/>
      <c r="AQ53" s="705"/>
      <c r="AR53" s="614" t="s">
        <v>53</v>
      </c>
      <c r="AS53" s="615"/>
      <c r="AT53" s="681"/>
      <c r="AU53" s="682"/>
      <c r="AV53" s="682"/>
      <c r="AW53" s="714"/>
      <c r="AY53" s="604" t="s">
        <v>52</v>
      </c>
      <c r="AZ53" s="605"/>
      <c r="BA53" s="606">
        <v>103</v>
      </c>
      <c r="BB53" s="606"/>
      <c r="BC53" s="606"/>
      <c r="BD53" s="606"/>
      <c r="BE53" s="606"/>
      <c r="BF53" s="606"/>
      <c r="BG53" s="613"/>
      <c r="BH53" s="614" t="s">
        <v>53</v>
      </c>
      <c r="BI53" s="615"/>
      <c r="BJ53" s="590"/>
      <c r="BK53" s="591"/>
      <c r="BL53" s="591"/>
      <c r="BM53" s="631"/>
    </row>
    <row r="54" spans="2:65" ht="15.75" customHeight="1" thickBot="1" x14ac:dyDescent="0.3">
      <c r="B54" s="604" t="s">
        <v>54</v>
      </c>
      <c r="C54" s="605"/>
      <c r="D54" s="704">
        <v>232</v>
      </c>
      <c r="E54" s="704"/>
      <c r="F54" s="704"/>
      <c r="G54" s="704"/>
      <c r="H54" s="704"/>
      <c r="I54" s="704"/>
      <c r="J54" s="705"/>
      <c r="K54" s="614" t="s">
        <v>55</v>
      </c>
      <c r="L54" s="615"/>
      <c r="M54" s="715"/>
      <c r="N54" s="716"/>
      <c r="O54" s="716"/>
      <c r="P54" s="717"/>
      <c r="S54" s="604" t="s">
        <v>54</v>
      </c>
      <c r="T54" s="605"/>
      <c r="U54" s="704">
        <v>93</v>
      </c>
      <c r="V54" s="704"/>
      <c r="W54" s="704"/>
      <c r="X54" s="704"/>
      <c r="Y54" s="704"/>
      <c r="Z54" s="704"/>
      <c r="AA54" s="705"/>
      <c r="AB54" s="614" t="s">
        <v>53</v>
      </c>
      <c r="AC54" s="615"/>
      <c r="AD54" s="681"/>
      <c r="AE54" s="682"/>
      <c r="AF54" s="682"/>
      <c r="AG54" s="714"/>
      <c r="AI54" s="604" t="s">
        <v>54</v>
      </c>
      <c r="AJ54" s="605"/>
      <c r="AK54" s="704">
        <v>275</v>
      </c>
      <c r="AL54" s="704"/>
      <c r="AM54" s="704"/>
      <c r="AN54" s="704"/>
      <c r="AO54" s="704"/>
      <c r="AP54" s="704"/>
      <c r="AQ54" s="705"/>
      <c r="AR54" s="614" t="s">
        <v>55</v>
      </c>
      <c r="AS54" s="615"/>
      <c r="AT54" s="715">
        <v>11</v>
      </c>
      <c r="AU54" s="716"/>
      <c r="AV54" s="716"/>
      <c r="AW54" s="717"/>
      <c r="AY54" s="604" t="s">
        <v>54</v>
      </c>
      <c r="AZ54" s="605"/>
      <c r="BA54" s="606">
        <v>186</v>
      </c>
      <c r="BB54" s="606"/>
      <c r="BC54" s="606"/>
      <c r="BD54" s="606"/>
      <c r="BE54" s="606"/>
      <c r="BF54" s="606"/>
      <c r="BG54" s="613"/>
      <c r="BH54" s="614" t="s">
        <v>55</v>
      </c>
      <c r="BI54" s="615"/>
      <c r="BJ54" s="632">
        <v>50</v>
      </c>
      <c r="BK54" s="633"/>
      <c r="BL54" s="633"/>
      <c r="BM54" s="634"/>
    </row>
    <row r="55" spans="2:65" ht="15.75" customHeight="1" thickBot="1" x14ac:dyDescent="0.3">
      <c r="B55" s="604" t="s">
        <v>56</v>
      </c>
      <c r="C55" s="605"/>
      <c r="D55" s="704">
        <v>253</v>
      </c>
      <c r="E55" s="704"/>
      <c r="F55" s="704"/>
      <c r="G55" s="704"/>
      <c r="H55" s="704"/>
      <c r="I55" s="704"/>
      <c r="J55" s="705"/>
      <c r="K55" s="614" t="s">
        <v>57</v>
      </c>
      <c r="L55" s="615"/>
      <c r="M55" s="706">
        <v>108</v>
      </c>
      <c r="N55" s="707"/>
      <c r="O55" s="707"/>
      <c r="P55" s="708"/>
      <c r="S55" s="604" t="s">
        <v>56</v>
      </c>
      <c r="T55" s="605"/>
      <c r="U55" s="704">
        <v>339</v>
      </c>
      <c r="V55" s="704"/>
      <c r="W55" s="704"/>
      <c r="X55" s="704"/>
      <c r="Y55" s="704"/>
      <c r="Z55" s="704"/>
      <c r="AA55" s="705"/>
      <c r="AB55" s="614" t="s">
        <v>55</v>
      </c>
      <c r="AC55" s="615"/>
      <c r="AD55" s="715"/>
      <c r="AE55" s="716"/>
      <c r="AF55" s="716"/>
      <c r="AG55" s="717"/>
      <c r="AI55" s="604" t="s">
        <v>56</v>
      </c>
      <c r="AJ55" s="605"/>
      <c r="AK55" s="704">
        <v>88</v>
      </c>
      <c r="AL55" s="704"/>
      <c r="AM55" s="704"/>
      <c r="AN55" s="704"/>
      <c r="AO55" s="704"/>
      <c r="AP55" s="704"/>
      <c r="AQ55" s="705"/>
      <c r="AR55" s="614" t="s">
        <v>57</v>
      </c>
      <c r="AS55" s="615"/>
      <c r="AT55" s="706"/>
      <c r="AU55" s="707"/>
      <c r="AV55" s="707"/>
      <c r="AW55" s="708"/>
      <c r="AY55" s="604" t="s">
        <v>56</v>
      </c>
      <c r="AZ55" s="605"/>
      <c r="BA55" s="606">
        <v>145</v>
      </c>
      <c r="BB55" s="606"/>
      <c r="BC55" s="606"/>
      <c r="BD55" s="606"/>
      <c r="BE55" s="606"/>
      <c r="BF55" s="606"/>
      <c r="BG55" s="613"/>
      <c r="BH55" s="614" t="s">
        <v>57</v>
      </c>
      <c r="BI55" s="615"/>
      <c r="BJ55" s="624"/>
      <c r="BK55" s="625"/>
      <c r="BL55" s="625"/>
      <c r="BM55" s="626"/>
    </row>
    <row r="56" spans="2:65" ht="29.25" customHeight="1" thickBot="1" x14ac:dyDescent="0.3">
      <c r="B56" s="619" t="s">
        <v>58</v>
      </c>
      <c r="C56" s="620"/>
      <c r="D56" s="673">
        <f>SUM(D52:D55)</f>
        <v>536</v>
      </c>
      <c r="E56" s="673"/>
      <c r="F56" s="673"/>
      <c r="G56" s="673"/>
      <c r="H56" s="673"/>
      <c r="I56" s="673"/>
      <c r="J56" s="674"/>
      <c r="K56" s="121" t="s">
        <v>59</v>
      </c>
      <c r="L56" s="122"/>
      <c r="M56" s="709">
        <f>SUM(M53:M55)</f>
        <v>165</v>
      </c>
      <c r="N56" s="710"/>
      <c r="O56" s="710"/>
      <c r="P56" s="711"/>
      <c r="S56" s="604" t="s">
        <v>107</v>
      </c>
      <c r="T56" s="605"/>
      <c r="U56" s="704">
        <v>274</v>
      </c>
      <c r="V56" s="704"/>
      <c r="W56" s="704"/>
      <c r="X56" s="704"/>
      <c r="Y56" s="704"/>
      <c r="Z56" s="704"/>
      <c r="AA56" s="705"/>
      <c r="AB56" s="614" t="s">
        <v>57</v>
      </c>
      <c r="AC56" s="615"/>
      <c r="AD56" s="706">
        <v>121</v>
      </c>
      <c r="AE56" s="707"/>
      <c r="AF56" s="707"/>
      <c r="AG56" s="708"/>
      <c r="AI56" s="619" t="s">
        <v>58</v>
      </c>
      <c r="AJ56" s="620"/>
      <c r="AK56" s="673">
        <f>SUM(AK52:AK55)+53</f>
        <v>867</v>
      </c>
      <c r="AL56" s="673"/>
      <c r="AM56" s="673"/>
      <c r="AN56" s="673"/>
      <c r="AO56" s="673"/>
      <c r="AP56" s="673"/>
      <c r="AQ56" s="674"/>
      <c r="AR56" s="121" t="s">
        <v>59</v>
      </c>
      <c r="AS56" s="122"/>
      <c r="AT56" s="706">
        <f>SUM(AT52:AT55)</f>
        <v>196</v>
      </c>
      <c r="AU56" s="707"/>
      <c r="AV56" s="707"/>
      <c r="AW56" s="708"/>
      <c r="AY56" s="619" t="s">
        <v>58</v>
      </c>
      <c r="AZ56" s="620"/>
      <c r="BA56" s="673">
        <f>SUM(BA53:BA55)</f>
        <v>434</v>
      </c>
      <c r="BB56" s="673"/>
      <c r="BC56" s="673"/>
      <c r="BD56" s="673"/>
      <c r="BE56" s="673"/>
      <c r="BF56" s="673"/>
      <c r="BG56" s="674"/>
      <c r="BH56" s="121" t="s">
        <v>59</v>
      </c>
      <c r="BI56" s="122"/>
      <c r="BJ56" s="624">
        <f>SUM(BJ54:BJ55)</f>
        <v>50</v>
      </c>
      <c r="BK56" s="625"/>
      <c r="BL56" s="625"/>
      <c r="BM56" s="626"/>
    </row>
    <row r="57" spans="2:65" ht="21.75" thickBot="1" x14ac:dyDescent="0.3">
      <c r="B57" s="607" t="s">
        <v>60</v>
      </c>
      <c r="C57" s="608"/>
      <c r="D57" s="712" t="s">
        <v>78</v>
      </c>
      <c r="E57" s="713"/>
      <c r="F57" s="713"/>
      <c r="G57" s="713"/>
      <c r="H57" s="713"/>
      <c r="I57" s="713"/>
      <c r="J57" s="608"/>
      <c r="K57" s="123" t="s">
        <v>62</v>
      </c>
      <c r="L57" s="124"/>
      <c r="M57" s="125"/>
      <c r="N57" s="125"/>
      <c r="O57" s="125"/>
      <c r="P57" s="126"/>
      <c r="S57" s="619" t="s">
        <v>58</v>
      </c>
      <c r="T57" s="620"/>
      <c r="U57" s="673">
        <f>SUM(U52:U56)</f>
        <v>859</v>
      </c>
      <c r="V57" s="673"/>
      <c r="W57" s="673"/>
      <c r="X57" s="673"/>
      <c r="Y57" s="673"/>
      <c r="Z57" s="673"/>
      <c r="AA57" s="674"/>
      <c r="AB57" s="121" t="s">
        <v>59</v>
      </c>
      <c r="AC57" s="122"/>
      <c r="AD57" s="709">
        <f>+AD56</f>
        <v>121</v>
      </c>
      <c r="AE57" s="710"/>
      <c r="AF57" s="710"/>
      <c r="AG57" s="711"/>
      <c r="AI57" s="607" t="s">
        <v>60</v>
      </c>
      <c r="AJ57" s="608"/>
      <c r="AK57" s="712"/>
      <c r="AL57" s="713"/>
      <c r="AM57" s="713"/>
      <c r="AN57" s="713"/>
      <c r="AO57" s="713"/>
      <c r="AP57" s="713"/>
      <c r="AQ57" s="608"/>
      <c r="AR57" s="123" t="s">
        <v>62</v>
      </c>
      <c r="AS57" s="124"/>
      <c r="AT57" s="125"/>
      <c r="AU57" s="125"/>
      <c r="AV57" s="125"/>
      <c r="AW57" s="126"/>
      <c r="AY57" s="607" t="s">
        <v>60</v>
      </c>
      <c r="AZ57" s="608"/>
      <c r="BA57" s="611">
        <v>2025</v>
      </c>
      <c r="BB57" s="610"/>
      <c r="BC57" s="610"/>
      <c r="BD57" s="610"/>
      <c r="BE57" s="610"/>
      <c r="BF57" s="610"/>
      <c r="BG57" s="612"/>
      <c r="BH57" s="123" t="s">
        <v>62</v>
      </c>
      <c r="BI57" s="124"/>
      <c r="BJ57" s="125"/>
      <c r="BK57" s="125"/>
      <c r="BL57" s="125"/>
      <c r="BM57" s="126"/>
    </row>
    <row r="58" spans="2:65" ht="15.75" x14ac:dyDescent="0.25">
      <c r="B58" s="588" t="s">
        <v>63</v>
      </c>
      <c r="C58" s="589"/>
      <c r="D58" s="681">
        <v>3.3</v>
      </c>
      <c r="E58" s="682"/>
      <c r="F58" s="682"/>
      <c r="G58" s="682"/>
      <c r="H58" s="682"/>
      <c r="I58" s="682"/>
      <c r="J58" s="683"/>
      <c r="K58" s="127"/>
      <c r="L58" s="128" t="s">
        <v>64</v>
      </c>
      <c r="M58" s="128"/>
      <c r="N58" s="128"/>
      <c r="O58" s="128"/>
      <c r="P58" s="129"/>
      <c r="S58" s="607" t="s">
        <v>60</v>
      </c>
      <c r="T58" s="608"/>
      <c r="U58" s="712">
        <v>1387.28</v>
      </c>
      <c r="V58" s="713"/>
      <c r="W58" s="713"/>
      <c r="X58" s="713"/>
      <c r="Y58" s="713"/>
      <c r="Z58" s="713"/>
      <c r="AA58" s="608"/>
      <c r="AB58" s="123" t="s">
        <v>62</v>
      </c>
      <c r="AC58" s="124"/>
      <c r="AD58" s="125"/>
      <c r="AE58" s="125"/>
      <c r="AF58" s="125"/>
      <c r="AG58" s="126"/>
      <c r="AI58" s="588" t="s">
        <v>63</v>
      </c>
      <c r="AJ58" s="589"/>
      <c r="AK58" s="681">
        <v>4.4000000000000004</v>
      </c>
      <c r="AL58" s="682"/>
      <c r="AM58" s="682"/>
      <c r="AN58" s="682"/>
      <c r="AO58" s="682"/>
      <c r="AP58" s="682"/>
      <c r="AQ58" s="683"/>
      <c r="AR58" s="593" t="s">
        <v>81</v>
      </c>
      <c r="AS58" s="594"/>
      <c r="AT58" s="594"/>
      <c r="AU58" s="594"/>
      <c r="AV58" s="594"/>
      <c r="AW58" s="595"/>
      <c r="AY58" s="588" t="s">
        <v>63</v>
      </c>
      <c r="AZ58" s="589"/>
      <c r="BA58" s="590">
        <v>8.6</v>
      </c>
      <c r="BB58" s="591"/>
      <c r="BC58" s="591"/>
      <c r="BD58" s="591"/>
      <c r="BE58" s="591"/>
      <c r="BF58" s="591"/>
      <c r="BG58" s="592"/>
      <c r="BH58" s="593" t="s">
        <v>82</v>
      </c>
      <c r="BI58" s="594"/>
      <c r="BJ58" s="594"/>
      <c r="BK58" s="594"/>
      <c r="BL58" s="594"/>
      <c r="BM58" s="595"/>
    </row>
    <row r="59" spans="2:65" ht="16.5" thickBot="1" x14ac:dyDescent="0.3">
      <c r="B59" s="599" t="s">
        <v>65</v>
      </c>
      <c r="C59" s="600"/>
      <c r="D59" s="684">
        <v>2.4</v>
      </c>
      <c r="E59" s="685"/>
      <c r="F59" s="685"/>
      <c r="G59" s="685"/>
      <c r="H59" s="685"/>
      <c r="I59" s="685"/>
      <c r="J59" s="686"/>
      <c r="K59" s="130"/>
      <c r="L59" s="131"/>
      <c r="M59" s="131"/>
      <c r="N59" s="131"/>
      <c r="O59" s="131"/>
      <c r="P59" s="132"/>
      <c r="S59" s="588" t="s">
        <v>63</v>
      </c>
      <c r="T59" s="589"/>
      <c r="U59" s="681">
        <v>7.1</v>
      </c>
      <c r="V59" s="682"/>
      <c r="W59" s="682"/>
      <c r="X59" s="682"/>
      <c r="Y59" s="682"/>
      <c r="Z59" s="682"/>
      <c r="AA59" s="683"/>
      <c r="AB59" s="127"/>
      <c r="AC59" s="128"/>
      <c r="AD59" s="128"/>
      <c r="AE59" s="128"/>
      <c r="AF59" s="128"/>
      <c r="AG59" s="129"/>
      <c r="AI59" s="599" t="s">
        <v>65</v>
      </c>
      <c r="AJ59" s="600"/>
      <c r="AK59" s="684">
        <v>4.3</v>
      </c>
      <c r="AL59" s="685"/>
      <c r="AM59" s="685"/>
      <c r="AN59" s="685"/>
      <c r="AO59" s="685"/>
      <c r="AP59" s="685"/>
      <c r="AQ59" s="686"/>
      <c r="AR59" s="596"/>
      <c r="AS59" s="597"/>
      <c r="AT59" s="597"/>
      <c r="AU59" s="597"/>
      <c r="AV59" s="597"/>
      <c r="AW59" s="598"/>
      <c r="AY59" s="599" t="s">
        <v>65</v>
      </c>
      <c r="AZ59" s="600"/>
      <c r="BA59" s="601">
        <v>6.8</v>
      </c>
      <c r="BB59" s="602"/>
      <c r="BC59" s="602"/>
      <c r="BD59" s="602"/>
      <c r="BE59" s="602"/>
      <c r="BF59" s="602"/>
      <c r="BG59" s="603"/>
      <c r="BH59" s="596"/>
      <c r="BI59" s="597"/>
      <c r="BJ59" s="597"/>
      <c r="BK59" s="597"/>
      <c r="BL59" s="597"/>
      <c r="BM59" s="598"/>
    </row>
    <row r="60" spans="2:65" ht="15.75" thickBot="1" x14ac:dyDescent="0.3">
      <c r="S60" s="599" t="s">
        <v>65</v>
      </c>
      <c r="T60" s="600"/>
      <c r="U60" s="684">
        <v>5</v>
      </c>
      <c r="V60" s="685"/>
      <c r="W60" s="685"/>
      <c r="X60" s="685"/>
      <c r="Y60" s="685"/>
      <c r="Z60" s="685"/>
      <c r="AA60" s="686"/>
      <c r="AB60" s="130"/>
      <c r="AC60" s="131"/>
      <c r="AD60" s="131"/>
      <c r="AE60" s="131"/>
      <c r="AF60" s="131"/>
      <c r="AG60" s="132"/>
    </row>
    <row r="61" spans="2:65" ht="18.75" x14ac:dyDescent="0.3">
      <c r="B61" s="693" t="s">
        <v>8</v>
      </c>
      <c r="C61" s="664"/>
      <c r="D61" s="115" t="s">
        <v>38</v>
      </c>
      <c r="E61" s="116" t="s">
        <v>39</v>
      </c>
      <c r="F61" s="117" t="s">
        <v>40</v>
      </c>
      <c r="G61" s="675" t="s">
        <v>83</v>
      </c>
      <c r="H61" s="676"/>
      <c r="I61" s="676"/>
      <c r="J61" s="677"/>
      <c r="K61" s="687" t="s">
        <v>37</v>
      </c>
      <c r="L61" s="688"/>
      <c r="M61" s="688"/>
      <c r="N61" s="688"/>
      <c r="O61" s="688"/>
      <c r="P61" s="689"/>
    </row>
    <row r="62" spans="2:65" ht="46.5" x14ac:dyDescent="0.25">
      <c r="B62" s="697" t="s">
        <v>84</v>
      </c>
      <c r="C62" s="698"/>
      <c r="D62" s="208">
        <v>2</v>
      </c>
      <c r="E62" s="209">
        <v>11</v>
      </c>
      <c r="F62" s="210">
        <v>2021</v>
      </c>
      <c r="G62" s="694"/>
      <c r="H62" s="695"/>
      <c r="I62" s="695"/>
      <c r="J62" s="696"/>
      <c r="K62" s="690"/>
      <c r="L62" s="691"/>
      <c r="M62" s="691"/>
      <c r="N62" s="691"/>
      <c r="O62" s="691"/>
      <c r="P62" s="692"/>
    </row>
    <row r="63" spans="2:65" ht="15.75" x14ac:dyDescent="0.25">
      <c r="B63" s="699" t="s">
        <v>42</v>
      </c>
      <c r="C63" s="700"/>
      <c r="D63" s="701">
        <v>0.26874999999999999</v>
      </c>
      <c r="E63" s="702"/>
      <c r="F63" s="702"/>
      <c r="G63" s="702"/>
      <c r="H63" s="702"/>
      <c r="I63" s="702"/>
      <c r="J63" s="703"/>
      <c r="K63" s="642" t="s">
        <v>44</v>
      </c>
      <c r="L63" s="643"/>
      <c r="M63" s="611">
        <v>250</v>
      </c>
      <c r="N63" s="610"/>
      <c r="O63" s="610"/>
      <c r="P63" s="644"/>
    </row>
    <row r="64" spans="2:65" ht="15.75" x14ac:dyDescent="0.25">
      <c r="B64" s="604" t="s">
        <v>45</v>
      </c>
      <c r="C64" s="605"/>
      <c r="D64" s="645">
        <v>0.71875</v>
      </c>
      <c r="E64" s="606"/>
      <c r="F64" s="606"/>
      <c r="G64" s="606"/>
      <c r="H64" s="606"/>
      <c r="I64" s="606"/>
      <c r="J64" s="613"/>
      <c r="K64" s="646" t="s">
        <v>47</v>
      </c>
      <c r="L64" s="646"/>
      <c r="M64" s="646"/>
      <c r="N64" s="646"/>
      <c r="O64" s="646"/>
      <c r="P64" s="647"/>
    </row>
    <row r="65" spans="2:16" ht="15.75" x14ac:dyDescent="0.25">
      <c r="B65" s="637" t="s">
        <v>48</v>
      </c>
      <c r="C65" s="638"/>
      <c r="D65" s="606"/>
      <c r="E65" s="606"/>
      <c r="F65" s="606"/>
      <c r="G65" s="606"/>
      <c r="H65" s="606"/>
      <c r="I65" s="606"/>
      <c r="J65" s="613"/>
      <c r="K65" s="635" t="s">
        <v>49</v>
      </c>
      <c r="L65" s="636"/>
      <c r="M65" s="590">
        <v>243</v>
      </c>
      <c r="N65" s="591"/>
      <c r="O65" s="591"/>
      <c r="P65" s="631"/>
    </row>
    <row r="66" spans="2:16" ht="15.75" x14ac:dyDescent="0.25">
      <c r="B66" s="604" t="s">
        <v>50</v>
      </c>
      <c r="C66" s="605"/>
      <c r="D66" s="606">
        <v>63</v>
      </c>
      <c r="E66" s="606"/>
      <c r="F66" s="606"/>
      <c r="G66" s="606"/>
      <c r="H66" s="606"/>
      <c r="I66" s="606"/>
      <c r="J66" s="613"/>
      <c r="K66" s="635" t="s">
        <v>51</v>
      </c>
      <c r="L66" s="636"/>
      <c r="M66" s="590">
        <v>50</v>
      </c>
      <c r="N66" s="591"/>
      <c r="O66" s="591"/>
      <c r="P66" s="631"/>
    </row>
    <row r="67" spans="2:16" ht="15.75" x14ac:dyDescent="0.25">
      <c r="B67" s="604" t="s">
        <v>52</v>
      </c>
      <c r="C67" s="605"/>
      <c r="D67" s="606">
        <v>614</v>
      </c>
      <c r="E67" s="606"/>
      <c r="F67" s="606"/>
      <c r="G67" s="606"/>
      <c r="H67" s="606"/>
      <c r="I67" s="606"/>
      <c r="J67" s="613"/>
      <c r="K67" s="614" t="s">
        <v>53</v>
      </c>
      <c r="L67" s="615"/>
      <c r="M67" s="590"/>
      <c r="N67" s="591"/>
      <c r="O67" s="591"/>
      <c r="P67" s="631"/>
    </row>
    <row r="68" spans="2:16" ht="24.75" customHeight="1" thickBot="1" x14ac:dyDescent="0.3">
      <c r="B68" s="604" t="s">
        <v>54</v>
      </c>
      <c r="C68" s="605"/>
      <c r="D68" s="606">
        <v>488</v>
      </c>
      <c r="E68" s="606"/>
      <c r="F68" s="606"/>
      <c r="G68" s="606"/>
      <c r="H68" s="606"/>
      <c r="I68" s="606"/>
      <c r="J68" s="613"/>
      <c r="K68" s="614" t="s">
        <v>55</v>
      </c>
      <c r="L68" s="615"/>
      <c r="M68" s="632"/>
      <c r="N68" s="633"/>
      <c r="O68" s="633"/>
      <c r="P68" s="634"/>
    </row>
    <row r="69" spans="2:16" ht="26.25" customHeight="1" thickBot="1" x14ac:dyDescent="0.3">
      <c r="B69" s="604" t="s">
        <v>56</v>
      </c>
      <c r="C69" s="605"/>
      <c r="D69" s="606">
        <v>80</v>
      </c>
      <c r="E69" s="606"/>
      <c r="F69" s="606"/>
      <c r="G69" s="606"/>
      <c r="H69" s="606"/>
      <c r="I69" s="606"/>
      <c r="J69" s="613"/>
      <c r="K69" s="614" t="s">
        <v>57</v>
      </c>
      <c r="L69" s="615"/>
      <c r="M69" s="624"/>
      <c r="N69" s="625"/>
      <c r="O69" s="625"/>
      <c r="P69" s="626"/>
    </row>
    <row r="70" spans="2:16" ht="21.75" thickBot="1" x14ac:dyDescent="0.3">
      <c r="B70" s="619" t="s">
        <v>58</v>
      </c>
      <c r="C70" s="620"/>
      <c r="D70" s="673">
        <f>SUM(D66:D69)</f>
        <v>1245</v>
      </c>
      <c r="E70" s="673"/>
      <c r="F70" s="673"/>
      <c r="G70" s="673"/>
      <c r="H70" s="673"/>
      <c r="I70" s="673"/>
      <c r="J70" s="674"/>
      <c r="K70" s="121" t="s">
        <v>59</v>
      </c>
      <c r="L70" s="122"/>
      <c r="M70" s="624">
        <f>SUM(M65:M69)</f>
        <v>293</v>
      </c>
      <c r="N70" s="625"/>
      <c r="O70" s="625"/>
      <c r="P70" s="626"/>
    </row>
    <row r="71" spans="2:16" ht="15.75" x14ac:dyDescent="0.25">
      <c r="B71" s="607" t="s">
        <v>60</v>
      </c>
      <c r="C71" s="608"/>
      <c r="D71" s="611"/>
      <c r="E71" s="610"/>
      <c r="F71" s="610"/>
      <c r="G71" s="610"/>
      <c r="H71" s="610"/>
      <c r="I71" s="610"/>
      <c r="J71" s="612"/>
      <c r="K71" s="123" t="s">
        <v>62</v>
      </c>
      <c r="L71" s="124"/>
      <c r="M71" s="125"/>
      <c r="N71" s="125"/>
      <c r="O71" s="125"/>
      <c r="P71" s="126"/>
    </row>
    <row r="72" spans="2:16" ht="15.75" x14ac:dyDescent="0.25">
      <c r="B72" s="588" t="s">
        <v>63</v>
      </c>
      <c r="C72" s="589"/>
      <c r="D72" s="590">
        <v>2.8</v>
      </c>
      <c r="E72" s="591"/>
      <c r="F72" s="591"/>
      <c r="G72" s="591"/>
      <c r="H72" s="591"/>
      <c r="I72" s="591"/>
      <c r="J72" s="592"/>
      <c r="K72" s="593" t="s">
        <v>69</v>
      </c>
      <c r="L72" s="594"/>
      <c r="M72" s="594"/>
      <c r="N72" s="594"/>
      <c r="O72" s="594"/>
      <c r="P72" s="595"/>
    </row>
    <row r="73" spans="2:16" ht="16.5" thickBot="1" x14ac:dyDescent="0.3">
      <c r="B73" s="599" t="s">
        <v>65</v>
      </c>
      <c r="C73" s="600"/>
      <c r="D73" s="601">
        <v>0.31</v>
      </c>
      <c r="E73" s="602"/>
      <c r="F73" s="602"/>
      <c r="G73" s="602"/>
      <c r="H73" s="602"/>
      <c r="I73" s="602"/>
      <c r="J73" s="603"/>
      <c r="K73" s="596"/>
      <c r="L73" s="597"/>
      <c r="M73" s="597"/>
      <c r="N73" s="597"/>
      <c r="O73" s="597"/>
      <c r="P73" s="598"/>
    </row>
    <row r="76" spans="2:16" ht="15.75" thickBot="1" x14ac:dyDescent="0.3"/>
    <row r="77" spans="2:16" x14ac:dyDescent="0.25">
      <c r="B77" s="650" t="s">
        <v>36</v>
      </c>
      <c r="C77" s="651"/>
      <c r="D77" s="652"/>
      <c r="E77" s="652"/>
      <c r="F77" s="652"/>
      <c r="G77" s="651"/>
      <c r="H77" s="651"/>
      <c r="I77" s="651"/>
      <c r="J77" s="653"/>
      <c r="K77" s="654" t="s">
        <v>37</v>
      </c>
      <c r="L77" s="655"/>
      <c r="M77" s="655"/>
      <c r="N77" s="655"/>
      <c r="O77" s="655"/>
      <c r="P77" s="656"/>
    </row>
    <row r="78" spans="2:16" ht="18.75" x14ac:dyDescent="0.3">
      <c r="B78" s="663" t="s">
        <v>8</v>
      </c>
      <c r="C78" s="664"/>
      <c r="D78" s="115" t="s">
        <v>38</v>
      </c>
      <c r="E78" s="116" t="s">
        <v>39</v>
      </c>
      <c r="F78" s="117" t="s">
        <v>40</v>
      </c>
      <c r="G78" s="675" t="s">
        <v>83</v>
      </c>
      <c r="H78" s="676"/>
      <c r="I78" s="676"/>
      <c r="J78" s="677"/>
      <c r="K78" s="657"/>
      <c r="L78" s="658"/>
      <c r="M78" s="658"/>
      <c r="N78" s="658"/>
      <c r="O78" s="658"/>
      <c r="P78" s="659"/>
    </row>
    <row r="79" spans="2:16" ht="47.25" thickBot="1" x14ac:dyDescent="0.3">
      <c r="B79" s="671" t="s">
        <v>29</v>
      </c>
      <c r="C79" s="672"/>
      <c r="D79" s="118">
        <v>3</v>
      </c>
      <c r="E79" s="119">
        <v>11</v>
      </c>
      <c r="F79" s="120">
        <v>2021</v>
      </c>
      <c r="G79" s="678"/>
      <c r="H79" s="679"/>
      <c r="I79" s="679"/>
      <c r="J79" s="680"/>
      <c r="K79" s="660"/>
      <c r="L79" s="661"/>
      <c r="M79" s="661"/>
      <c r="N79" s="661"/>
      <c r="O79" s="661"/>
      <c r="P79" s="662"/>
    </row>
    <row r="80" spans="2:16" ht="15.75" x14ac:dyDescent="0.25">
      <c r="B80" s="648" t="s">
        <v>42</v>
      </c>
      <c r="C80" s="649"/>
      <c r="D80" s="639">
        <v>0.27777777777777779</v>
      </c>
      <c r="E80" s="640"/>
      <c r="F80" s="640"/>
      <c r="G80" s="640"/>
      <c r="H80" s="640"/>
      <c r="I80" s="640"/>
      <c r="J80" s="641"/>
      <c r="K80" s="642" t="s">
        <v>44</v>
      </c>
      <c r="L80" s="643"/>
      <c r="M80" s="611">
        <v>200</v>
      </c>
      <c r="N80" s="610"/>
      <c r="O80" s="610"/>
      <c r="P80" s="644"/>
    </row>
    <row r="81" spans="2:16" ht="15.75" x14ac:dyDescent="0.25">
      <c r="B81" s="604" t="s">
        <v>45</v>
      </c>
      <c r="C81" s="605"/>
      <c r="D81" s="645">
        <v>0.73402777777777783</v>
      </c>
      <c r="E81" s="606"/>
      <c r="F81" s="606"/>
      <c r="G81" s="606"/>
      <c r="H81" s="606"/>
      <c r="I81" s="606"/>
      <c r="J81" s="613"/>
      <c r="K81" s="646" t="s">
        <v>47</v>
      </c>
      <c r="L81" s="646"/>
      <c r="M81" s="646"/>
      <c r="N81" s="646"/>
      <c r="O81" s="646"/>
      <c r="P81" s="647"/>
    </row>
    <row r="82" spans="2:16" ht="15.75" x14ac:dyDescent="0.25">
      <c r="B82" s="637" t="s">
        <v>48</v>
      </c>
      <c r="C82" s="638"/>
      <c r="D82" s="606"/>
      <c r="E82" s="606"/>
      <c r="F82" s="606"/>
      <c r="G82" s="606"/>
      <c r="H82" s="606"/>
      <c r="I82" s="606"/>
      <c r="J82" s="613"/>
      <c r="K82" s="635" t="s">
        <v>49</v>
      </c>
      <c r="L82" s="636"/>
      <c r="M82" s="590"/>
      <c r="N82" s="591"/>
      <c r="O82" s="591"/>
      <c r="P82" s="631"/>
    </row>
    <row r="83" spans="2:16" ht="15.75" x14ac:dyDescent="0.25">
      <c r="B83" s="604" t="s">
        <v>50</v>
      </c>
      <c r="C83" s="605"/>
      <c r="D83" s="606">
        <v>24</v>
      </c>
      <c r="E83" s="606"/>
      <c r="F83" s="606"/>
      <c r="G83" s="606"/>
      <c r="H83" s="606"/>
      <c r="I83" s="606"/>
      <c r="J83" s="613"/>
      <c r="K83" s="635" t="s">
        <v>51</v>
      </c>
      <c r="L83" s="636"/>
      <c r="M83" s="590">
        <v>200</v>
      </c>
      <c r="N83" s="591"/>
      <c r="O83" s="591"/>
      <c r="P83" s="631"/>
    </row>
    <row r="84" spans="2:16" ht="15.75" x14ac:dyDescent="0.25">
      <c r="B84" s="604" t="s">
        <v>52</v>
      </c>
      <c r="C84" s="605"/>
      <c r="D84" s="606">
        <v>354</v>
      </c>
      <c r="E84" s="606"/>
      <c r="F84" s="606"/>
      <c r="G84" s="606"/>
      <c r="H84" s="606"/>
      <c r="I84" s="606"/>
      <c r="J84" s="613"/>
      <c r="K84" s="614" t="s">
        <v>53</v>
      </c>
      <c r="L84" s="615"/>
      <c r="M84" s="590"/>
      <c r="N84" s="591"/>
      <c r="O84" s="591"/>
      <c r="P84" s="631"/>
    </row>
    <row r="85" spans="2:16" ht="33.75" customHeight="1" thickBot="1" x14ac:dyDescent="0.3">
      <c r="B85" s="604" t="s">
        <v>54</v>
      </c>
      <c r="C85" s="605"/>
      <c r="D85" s="606">
        <v>173</v>
      </c>
      <c r="E85" s="606"/>
      <c r="F85" s="606"/>
      <c r="G85" s="606"/>
      <c r="H85" s="606"/>
      <c r="I85" s="606"/>
      <c r="J85" s="613"/>
      <c r="K85" s="614" t="s">
        <v>55</v>
      </c>
      <c r="L85" s="615"/>
      <c r="M85" s="632"/>
      <c r="N85" s="633"/>
      <c r="O85" s="633"/>
      <c r="P85" s="634"/>
    </row>
    <row r="86" spans="2:16" ht="26.25" customHeight="1" thickBot="1" x14ac:dyDescent="0.3">
      <c r="B86" s="604" t="s">
        <v>56</v>
      </c>
      <c r="C86" s="605"/>
      <c r="D86" s="606">
        <v>55</v>
      </c>
      <c r="E86" s="606"/>
      <c r="F86" s="606"/>
      <c r="G86" s="606"/>
      <c r="H86" s="606"/>
      <c r="I86" s="606"/>
      <c r="J86" s="613"/>
      <c r="K86" s="614" t="s">
        <v>57</v>
      </c>
      <c r="L86" s="615"/>
      <c r="M86" s="624"/>
      <c r="N86" s="625"/>
      <c r="O86" s="625"/>
      <c r="P86" s="626"/>
    </row>
    <row r="87" spans="2:16" ht="21.75" thickBot="1" x14ac:dyDescent="0.3">
      <c r="B87" s="619" t="s">
        <v>58</v>
      </c>
      <c r="C87" s="620"/>
      <c r="D87" s="673">
        <f>SUM(D83:D86)</f>
        <v>606</v>
      </c>
      <c r="E87" s="673"/>
      <c r="F87" s="673"/>
      <c r="G87" s="673"/>
      <c r="H87" s="673"/>
      <c r="I87" s="673"/>
      <c r="J87" s="674"/>
      <c r="K87" s="121" t="s">
        <v>59</v>
      </c>
      <c r="L87" s="122"/>
      <c r="M87" s="624">
        <f>SUM(M83:M86)</f>
        <v>200</v>
      </c>
      <c r="N87" s="625"/>
      <c r="O87" s="625"/>
      <c r="P87" s="626"/>
    </row>
    <row r="88" spans="2:16" ht="15.75" x14ac:dyDescent="0.25">
      <c r="B88" s="607" t="s">
        <v>60</v>
      </c>
      <c r="C88" s="608"/>
      <c r="D88" s="611"/>
      <c r="E88" s="610"/>
      <c r="F88" s="610"/>
      <c r="G88" s="610"/>
      <c r="H88" s="610"/>
      <c r="I88" s="610"/>
      <c r="J88" s="612"/>
      <c r="K88" s="123" t="s">
        <v>62</v>
      </c>
      <c r="L88" s="124"/>
      <c r="M88" s="125"/>
      <c r="N88" s="125"/>
      <c r="O88" s="125"/>
      <c r="P88" s="126"/>
    </row>
    <row r="89" spans="2:16" ht="15.75" x14ac:dyDescent="0.25">
      <c r="B89" s="588" t="s">
        <v>63</v>
      </c>
      <c r="C89" s="589"/>
      <c r="D89" s="590">
        <v>3.08</v>
      </c>
      <c r="E89" s="591"/>
      <c r="F89" s="591"/>
      <c r="G89" s="591"/>
      <c r="H89" s="591"/>
      <c r="I89" s="591"/>
      <c r="J89" s="592"/>
      <c r="K89" s="593" t="s">
        <v>69</v>
      </c>
      <c r="L89" s="594"/>
      <c r="M89" s="594"/>
      <c r="N89" s="594"/>
      <c r="O89" s="594"/>
      <c r="P89" s="595"/>
    </row>
    <row r="90" spans="2:16" ht="16.5" thickBot="1" x14ac:dyDescent="0.3">
      <c r="B90" s="599" t="s">
        <v>65</v>
      </c>
      <c r="C90" s="600"/>
      <c r="D90" s="601">
        <v>0.37</v>
      </c>
      <c r="E90" s="602"/>
      <c r="F90" s="602"/>
      <c r="G90" s="602"/>
      <c r="H90" s="602"/>
      <c r="I90" s="602"/>
      <c r="J90" s="603"/>
      <c r="K90" s="596"/>
      <c r="L90" s="597"/>
      <c r="M90" s="597"/>
      <c r="N90" s="597"/>
      <c r="O90" s="597"/>
      <c r="P90" s="598"/>
    </row>
    <row r="92" spans="2:16" ht="15.75" thickBot="1" x14ac:dyDescent="0.3"/>
    <row r="93" spans="2:16" x14ac:dyDescent="0.25">
      <c r="B93" s="650" t="s">
        <v>36</v>
      </c>
      <c r="C93" s="651"/>
      <c r="D93" s="652"/>
      <c r="E93" s="652"/>
      <c r="F93" s="652"/>
      <c r="G93" s="651"/>
      <c r="H93" s="651"/>
      <c r="I93" s="651"/>
      <c r="J93" s="653"/>
      <c r="K93" s="654" t="s">
        <v>37</v>
      </c>
      <c r="L93" s="655"/>
      <c r="M93" s="655"/>
      <c r="N93" s="655"/>
      <c r="O93" s="655"/>
      <c r="P93" s="656"/>
    </row>
    <row r="94" spans="2:16" ht="18.75" x14ac:dyDescent="0.3">
      <c r="B94" s="663" t="s">
        <v>8</v>
      </c>
      <c r="C94" s="664"/>
      <c r="D94" s="115" t="s">
        <v>38</v>
      </c>
      <c r="E94" s="116" t="s">
        <v>39</v>
      </c>
      <c r="F94" s="117" t="s">
        <v>40</v>
      </c>
      <c r="G94" s="675" t="s">
        <v>83</v>
      </c>
      <c r="H94" s="676"/>
      <c r="I94" s="676"/>
      <c r="J94" s="677"/>
      <c r="K94" s="657"/>
      <c r="L94" s="658"/>
      <c r="M94" s="658"/>
      <c r="N94" s="658"/>
      <c r="O94" s="658"/>
      <c r="P94" s="659"/>
    </row>
    <row r="95" spans="2:16" ht="47.25" thickBot="1" x14ac:dyDescent="0.3">
      <c r="B95" s="671" t="s">
        <v>30</v>
      </c>
      <c r="C95" s="672"/>
      <c r="D95" s="118"/>
      <c r="E95" s="119"/>
      <c r="F95" s="120">
        <v>2021</v>
      </c>
      <c r="G95" s="678"/>
      <c r="H95" s="679"/>
      <c r="I95" s="679"/>
      <c r="J95" s="680"/>
      <c r="K95" s="660"/>
      <c r="L95" s="661"/>
      <c r="M95" s="661"/>
      <c r="N95" s="661"/>
      <c r="O95" s="661"/>
      <c r="P95" s="662"/>
    </row>
    <row r="96" spans="2:16" ht="15.75" x14ac:dyDescent="0.25">
      <c r="B96" s="648" t="s">
        <v>42</v>
      </c>
      <c r="C96" s="649"/>
      <c r="D96" s="639"/>
      <c r="E96" s="640"/>
      <c r="F96" s="640"/>
      <c r="G96" s="640"/>
      <c r="H96" s="640"/>
      <c r="I96" s="640"/>
      <c r="J96" s="641"/>
      <c r="K96" s="642" t="s">
        <v>44</v>
      </c>
      <c r="L96" s="643"/>
      <c r="M96" s="611"/>
      <c r="N96" s="610"/>
      <c r="O96" s="610"/>
      <c r="P96" s="644"/>
    </row>
    <row r="97" spans="2:33" ht="15.75" x14ac:dyDescent="0.25">
      <c r="B97" s="604" t="s">
        <v>45</v>
      </c>
      <c r="C97" s="605"/>
      <c r="D97" s="645"/>
      <c r="E97" s="606"/>
      <c r="F97" s="606"/>
      <c r="G97" s="606"/>
      <c r="H97" s="606"/>
      <c r="I97" s="606"/>
      <c r="J97" s="613"/>
      <c r="K97" s="646" t="s">
        <v>47</v>
      </c>
      <c r="L97" s="646"/>
      <c r="M97" s="646"/>
      <c r="N97" s="646"/>
      <c r="O97" s="646"/>
      <c r="P97" s="647"/>
    </row>
    <row r="98" spans="2:33" ht="15.75" x14ac:dyDescent="0.25">
      <c r="B98" s="637" t="s">
        <v>48</v>
      </c>
      <c r="C98" s="638"/>
      <c r="D98" s="606"/>
      <c r="E98" s="606"/>
      <c r="F98" s="606"/>
      <c r="G98" s="606"/>
      <c r="H98" s="606"/>
      <c r="I98" s="606"/>
      <c r="J98" s="613"/>
      <c r="K98" s="635" t="s">
        <v>49</v>
      </c>
      <c r="L98" s="636"/>
      <c r="M98" s="590"/>
      <c r="N98" s="591"/>
      <c r="O98" s="591"/>
      <c r="P98" s="631"/>
    </row>
    <row r="99" spans="2:33" ht="15.75" x14ac:dyDescent="0.25">
      <c r="B99" s="604" t="s">
        <v>50</v>
      </c>
      <c r="C99" s="605"/>
      <c r="D99" s="606"/>
      <c r="E99" s="606"/>
      <c r="F99" s="606"/>
      <c r="G99" s="606"/>
      <c r="H99" s="606"/>
      <c r="I99" s="606"/>
      <c r="J99" s="613"/>
      <c r="K99" s="635" t="s">
        <v>51</v>
      </c>
      <c r="L99" s="636"/>
      <c r="M99" s="590"/>
      <c r="N99" s="591"/>
      <c r="O99" s="591"/>
      <c r="P99" s="631"/>
    </row>
    <row r="100" spans="2:33" ht="15.75" x14ac:dyDescent="0.25">
      <c r="B100" s="604" t="s">
        <v>52</v>
      </c>
      <c r="C100" s="605"/>
      <c r="D100" s="606"/>
      <c r="E100" s="606"/>
      <c r="F100" s="606"/>
      <c r="G100" s="606"/>
      <c r="H100" s="606"/>
      <c r="I100" s="606"/>
      <c r="J100" s="613"/>
      <c r="K100" s="614" t="s">
        <v>53</v>
      </c>
      <c r="L100" s="615"/>
      <c r="M100" s="590"/>
      <c r="N100" s="591"/>
      <c r="O100" s="591"/>
      <c r="P100" s="631"/>
    </row>
    <row r="101" spans="2:33" ht="16.5" thickBot="1" x14ac:dyDescent="0.3">
      <c r="B101" s="604" t="s">
        <v>54</v>
      </c>
      <c r="C101" s="605"/>
      <c r="D101" s="606"/>
      <c r="E101" s="606"/>
      <c r="F101" s="606"/>
      <c r="G101" s="606"/>
      <c r="H101" s="606"/>
      <c r="I101" s="606"/>
      <c r="J101" s="613"/>
      <c r="K101" s="614" t="s">
        <v>55</v>
      </c>
      <c r="L101" s="615"/>
      <c r="M101" s="632"/>
      <c r="N101" s="633"/>
      <c r="O101" s="633"/>
      <c r="P101" s="634"/>
    </row>
    <row r="102" spans="2:33" ht="36" customHeight="1" thickBot="1" x14ac:dyDescent="0.3">
      <c r="B102" s="604" t="s">
        <v>56</v>
      </c>
      <c r="C102" s="605"/>
      <c r="D102" s="606"/>
      <c r="E102" s="606"/>
      <c r="F102" s="606"/>
      <c r="G102" s="606"/>
      <c r="H102" s="606"/>
      <c r="I102" s="606"/>
      <c r="J102" s="613"/>
      <c r="K102" s="614" t="s">
        <v>57</v>
      </c>
      <c r="L102" s="615"/>
      <c r="M102" s="624"/>
      <c r="N102" s="625"/>
      <c r="O102" s="625"/>
      <c r="P102" s="626"/>
    </row>
    <row r="103" spans="2:33" ht="21.75" thickBot="1" x14ac:dyDescent="0.3">
      <c r="B103" s="619" t="s">
        <v>58</v>
      </c>
      <c r="C103" s="620"/>
      <c r="D103" s="673">
        <f>SUM(D100:D102)</f>
        <v>0</v>
      </c>
      <c r="E103" s="673"/>
      <c r="F103" s="673"/>
      <c r="G103" s="673"/>
      <c r="H103" s="673"/>
      <c r="I103" s="673"/>
      <c r="J103" s="674"/>
      <c r="K103" s="121" t="s">
        <v>59</v>
      </c>
      <c r="L103" s="122"/>
      <c r="M103" s="624">
        <f>SUM(M101:M102)</f>
        <v>0</v>
      </c>
      <c r="N103" s="625"/>
      <c r="O103" s="625"/>
      <c r="P103" s="626"/>
    </row>
    <row r="104" spans="2:33" ht="15.75" x14ac:dyDescent="0.25">
      <c r="B104" s="607" t="s">
        <v>60</v>
      </c>
      <c r="C104" s="608"/>
      <c r="D104" s="611"/>
      <c r="E104" s="610"/>
      <c r="F104" s="610"/>
      <c r="G104" s="610"/>
      <c r="H104" s="610"/>
      <c r="I104" s="610"/>
      <c r="J104" s="612"/>
      <c r="K104" s="123" t="s">
        <v>62</v>
      </c>
      <c r="L104" s="124"/>
      <c r="M104" s="125"/>
      <c r="N104" s="125"/>
      <c r="O104" s="125"/>
      <c r="P104" s="126"/>
    </row>
    <row r="105" spans="2:33" ht="15.75" x14ac:dyDescent="0.25">
      <c r="B105" s="588" t="s">
        <v>63</v>
      </c>
      <c r="C105" s="589"/>
      <c r="D105" s="590"/>
      <c r="E105" s="591"/>
      <c r="F105" s="591"/>
      <c r="G105" s="591"/>
      <c r="H105" s="591"/>
      <c r="I105" s="591"/>
      <c r="J105" s="592"/>
      <c r="K105" s="593"/>
      <c r="L105" s="594"/>
      <c r="M105" s="594"/>
      <c r="N105" s="594"/>
      <c r="O105" s="594"/>
      <c r="P105" s="595"/>
    </row>
    <row r="106" spans="2:33" ht="16.5" thickBot="1" x14ac:dyDescent="0.3">
      <c r="B106" s="599" t="s">
        <v>65</v>
      </c>
      <c r="C106" s="600"/>
      <c r="D106" s="601"/>
      <c r="E106" s="602"/>
      <c r="F106" s="602"/>
      <c r="G106" s="602"/>
      <c r="H106" s="602"/>
      <c r="I106" s="602"/>
      <c r="J106" s="603"/>
      <c r="K106" s="596"/>
      <c r="L106" s="597"/>
      <c r="M106" s="597"/>
      <c r="N106" s="597"/>
      <c r="O106" s="597"/>
      <c r="P106" s="598"/>
    </row>
    <row r="109" spans="2:33" ht="15.75" thickBot="1" x14ac:dyDescent="0.3"/>
    <row r="110" spans="2:33" x14ac:dyDescent="0.25">
      <c r="B110" s="650" t="s">
        <v>36</v>
      </c>
      <c r="C110" s="651"/>
      <c r="D110" s="652"/>
      <c r="E110" s="652"/>
      <c r="F110" s="652"/>
      <c r="G110" s="651"/>
      <c r="H110" s="651"/>
      <c r="I110" s="651"/>
      <c r="J110" s="653"/>
      <c r="K110" s="654" t="s">
        <v>37</v>
      </c>
      <c r="L110" s="655"/>
      <c r="M110" s="655"/>
      <c r="N110" s="655"/>
      <c r="O110" s="655"/>
      <c r="P110" s="656"/>
      <c r="S110" s="650" t="s">
        <v>36</v>
      </c>
      <c r="T110" s="651"/>
      <c r="U110" s="652"/>
      <c r="V110" s="652"/>
      <c r="W110" s="652"/>
      <c r="X110" s="651"/>
      <c r="Y110" s="651"/>
      <c r="Z110" s="651"/>
      <c r="AA110" s="653"/>
      <c r="AB110" s="654" t="s">
        <v>37</v>
      </c>
      <c r="AC110" s="655"/>
      <c r="AD110" s="655"/>
      <c r="AE110" s="655"/>
      <c r="AF110" s="655"/>
      <c r="AG110" s="656"/>
    </row>
    <row r="111" spans="2:33" ht="18.75" x14ac:dyDescent="0.3">
      <c r="B111" s="663" t="s">
        <v>8</v>
      </c>
      <c r="C111" s="664"/>
      <c r="D111" s="115" t="s">
        <v>38</v>
      </c>
      <c r="E111" s="116" t="s">
        <v>39</v>
      </c>
      <c r="F111" s="117" t="s">
        <v>40</v>
      </c>
      <c r="G111" s="750" t="s">
        <v>96</v>
      </c>
      <c r="H111" s="751"/>
      <c r="I111" s="751"/>
      <c r="J111" s="752"/>
      <c r="K111" s="657"/>
      <c r="L111" s="658"/>
      <c r="M111" s="658"/>
      <c r="N111" s="658"/>
      <c r="O111" s="658"/>
      <c r="P111" s="659"/>
      <c r="S111" s="663" t="s">
        <v>8</v>
      </c>
      <c r="T111" s="664"/>
      <c r="U111" s="115" t="s">
        <v>38</v>
      </c>
      <c r="V111" s="116" t="s">
        <v>39</v>
      </c>
      <c r="W111" s="117" t="s">
        <v>40</v>
      </c>
      <c r="X111" s="750" t="s">
        <v>96</v>
      </c>
      <c r="Y111" s="751"/>
      <c r="Z111" s="751"/>
      <c r="AA111" s="752"/>
      <c r="AB111" s="657"/>
      <c r="AC111" s="658"/>
      <c r="AD111" s="658"/>
      <c r="AE111" s="658"/>
      <c r="AF111" s="658"/>
      <c r="AG111" s="659"/>
    </row>
    <row r="112" spans="2:33" ht="47.25" thickBot="1" x14ac:dyDescent="0.3">
      <c r="B112" s="671" t="s">
        <v>29</v>
      </c>
      <c r="C112" s="672"/>
      <c r="D112" s="118">
        <v>9</v>
      </c>
      <c r="E112" s="119">
        <v>11</v>
      </c>
      <c r="F112" s="120">
        <v>2021</v>
      </c>
      <c r="G112" s="753"/>
      <c r="H112" s="754"/>
      <c r="I112" s="754"/>
      <c r="J112" s="755"/>
      <c r="K112" s="660"/>
      <c r="L112" s="661"/>
      <c r="M112" s="661"/>
      <c r="N112" s="661"/>
      <c r="O112" s="661"/>
      <c r="P112" s="662"/>
      <c r="S112" s="671" t="s">
        <v>30</v>
      </c>
      <c r="T112" s="672"/>
      <c r="U112" s="118"/>
      <c r="V112" s="119"/>
      <c r="W112" s="120">
        <v>2021</v>
      </c>
      <c r="X112" s="753"/>
      <c r="Y112" s="754"/>
      <c r="Z112" s="754"/>
      <c r="AA112" s="755"/>
      <c r="AB112" s="660"/>
      <c r="AC112" s="661"/>
      <c r="AD112" s="661"/>
      <c r="AE112" s="661"/>
      <c r="AF112" s="661"/>
      <c r="AG112" s="662"/>
    </row>
    <row r="113" spans="2:49" ht="15.75" x14ac:dyDescent="0.25">
      <c r="B113" s="648" t="s">
        <v>42</v>
      </c>
      <c r="C113" s="649"/>
      <c r="D113" s="639" t="s">
        <v>115</v>
      </c>
      <c r="E113" s="640"/>
      <c r="F113" s="640"/>
      <c r="G113" s="640"/>
      <c r="H113" s="640"/>
      <c r="I113" s="640"/>
      <c r="J113" s="641"/>
      <c r="K113" s="642" t="s">
        <v>44</v>
      </c>
      <c r="L113" s="643"/>
      <c r="M113" s="611">
        <v>270</v>
      </c>
      <c r="N113" s="610"/>
      <c r="O113" s="610"/>
      <c r="P113" s="644"/>
      <c r="S113" s="648" t="s">
        <v>42</v>
      </c>
      <c r="T113" s="649"/>
      <c r="U113" s="639"/>
      <c r="V113" s="640"/>
      <c r="W113" s="640"/>
      <c r="X113" s="640"/>
      <c r="Y113" s="640"/>
      <c r="Z113" s="640"/>
      <c r="AA113" s="641"/>
      <c r="AB113" s="642" t="s">
        <v>44</v>
      </c>
      <c r="AC113" s="643"/>
      <c r="AD113" s="611"/>
      <c r="AE113" s="610"/>
      <c r="AF113" s="610"/>
      <c r="AG113" s="644"/>
    </row>
    <row r="114" spans="2:49" ht="15.75" x14ac:dyDescent="0.25">
      <c r="B114" s="604" t="s">
        <v>45</v>
      </c>
      <c r="C114" s="605"/>
      <c r="D114" s="645" t="s">
        <v>116</v>
      </c>
      <c r="E114" s="606"/>
      <c r="F114" s="606"/>
      <c r="G114" s="606"/>
      <c r="H114" s="606"/>
      <c r="I114" s="606"/>
      <c r="J114" s="613"/>
      <c r="K114" s="646" t="s">
        <v>47</v>
      </c>
      <c r="L114" s="646"/>
      <c r="M114" s="646"/>
      <c r="N114" s="646"/>
      <c r="O114" s="646"/>
      <c r="P114" s="647"/>
      <c r="S114" s="604" t="s">
        <v>45</v>
      </c>
      <c r="T114" s="605"/>
      <c r="U114" s="645"/>
      <c r="V114" s="606"/>
      <c r="W114" s="606"/>
      <c r="X114" s="606"/>
      <c r="Y114" s="606"/>
      <c r="Z114" s="606"/>
      <c r="AA114" s="613"/>
      <c r="AB114" s="646" t="s">
        <v>47</v>
      </c>
      <c r="AC114" s="646"/>
      <c r="AD114" s="646"/>
      <c r="AE114" s="646"/>
      <c r="AF114" s="646"/>
      <c r="AG114" s="647"/>
    </row>
    <row r="115" spans="2:49" ht="15.75" x14ac:dyDescent="0.25">
      <c r="B115" s="637" t="s">
        <v>48</v>
      </c>
      <c r="C115" s="638"/>
      <c r="D115" s="606">
        <v>21.6</v>
      </c>
      <c r="E115" s="606"/>
      <c r="F115" s="606"/>
      <c r="G115" s="606"/>
      <c r="H115" s="606"/>
      <c r="I115" s="606"/>
      <c r="J115" s="613"/>
      <c r="K115" s="635" t="s">
        <v>49</v>
      </c>
      <c r="L115" s="636"/>
      <c r="M115" s="590">
        <v>273</v>
      </c>
      <c r="N115" s="591"/>
      <c r="O115" s="591"/>
      <c r="P115" s="631"/>
      <c r="S115" s="637" t="s">
        <v>48</v>
      </c>
      <c r="T115" s="638"/>
      <c r="U115" s="606"/>
      <c r="V115" s="606"/>
      <c r="W115" s="606"/>
      <c r="X115" s="606"/>
      <c r="Y115" s="606"/>
      <c r="Z115" s="606"/>
      <c r="AA115" s="613"/>
      <c r="AB115" s="635" t="s">
        <v>49</v>
      </c>
      <c r="AC115" s="636"/>
      <c r="AD115" s="590"/>
      <c r="AE115" s="591"/>
      <c r="AF115" s="591"/>
      <c r="AG115" s="631"/>
    </row>
    <row r="116" spans="2:49" ht="35.25" customHeight="1" x14ac:dyDescent="0.25">
      <c r="B116" s="604" t="s">
        <v>50</v>
      </c>
      <c r="C116" s="605"/>
      <c r="D116" s="606">
        <f>137+38</f>
        <v>175</v>
      </c>
      <c r="E116" s="606"/>
      <c r="F116" s="606"/>
      <c r="G116" s="606"/>
      <c r="H116" s="606"/>
      <c r="I116" s="606"/>
      <c r="J116" s="613"/>
      <c r="K116" s="635" t="s">
        <v>51</v>
      </c>
      <c r="L116" s="636"/>
      <c r="M116" s="590"/>
      <c r="N116" s="591"/>
      <c r="O116" s="591"/>
      <c r="P116" s="631"/>
      <c r="S116" s="604" t="s">
        <v>50</v>
      </c>
      <c r="T116" s="605"/>
      <c r="U116" s="606"/>
      <c r="V116" s="606"/>
      <c r="W116" s="606"/>
      <c r="X116" s="606"/>
      <c r="Y116" s="606"/>
      <c r="Z116" s="606"/>
      <c r="AA116" s="613"/>
      <c r="AB116" s="635" t="s">
        <v>51</v>
      </c>
      <c r="AC116" s="636"/>
      <c r="AD116" s="590"/>
      <c r="AE116" s="591"/>
      <c r="AF116" s="591"/>
      <c r="AG116" s="631"/>
    </row>
    <row r="117" spans="2:49" ht="24.75" customHeight="1" x14ac:dyDescent="0.25">
      <c r="B117" s="604" t="s">
        <v>52</v>
      </c>
      <c r="C117" s="605"/>
      <c r="D117" s="606">
        <f>409+25</f>
        <v>434</v>
      </c>
      <c r="E117" s="606"/>
      <c r="F117" s="606"/>
      <c r="G117" s="606"/>
      <c r="H117" s="606"/>
      <c r="I117" s="606"/>
      <c r="J117" s="613"/>
      <c r="K117" s="614" t="s">
        <v>53</v>
      </c>
      <c r="L117" s="615"/>
      <c r="M117" s="590"/>
      <c r="N117" s="591"/>
      <c r="O117" s="591"/>
      <c r="P117" s="631"/>
      <c r="S117" s="604" t="s">
        <v>52</v>
      </c>
      <c r="T117" s="605"/>
      <c r="U117" s="606"/>
      <c r="V117" s="606"/>
      <c r="W117" s="606"/>
      <c r="X117" s="606"/>
      <c r="Y117" s="606"/>
      <c r="Z117" s="606"/>
      <c r="AA117" s="613"/>
      <c r="AB117" s="614" t="s">
        <v>53</v>
      </c>
      <c r="AC117" s="615"/>
      <c r="AD117" s="590"/>
      <c r="AE117" s="591"/>
      <c r="AF117" s="591"/>
      <c r="AG117" s="631"/>
    </row>
    <row r="118" spans="2:49" ht="24.75" customHeight="1" thickBot="1" x14ac:dyDescent="0.3">
      <c r="B118" s="604" t="s">
        <v>54</v>
      </c>
      <c r="C118" s="605"/>
      <c r="D118" s="606">
        <f>327+23</f>
        <v>350</v>
      </c>
      <c r="E118" s="606"/>
      <c r="F118" s="606"/>
      <c r="G118" s="606"/>
      <c r="H118" s="606"/>
      <c r="I118" s="606"/>
      <c r="J118" s="613"/>
      <c r="K118" s="614" t="s">
        <v>55</v>
      </c>
      <c r="L118" s="615"/>
      <c r="M118" s="632">
        <v>30</v>
      </c>
      <c r="N118" s="633"/>
      <c r="O118" s="633"/>
      <c r="P118" s="634"/>
      <c r="S118" s="604" t="s">
        <v>54</v>
      </c>
      <c r="T118" s="605"/>
      <c r="U118" s="606"/>
      <c r="V118" s="606"/>
      <c r="W118" s="606"/>
      <c r="X118" s="606"/>
      <c r="Y118" s="606"/>
      <c r="Z118" s="606"/>
      <c r="AA118" s="613"/>
      <c r="AB118" s="614" t="s">
        <v>55</v>
      </c>
      <c r="AC118" s="615"/>
      <c r="AD118" s="632"/>
      <c r="AE118" s="633"/>
      <c r="AF118" s="633"/>
      <c r="AG118" s="634"/>
    </row>
    <row r="119" spans="2:49" ht="29.25" customHeight="1" thickBot="1" x14ac:dyDescent="0.3">
      <c r="B119" s="604" t="s">
        <v>56</v>
      </c>
      <c r="C119" s="605"/>
      <c r="D119" s="606">
        <f>104+29</f>
        <v>133</v>
      </c>
      <c r="E119" s="606"/>
      <c r="F119" s="606"/>
      <c r="G119" s="606"/>
      <c r="H119" s="606"/>
      <c r="I119" s="606"/>
      <c r="J119" s="613"/>
      <c r="K119" s="614" t="s">
        <v>57</v>
      </c>
      <c r="L119" s="615"/>
      <c r="M119" s="624"/>
      <c r="N119" s="625"/>
      <c r="O119" s="625"/>
      <c r="P119" s="626"/>
      <c r="S119" s="604" t="s">
        <v>56</v>
      </c>
      <c r="T119" s="605"/>
      <c r="U119" s="606"/>
      <c r="V119" s="606"/>
      <c r="W119" s="606"/>
      <c r="X119" s="606"/>
      <c r="Y119" s="606"/>
      <c r="Z119" s="606"/>
      <c r="AA119" s="613"/>
      <c r="AB119" s="614" t="s">
        <v>57</v>
      </c>
      <c r="AC119" s="615"/>
      <c r="AD119" s="624"/>
      <c r="AE119" s="625"/>
      <c r="AF119" s="625"/>
      <c r="AG119" s="626"/>
    </row>
    <row r="120" spans="2:49" ht="21.75" thickBot="1" x14ac:dyDescent="0.3">
      <c r="B120" s="627" t="s">
        <v>58</v>
      </c>
      <c r="C120" s="628"/>
      <c r="D120" s="629">
        <f>SUM(D116:D119)</f>
        <v>1092</v>
      </c>
      <c r="E120" s="629"/>
      <c r="F120" s="629"/>
      <c r="G120" s="629"/>
      <c r="H120" s="629"/>
      <c r="I120" s="629"/>
      <c r="J120" s="756"/>
      <c r="K120" s="121" t="s">
        <v>59</v>
      </c>
      <c r="L120" s="122"/>
      <c r="M120" s="624">
        <f>SUM(M115:M119)</f>
        <v>303</v>
      </c>
      <c r="N120" s="625"/>
      <c r="O120" s="625"/>
      <c r="P120" s="626"/>
      <c r="S120" s="619" t="s">
        <v>58</v>
      </c>
      <c r="T120" s="620"/>
      <c r="U120" s="673">
        <f>SUM(U117:U119)</f>
        <v>0</v>
      </c>
      <c r="V120" s="673"/>
      <c r="W120" s="673"/>
      <c r="X120" s="673"/>
      <c r="Y120" s="673"/>
      <c r="Z120" s="673"/>
      <c r="AA120" s="674"/>
      <c r="AB120" s="121" t="s">
        <v>59</v>
      </c>
      <c r="AC120" s="122"/>
      <c r="AD120" s="624">
        <f>SUM(AD118:AD119)</f>
        <v>0</v>
      </c>
      <c r="AE120" s="625"/>
      <c r="AF120" s="625"/>
      <c r="AG120" s="626"/>
    </row>
    <row r="121" spans="2:49" ht="29.25" customHeight="1" thickBot="1" x14ac:dyDescent="0.3">
      <c r="B121" s="604" t="s">
        <v>119</v>
      </c>
      <c r="C121" s="605"/>
      <c r="D121" s="226"/>
      <c r="E121" s="227"/>
      <c r="F121" s="227">
        <v>45</v>
      </c>
      <c r="G121" s="227"/>
      <c r="H121" s="227"/>
      <c r="I121" s="227"/>
      <c r="J121" s="228"/>
      <c r="K121" s="134"/>
      <c r="L121" s="225"/>
      <c r="M121" s="211"/>
      <c r="N121" s="211"/>
      <c r="O121" s="211"/>
      <c r="P121" s="212"/>
      <c r="S121" s="221"/>
      <c r="T121" s="222"/>
      <c r="U121" s="223"/>
      <c r="V121" s="224"/>
      <c r="W121" s="224"/>
      <c r="X121" s="224"/>
      <c r="Y121" s="224"/>
      <c r="Z121" s="224"/>
      <c r="AA121" s="224"/>
      <c r="AB121" s="134"/>
      <c r="AC121" s="225"/>
      <c r="AD121" s="211"/>
      <c r="AE121" s="211"/>
      <c r="AF121" s="211"/>
      <c r="AG121" s="212"/>
    </row>
    <row r="122" spans="2:49" ht="15.75" x14ac:dyDescent="0.25">
      <c r="B122" s="607" t="s">
        <v>60</v>
      </c>
      <c r="C122" s="608"/>
      <c r="D122" s="611" t="s">
        <v>117</v>
      </c>
      <c r="E122" s="610"/>
      <c r="F122" s="610"/>
      <c r="G122" s="610"/>
      <c r="H122" s="610"/>
      <c r="I122" s="610"/>
      <c r="J122" s="612"/>
      <c r="K122" s="123" t="s">
        <v>62</v>
      </c>
      <c r="L122" s="124"/>
      <c r="M122" s="125"/>
      <c r="N122" s="125"/>
      <c r="O122" s="125"/>
      <c r="P122" s="126"/>
      <c r="S122" s="607" t="s">
        <v>60</v>
      </c>
      <c r="T122" s="608"/>
      <c r="U122" s="611"/>
      <c r="V122" s="610"/>
      <c r="W122" s="610"/>
      <c r="X122" s="610"/>
      <c r="Y122" s="610"/>
      <c r="Z122" s="610"/>
      <c r="AA122" s="612"/>
      <c r="AB122" s="123" t="s">
        <v>62</v>
      </c>
      <c r="AC122" s="124"/>
      <c r="AD122" s="125"/>
      <c r="AE122" s="125"/>
      <c r="AF122" s="125"/>
      <c r="AG122" s="126"/>
    </row>
    <row r="123" spans="2:49" ht="15.75" x14ac:dyDescent="0.25">
      <c r="B123" s="588" t="s">
        <v>63</v>
      </c>
      <c r="C123" s="589"/>
      <c r="D123" s="590">
        <v>3.37</v>
      </c>
      <c r="E123" s="591"/>
      <c r="F123" s="591"/>
      <c r="G123" s="591"/>
      <c r="H123" s="591"/>
      <c r="I123" s="591"/>
      <c r="J123" s="592"/>
      <c r="K123" s="593" t="s">
        <v>118</v>
      </c>
      <c r="L123" s="594"/>
      <c r="M123" s="594"/>
      <c r="N123" s="594"/>
      <c r="O123" s="594"/>
      <c r="P123" s="595"/>
      <c r="S123" s="588" t="s">
        <v>63</v>
      </c>
      <c r="T123" s="589"/>
      <c r="U123" s="590"/>
      <c r="V123" s="591"/>
      <c r="W123" s="591"/>
      <c r="X123" s="591"/>
      <c r="Y123" s="591"/>
      <c r="Z123" s="591"/>
      <c r="AA123" s="592"/>
      <c r="AB123" s="593"/>
      <c r="AC123" s="594"/>
      <c r="AD123" s="594"/>
      <c r="AE123" s="594"/>
      <c r="AF123" s="594"/>
      <c r="AG123" s="595"/>
    </row>
    <row r="124" spans="2:49" ht="16.5" thickBot="1" x14ac:dyDescent="0.3">
      <c r="B124" s="599" t="s">
        <v>65</v>
      </c>
      <c r="C124" s="600"/>
      <c r="D124" s="601">
        <v>3.33</v>
      </c>
      <c r="E124" s="602"/>
      <c r="F124" s="602"/>
      <c r="G124" s="602"/>
      <c r="H124" s="602"/>
      <c r="I124" s="602"/>
      <c r="J124" s="603"/>
      <c r="K124" s="596"/>
      <c r="L124" s="597"/>
      <c r="M124" s="597"/>
      <c r="N124" s="597"/>
      <c r="O124" s="597"/>
      <c r="P124" s="598"/>
      <c r="S124" s="599" t="s">
        <v>65</v>
      </c>
      <c r="T124" s="600"/>
      <c r="U124" s="601"/>
      <c r="V124" s="602"/>
      <c r="W124" s="602"/>
      <c r="X124" s="602"/>
      <c r="Y124" s="602"/>
      <c r="Z124" s="602"/>
      <c r="AA124" s="603"/>
      <c r="AB124" s="596"/>
      <c r="AC124" s="597"/>
      <c r="AD124" s="597"/>
      <c r="AE124" s="597"/>
      <c r="AF124" s="597"/>
      <c r="AG124" s="598"/>
    </row>
    <row r="125" spans="2:49" ht="15.75" thickBot="1" x14ac:dyDescent="0.3"/>
    <row r="126" spans="2:49" x14ac:dyDescent="0.25">
      <c r="B126" s="650" t="s">
        <v>36</v>
      </c>
      <c r="C126" s="651"/>
      <c r="D126" s="652"/>
      <c r="E126" s="652"/>
      <c r="F126" s="652"/>
      <c r="G126" s="651"/>
      <c r="H126" s="651"/>
      <c r="I126" s="651"/>
      <c r="J126" s="653"/>
      <c r="K126" s="654" t="s">
        <v>37</v>
      </c>
      <c r="L126" s="655"/>
      <c r="M126" s="655"/>
      <c r="N126" s="655"/>
      <c r="O126" s="655"/>
      <c r="P126" s="656"/>
      <c r="S126" s="650" t="s">
        <v>36</v>
      </c>
      <c r="T126" s="651"/>
      <c r="U126" s="652"/>
      <c r="V126" s="652"/>
      <c r="W126" s="652"/>
      <c r="X126" s="651"/>
      <c r="Y126" s="651"/>
      <c r="Z126" s="651"/>
      <c r="AA126" s="653"/>
      <c r="AB126" s="654" t="s">
        <v>37</v>
      </c>
      <c r="AC126" s="655"/>
      <c r="AD126" s="655"/>
      <c r="AE126" s="655"/>
      <c r="AF126" s="655"/>
      <c r="AG126" s="656"/>
      <c r="AI126" s="650" t="s">
        <v>36</v>
      </c>
      <c r="AJ126" s="651"/>
      <c r="AK126" s="652"/>
      <c r="AL126" s="652"/>
      <c r="AM126" s="652"/>
      <c r="AN126" s="651"/>
      <c r="AO126" s="651"/>
      <c r="AP126" s="651"/>
      <c r="AQ126" s="653"/>
      <c r="AR126" s="654" t="s">
        <v>37</v>
      </c>
      <c r="AS126" s="655"/>
      <c r="AT126" s="655"/>
      <c r="AU126" s="655"/>
      <c r="AV126" s="655"/>
      <c r="AW126" s="656"/>
    </row>
    <row r="127" spans="2:49" ht="18.75" x14ac:dyDescent="0.3">
      <c r="B127" s="663" t="s">
        <v>8</v>
      </c>
      <c r="C127" s="664"/>
      <c r="D127" s="115" t="s">
        <v>38</v>
      </c>
      <c r="E127" s="116" t="s">
        <v>39</v>
      </c>
      <c r="F127" s="117" t="s">
        <v>40</v>
      </c>
      <c r="G127" s="750" t="s">
        <v>96</v>
      </c>
      <c r="H127" s="751"/>
      <c r="I127" s="751"/>
      <c r="J127" s="752"/>
      <c r="K127" s="657"/>
      <c r="L127" s="658"/>
      <c r="M127" s="658"/>
      <c r="N127" s="658"/>
      <c r="O127" s="658"/>
      <c r="P127" s="659"/>
      <c r="S127" s="663" t="s">
        <v>8</v>
      </c>
      <c r="T127" s="664"/>
      <c r="U127" s="115" t="s">
        <v>38</v>
      </c>
      <c r="V127" s="116" t="s">
        <v>39</v>
      </c>
      <c r="W127" s="117" t="s">
        <v>40</v>
      </c>
      <c r="X127" s="750" t="s">
        <v>96</v>
      </c>
      <c r="Y127" s="751"/>
      <c r="Z127" s="751"/>
      <c r="AA127" s="752"/>
      <c r="AB127" s="657"/>
      <c r="AC127" s="658"/>
      <c r="AD127" s="658"/>
      <c r="AE127" s="658"/>
      <c r="AF127" s="658"/>
      <c r="AG127" s="659"/>
      <c r="AI127" s="663" t="s">
        <v>8</v>
      </c>
      <c r="AJ127" s="664"/>
      <c r="AK127" s="115" t="s">
        <v>38</v>
      </c>
      <c r="AL127" s="116" t="s">
        <v>39</v>
      </c>
      <c r="AM127" s="117" t="s">
        <v>40</v>
      </c>
      <c r="AN127" s="750" t="s">
        <v>96</v>
      </c>
      <c r="AO127" s="751"/>
      <c r="AP127" s="751"/>
      <c r="AQ127" s="752"/>
      <c r="AR127" s="657"/>
      <c r="AS127" s="658"/>
      <c r="AT127" s="658"/>
      <c r="AU127" s="658"/>
      <c r="AV127" s="658"/>
      <c r="AW127" s="659"/>
    </row>
    <row r="128" spans="2:49" ht="47.25" thickBot="1" x14ac:dyDescent="0.3">
      <c r="B128" s="671" t="s">
        <v>29</v>
      </c>
      <c r="C128" s="672"/>
      <c r="D128" s="118">
        <v>10</v>
      </c>
      <c r="E128" s="119">
        <v>11</v>
      </c>
      <c r="F128" s="120">
        <v>2021</v>
      </c>
      <c r="G128" s="753"/>
      <c r="H128" s="754"/>
      <c r="I128" s="754"/>
      <c r="J128" s="755"/>
      <c r="K128" s="660"/>
      <c r="L128" s="661"/>
      <c r="M128" s="661"/>
      <c r="N128" s="661"/>
      <c r="O128" s="661"/>
      <c r="P128" s="662"/>
      <c r="S128" s="671" t="s">
        <v>28</v>
      </c>
      <c r="T128" s="672"/>
      <c r="U128" s="118"/>
      <c r="V128" s="119"/>
      <c r="W128" s="120">
        <v>2021</v>
      </c>
      <c r="X128" s="753"/>
      <c r="Y128" s="754"/>
      <c r="Z128" s="754"/>
      <c r="AA128" s="755"/>
      <c r="AB128" s="660"/>
      <c r="AC128" s="661"/>
      <c r="AD128" s="661"/>
      <c r="AE128" s="661"/>
      <c r="AF128" s="661"/>
      <c r="AG128" s="662"/>
      <c r="AI128" s="671" t="s">
        <v>31</v>
      </c>
      <c r="AJ128" s="672"/>
      <c r="AK128" s="118">
        <v>17</v>
      </c>
      <c r="AL128" s="119">
        <v>11</v>
      </c>
      <c r="AM128" s="120">
        <v>2021</v>
      </c>
      <c r="AN128" s="753"/>
      <c r="AO128" s="754"/>
      <c r="AP128" s="754"/>
      <c r="AQ128" s="755"/>
      <c r="AR128" s="660"/>
      <c r="AS128" s="661"/>
      <c r="AT128" s="661"/>
      <c r="AU128" s="661"/>
      <c r="AV128" s="661"/>
      <c r="AW128" s="662"/>
    </row>
    <row r="129" spans="2:49" ht="15.75" x14ac:dyDescent="0.25">
      <c r="B129" s="648" t="s">
        <v>42</v>
      </c>
      <c r="C129" s="649"/>
      <c r="D129" s="639">
        <v>0.30624999999999997</v>
      </c>
      <c r="E129" s="640"/>
      <c r="F129" s="640"/>
      <c r="G129" s="640"/>
      <c r="H129" s="640"/>
      <c r="I129" s="640"/>
      <c r="J129" s="641"/>
      <c r="K129" s="642" t="s">
        <v>44</v>
      </c>
      <c r="L129" s="643"/>
      <c r="M129" s="611">
        <v>150</v>
      </c>
      <c r="N129" s="610"/>
      <c r="O129" s="610"/>
      <c r="P129" s="644"/>
      <c r="S129" s="648" t="s">
        <v>42</v>
      </c>
      <c r="T129" s="649"/>
      <c r="U129" s="639"/>
      <c r="V129" s="640"/>
      <c r="W129" s="640"/>
      <c r="X129" s="640"/>
      <c r="Y129" s="640"/>
      <c r="Z129" s="640"/>
      <c r="AA129" s="641"/>
      <c r="AB129" s="642" t="s">
        <v>44</v>
      </c>
      <c r="AC129" s="643"/>
      <c r="AD129" s="611"/>
      <c r="AE129" s="610"/>
      <c r="AF129" s="610"/>
      <c r="AG129" s="644"/>
      <c r="AI129" s="648" t="s">
        <v>42</v>
      </c>
      <c r="AJ129" s="649"/>
      <c r="AK129" s="639">
        <v>0.27777777777777779</v>
      </c>
      <c r="AL129" s="640"/>
      <c r="AM129" s="640"/>
      <c r="AN129" s="640"/>
      <c r="AO129" s="640"/>
      <c r="AP129" s="640"/>
      <c r="AQ129" s="641"/>
      <c r="AR129" s="642" t="s">
        <v>44</v>
      </c>
      <c r="AS129" s="643"/>
      <c r="AT129" s="611">
        <v>200</v>
      </c>
      <c r="AU129" s="610"/>
      <c r="AV129" s="610"/>
      <c r="AW129" s="644"/>
    </row>
    <row r="130" spans="2:49" ht="15.75" x14ac:dyDescent="0.25">
      <c r="B130" s="604" t="s">
        <v>45</v>
      </c>
      <c r="C130" s="605"/>
      <c r="D130" s="645">
        <v>0.77638888888888891</v>
      </c>
      <c r="E130" s="606"/>
      <c r="F130" s="606"/>
      <c r="G130" s="606"/>
      <c r="H130" s="606"/>
      <c r="I130" s="606"/>
      <c r="J130" s="613"/>
      <c r="K130" s="646" t="s">
        <v>47</v>
      </c>
      <c r="L130" s="646"/>
      <c r="M130" s="646"/>
      <c r="N130" s="646"/>
      <c r="O130" s="646"/>
      <c r="P130" s="647"/>
      <c r="S130" s="604" t="s">
        <v>45</v>
      </c>
      <c r="T130" s="605"/>
      <c r="U130" s="645"/>
      <c r="V130" s="606"/>
      <c r="W130" s="606"/>
      <c r="X130" s="606"/>
      <c r="Y130" s="606"/>
      <c r="Z130" s="606"/>
      <c r="AA130" s="613"/>
      <c r="AB130" s="646" t="s">
        <v>47</v>
      </c>
      <c r="AC130" s="646"/>
      <c r="AD130" s="646"/>
      <c r="AE130" s="646"/>
      <c r="AF130" s="646"/>
      <c r="AG130" s="647"/>
      <c r="AI130" s="604" t="s">
        <v>45</v>
      </c>
      <c r="AJ130" s="605"/>
      <c r="AK130" s="645" t="s">
        <v>97</v>
      </c>
      <c r="AL130" s="606"/>
      <c r="AM130" s="606"/>
      <c r="AN130" s="606"/>
      <c r="AO130" s="606"/>
      <c r="AP130" s="606"/>
      <c r="AQ130" s="613"/>
      <c r="AR130" s="646" t="s">
        <v>47</v>
      </c>
      <c r="AS130" s="646"/>
      <c r="AT130" s="646"/>
      <c r="AU130" s="646"/>
      <c r="AV130" s="646"/>
      <c r="AW130" s="647"/>
    </row>
    <row r="131" spans="2:49" ht="15.75" x14ac:dyDescent="0.25">
      <c r="B131" s="637" t="s">
        <v>48</v>
      </c>
      <c r="C131" s="638"/>
      <c r="D131" s="606">
        <v>23</v>
      </c>
      <c r="E131" s="606"/>
      <c r="F131" s="606"/>
      <c r="G131" s="606"/>
      <c r="H131" s="606"/>
      <c r="I131" s="606"/>
      <c r="J131" s="613"/>
      <c r="K131" s="635" t="s">
        <v>49</v>
      </c>
      <c r="L131" s="636"/>
      <c r="M131" s="590"/>
      <c r="N131" s="591"/>
      <c r="O131" s="591"/>
      <c r="P131" s="631"/>
      <c r="S131" s="637" t="s">
        <v>48</v>
      </c>
      <c r="T131" s="638"/>
      <c r="U131" s="606"/>
      <c r="V131" s="606"/>
      <c r="W131" s="606"/>
      <c r="X131" s="606"/>
      <c r="Y131" s="606"/>
      <c r="Z131" s="606"/>
      <c r="AA131" s="613"/>
      <c r="AB131" s="635" t="s">
        <v>49</v>
      </c>
      <c r="AC131" s="636"/>
      <c r="AD131" s="590"/>
      <c r="AE131" s="591"/>
      <c r="AF131" s="591"/>
      <c r="AG131" s="631"/>
      <c r="AI131" s="637" t="s">
        <v>48</v>
      </c>
      <c r="AJ131" s="638"/>
      <c r="AK131" s="606">
        <v>13.28</v>
      </c>
      <c r="AL131" s="606"/>
      <c r="AM131" s="606"/>
      <c r="AN131" s="606"/>
      <c r="AO131" s="606"/>
      <c r="AP131" s="606"/>
      <c r="AQ131" s="613"/>
      <c r="AR131" s="635" t="s">
        <v>49</v>
      </c>
      <c r="AS131" s="636"/>
      <c r="AT131" s="590"/>
      <c r="AU131" s="591"/>
      <c r="AV131" s="591"/>
      <c r="AW131" s="631"/>
    </row>
    <row r="132" spans="2:49" ht="15.75" x14ac:dyDescent="0.25">
      <c r="B132" s="604" t="s">
        <v>50</v>
      </c>
      <c r="C132" s="605"/>
      <c r="D132" s="606">
        <f>94+5</f>
        <v>99</v>
      </c>
      <c r="E132" s="606"/>
      <c r="F132" s="606"/>
      <c r="G132" s="606"/>
      <c r="H132" s="606"/>
      <c r="I132" s="606"/>
      <c r="J132" s="613"/>
      <c r="K132" s="635" t="s">
        <v>51</v>
      </c>
      <c r="L132" s="636"/>
      <c r="M132" s="590"/>
      <c r="N132" s="591"/>
      <c r="O132" s="591"/>
      <c r="P132" s="631"/>
      <c r="S132" s="604" t="s">
        <v>50</v>
      </c>
      <c r="T132" s="605"/>
      <c r="U132" s="606"/>
      <c r="V132" s="606"/>
      <c r="W132" s="606"/>
      <c r="X132" s="606"/>
      <c r="Y132" s="606"/>
      <c r="Z132" s="606"/>
      <c r="AA132" s="613"/>
      <c r="AB132" s="635" t="s">
        <v>51</v>
      </c>
      <c r="AC132" s="636"/>
      <c r="AD132" s="590"/>
      <c r="AE132" s="591"/>
      <c r="AF132" s="591"/>
      <c r="AG132" s="631"/>
      <c r="AI132" s="604" t="s">
        <v>50</v>
      </c>
      <c r="AJ132" s="605"/>
      <c r="AK132" s="606">
        <v>3</v>
      </c>
      <c r="AL132" s="606"/>
      <c r="AM132" s="606"/>
      <c r="AN132" s="606"/>
      <c r="AO132" s="606"/>
      <c r="AP132" s="606"/>
      <c r="AQ132" s="613"/>
      <c r="AR132" s="635" t="s">
        <v>51</v>
      </c>
      <c r="AS132" s="636"/>
      <c r="AT132" s="590"/>
      <c r="AU132" s="591"/>
      <c r="AV132" s="591"/>
      <c r="AW132" s="631"/>
    </row>
    <row r="133" spans="2:49" ht="15.75" x14ac:dyDescent="0.25">
      <c r="B133" s="604" t="s">
        <v>52</v>
      </c>
      <c r="C133" s="605"/>
      <c r="D133" s="606">
        <f>548+23</f>
        <v>571</v>
      </c>
      <c r="E133" s="606"/>
      <c r="F133" s="606"/>
      <c r="G133" s="606"/>
      <c r="H133" s="606"/>
      <c r="I133" s="606"/>
      <c r="J133" s="613"/>
      <c r="K133" s="614" t="s">
        <v>53</v>
      </c>
      <c r="L133" s="615"/>
      <c r="M133" s="590">
        <v>250</v>
      </c>
      <c r="N133" s="591"/>
      <c r="O133" s="591"/>
      <c r="P133" s="631"/>
      <c r="S133" s="604" t="s">
        <v>52</v>
      </c>
      <c r="T133" s="605"/>
      <c r="U133" s="606"/>
      <c r="V133" s="606"/>
      <c r="W133" s="606"/>
      <c r="X133" s="606"/>
      <c r="Y133" s="606"/>
      <c r="Z133" s="606"/>
      <c r="AA133" s="613"/>
      <c r="AB133" s="614" t="s">
        <v>53</v>
      </c>
      <c r="AC133" s="615"/>
      <c r="AD133" s="590"/>
      <c r="AE133" s="591"/>
      <c r="AF133" s="591"/>
      <c r="AG133" s="631"/>
      <c r="AI133" s="604" t="s">
        <v>52</v>
      </c>
      <c r="AJ133" s="605"/>
      <c r="AK133" s="606">
        <v>273</v>
      </c>
      <c r="AL133" s="606"/>
      <c r="AM133" s="606"/>
      <c r="AN133" s="606"/>
      <c r="AO133" s="606"/>
      <c r="AP133" s="606"/>
      <c r="AQ133" s="613"/>
      <c r="AR133" s="614" t="s">
        <v>53</v>
      </c>
      <c r="AS133" s="615"/>
      <c r="AT133" s="590"/>
      <c r="AU133" s="591"/>
      <c r="AV133" s="591"/>
      <c r="AW133" s="631"/>
    </row>
    <row r="134" spans="2:49" ht="28.5" customHeight="1" thickBot="1" x14ac:dyDescent="0.3">
      <c r="B134" s="604" t="s">
        <v>54</v>
      </c>
      <c r="C134" s="605"/>
      <c r="D134" s="606">
        <f>212+10</f>
        <v>222</v>
      </c>
      <c r="E134" s="606"/>
      <c r="F134" s="606"/>
      <c r="G134" s="606"/>
      <c r="H134" s="606"/>
      <c r="I134" s="606"/>
      <c r="J134" s="613"/>
      <c r="K134" s="757" t="s">
        <v>113</v>
      </c>
      <c r="L134" s="758"/>
      <c r="M134" s="632">
        <v>10</v>
      </c>
      <c r="N134" s="633"/>
      <c r="O134" s="633"/>
      <c r="P134" s="634"/>
      <c r="S134" s="604" t="s">
        <v>54</v>
      </c>
      <c r="T134" s="605"/>
      <c r="U134" s="606"/>
      <c r="V134" s="606"/>
      <c r="W134" s="606"/>
      <c r="X134" s="606"/>
      <c r="Y134" s="606"/>
      <c r="Z134" s="606"/>
      <c r="AA134" s="613"/>
      <c r="AB134" s="614" t="s">
        <v>55</v>
      </c>
      <c r="AC134" s="615"/>
      <c r="AD134" s="632"/>
      <c r="AE134" s="633"/>
      <c r="AF134" s="633"/>
      <c r="AG134" s="634"/>
      <c r="AI134" s="604" t="s">
        <v>54</v>
      </c>
      <c r="AJ134" s="605"/>
      <c r="AK134" s="606">
        <v>310</v>
      </c>
      <c r="AL134" s="606"/>
      <c r="AM134" s="606"/>
      <c r="AN134" s="606"/>
      <c r="AO134" s="606"/>
      <c r="AP134" s="606"/>
      <c r="AQ134" s="613"/>
      <c r="AR134" s="614" t="s">
        <v>55</v>
      </c>
      <c r="AS134" s="615"/>
      <c r="AT134" s="632">
        <v>186</v>
      </c>
      <c r="AU134" s="633"/>
      <c r="AV134" s="633"/>
      <c r="AW134" s="634"/>
    </row>
    <row r="135" spans="2:49" ht="30" customHeight="1" thickBot="1" x14ac:dyDescent="0.3">
      <c r="B135" s="604" t="s">
        <v>56</v>
      </c>
      <c r="C135" s="605"/>
      <c r="D135" s="606">
        <f>70+7</f>
        <v>77</v>
      </c>
      <c r="E135" s="606"/>
      <c r="F135" s="606"/>
      <c r="G135" s="606"/>
      <c r="H135" s="606"/>
      <c r="I135" s="606"/>
      <c r="J135" s="613"/>
      <c r="K135" s="757" t="s">
        <v>112</v>
      </c>
      <c r="L135" s="758"/>
      <c r="M135" s="624">
        <v>62</v>
      </c>
      <c r="N135" s="625"/>
      <c r="O135" s="625"/>
      <c r="P135" s="626"/>
      <c r="S135" s="604" t="s">
        <v>56</v>
      </c>
      <c r="T135" s="605"/>
      <c r="U135" s="606"/>
      <c r="V135" s="606"/>
      <c r="W135" s="606"/>
      <c r="X135" s="606"/>
      <c r="Y135" s="606"/>
      <c r="Z135" s="606"/>
      <c r="AA135" s="613"/>
      <c r="AB135" s="614" t="s">
        <v>57</v>
      </c>
      <c r="AC135" s="615"/>
      <c r="AD135" s="624"/>
      <c r="AE135" s="625"/>
      <c r="AF135" s="625"/>
      <c r="AG135" s="626"/>
      <c r="AI135" s="604" t="s">
        <v>56</v>
      </c>
      <c r="AJ135" s="605"/>
      <c r="AK135" s="606">
        <v>112</v>
      </c>
      <c r="AL135" s="606"/>
      <c r="AM135" s="606"/>
      <c r="AN135" s="606"/>
      <c r="AO135" s="606"/>
      <c r="AP135" s="606"/>
      <c r="AQ135" s="613"/>
      <c r="AR135" s="614" t="s">
        <v>57</v>
      </c>
      <c r="AS135" s="615"/>
      <c r="AT135" s="616"/>
      <c r="AU135" s="617"/>
      <c r="AV135" s="617"/>
      <c r="AW135" s="618"/>
    </row>
    <row r="136" spans="2:49" ht="37.5" customHeight="1" thickBot="1" x14ac:dyDescent="0.3">
      <c r="B136" s="619" t="s">
        <v>58</v>
      </c>
      <c r="C136" s="620"/>
      <c r="D136" s="673">
        <f>SUM(D132:D135)</f>
        <v>969</v>
      </c>
      <c r="E136" s="673"/>
      <c r="F136" s="673"/>
      <c r="G136" s="673"/>
      <c r="H136" s="673"/>
      <c r="I136" s="673"/>
      <c r="J136" s="674"/>
      <c r="K136" s="121" t="s">
        <v>59</v>
      </c>
      <c r="L136" s="122"/>
      <c r="M136" s="624">
        <f>SUM(M134:M135)</f>
        <v>72</v>
      </c>
      <c r="N136" s="625"/>
      <c r="O136" s="625"/>
      <c r="P136" s="626"/>
      <c r="S136" s="619" t="s">
        <v>58</v>
      </c>
      <c r="T136" s="620"/>
      <c r="U136" s="673">
        <f>SUM(U133:U135)</f>
        <v>0</v>
      </c>
      <c r="V136" s="673"/>
      <c r="W136" s="673"/>
      <c r="X136" s="673"/>
      <c r="Y136" s="673"/>
      <c r="Z136" s="673"/>
      <c r="AA136" s="674"/>
      <c r="AB136" s="121" t="s">
        <v>59</v>
      </c>
      <c r="AC136" s="122"/>
      <c r="AD136" s="624">
        <f>SUM(AD134:AD135)</f>
        <v>0</v>
      </c>
      <c r="AE136" s="625"/>
      <c r="AF136" s="625"/>
      <c r="AG136" s="626"/>
      <c r="AI136" s="627" t="s">
        <v>58</v>
      </c>
      <c r="AJ136" s="628"/>
      <c r="AK136" s="629">
        <f>SUM(AK132:AK135)</f>
        <v>698</v>
      </c>
      <c r="AL136" s="629"/>
      <c r="AM136" s="629"/>
      <c r="AN136" s="629"/>
      <c r="AO136" s="629"/>
      <c r="AP136" s="629"/>
      <c r="AQ136" s="630"/>
      <c r="AR136" s="137" t="s">
        <v>59</v>
      </c>
      <c r="AS136" s="215"/>
      <c r="AT136" s="590">
        <f>SUM(AT134:AT135)</f>
        <v>186</v>
      </c>
      <c r="AU136" s="591"/>
      <c r="AV136" s="591"/>
      <c r="AW136" s="592"/>
    </row>
    <row r="137" spans="2:49" ht="31.5" customHeight="1" x14ac:dyDescent="0.25">
      <c r="B137" s="604" t="s">
        <v>99</v>
      </c>
      <c r="C137" s="605"/>
      <c r="D137" s="606">
        <v>19</v>
      </c>
      <c r="E137" s="606"/>
      <c r="F137" s="606"/>
      <c r="G137" s="606"/>
      <c r="H137" s="606"/>
      <c r="I137" s="606"/>
      <c r="J137" s="590"/>
      <c r="K137" s="216"/>
      <c r="L137" s="217"/>
      <c r="M137" s="207"/>
      <c r="N137" s="207"/>
      <c r="O137" s="207"/>
      <c r="P137" s="218"/>
      <c r="S137" s="604" t="s">
        <v>99</v>
      </c>
      <c r="T137" s="605"/>
      <c r="U137" s="606"/>
      <c r="V137" s="606"/>
      <c r="W137" s="606"/>
      <c r="X137" s="606"/>
      <c r="Y137" s="606"/>
      <c r="Z137" s="606"/>
      <c r="AA137" s="590"/>
      <c r="AB137" s="216"/>
      <c r="AC137" s="217"/>
      <c r="AD137" s="207"/>
      <c r="AE137" s="207"/>
      <c r="AF137" s="207"/>
      <c r="AG137" s="218"/>
      <c r="AI137" s="604" t="s">
        <v>99</v>
      </c>
      <c r="AJ137" s="605"/>
      <c r="AK137" s="606"/>
      <c r="AL137" s="606"/>
      <c r="AM137" s="606"/>
      <c r="AN137" s="606"/>
      <c r="AO137" s="606"/>
      <c r="AP137" s="606"/>
      <c r="AQ137" s="590"/>
      <c r="AR137" s="216"/>
      <c r="AS137" s="217"/>
      <c r="AT137" s="207"/>
      <c r="AU137" s="207"/>
      <c r="AV137" s="207"/>
      <c r="AW137" s="218"/>
    </row>
    <row r="138" spans="2:49" ht="26.25" customHeight="1" x14ac:dyDescent="0.25">
      <c r="B138" s="604" t="s">
        <v>79</v>
      </c>
      <c r="C138" s="605"/>
      <c r="D138" s="606">
        <v>3</v>
      </c>
      <c r="E138" s="606"/>
      <c r="F138" s="606"/>
      <c r="G138" s="606"/>
      <c r="H138" s="606"/>
      <c r="I138" s="606"/>
      <c r="J138" s="590"/>
      <c r="K138" s="219"/>
      <c r="L138" s="213"/>
      <c r="M138" s="214"/>
      <c r="N138" s="214"/>
      <c r="O138" s="214"/>
      <c r="P138" s="220"/>
      <c r="S138" s="604" t="s">
        <v>79</v>
      </c>
      <c r="T138" s="605"/>
      <c r="U138" s="606">
        <v>0</v>
      </c>
      <c r="V138" s="606"/>
      <c r="W138" s="606"/>
      <c r="X138" s="606"/>
      <c r="Y138" s="606"/>
      <c r="Z138" s="606"/>
      <c r="AA138" s="590"/>
      <c r="AB138" s="219"/>
      <c r="AC138" s="213"/>
      <c r="AD138" s="214"/>
      <c r="AE138" s="214"/>
      <c r="AF138" s="214"/>
      <c r="AG138" s="220"/>
      <c r="AI138" s="604" t="s">
        <v>79</v>
      </c>
      <c r="AJ138" s="605"/>
      <c r="AK138" s="606">
        <v>0</v>
      </c>
      <c r="AL138" s="606"/>
      <c r="AM138" s="606"/>
      <c r="AN138" s="606"/>
      <c r="AO138" s="606"/>
      <c r="AP138" s="606"/>
      <c r="AQ138" s="590"/>
      <c r="AR138" s="219"/>
      <c r="AS138" s="213"/>
      <c r="AT138" s="214"/>
      <c r="AU138" s="214"/>
      <c r="AV138" s="214"/>
      <c r="AW138" s="220"/>
    </row>
    <row r="139" spans="2:49" ht="36.75" customHeight="1" x14ac:dyDescent="0.25">
      <c r="B139" s="604" t="s">
        <v>100</v>
      </c>
      <c r="C139" s="605"/>
      <c r="D139" s="606">
        <v>3</v>
      </c>
      <c r="E139" s="606"/>
      <c r="F139" s="606"/>
      <c r="G139" s="606"/>
      <c r="H139" s="606"/>
      <c r="I139" s="606"/>
      <c r="J139" s="590"/>
      <c r="K139" s="219"/>
      <c r="L139" s="213"/>
      <c r="M139" s="214"/>
      <c r="N139" s="214"/>
      <c r="O139" s="214"/>
      <c r="P139" s="220"/>
      <c r="S139" s="604" t="s">
        <v>100</v>
      </c>
      <c r="T139" s="605"/>
      <c r="U139" s="606">
        <v>0</v>
      </c>
      <c r="V139" s="606"/>
      <c r="W139" s="606"/>
      <c r="X139" s="606"/>
      <c r="Y139" s="606"/>
      <c r="Z139" s="606"/>
      <c r="AA139" s="590"/>
      <c r="AB139" s="219"/>
      <c r="AC139" s="213"/>
      <c r="AD139" s="214"/>
      <c r="AE139" s="214"/>
      <c r="AF139" s="214"/>
      <c r="AG139" s="220"/>
      <c r="AI139" s="604" t="s">
        <v>100</v>
      </c>
      <c r="AJ139" s="605"/>
      <c r="AK139" s="606">
        <v>0</v>
      </c>
      <c r="AL139" s="606"/>
      <c r="AM139" s="606"/>
      <c r="AN139" s="606"/>
      <c r="AO139" s="606"/>
      <c r="AP139" s="606"/>
      <c r="AQ139" s="590"/>
      <c r="AR139" s="219"/>
      <c r="AS139" s="213"/>
      <c r="AT139" s="214"/>
      <c r="AU139" s="214"/>
      <c r="AV139" s="214"/>
      <c r="AW139" s="220"/>
    </row>
    <row r="140" spans="2:49" ht="15.75" x14ac:dyDescent="0.25">
      <c r="B140" s="607" t="s">
        <v>60</v>
      </c>
      <c r="C140" s="608"/>
      <c r="D140" s="609" t="s">
        <v>111</v>
      </c>
      <c r="E140" s="610"/>
      <c r="F140" s="610"/>
      <c r="G140" s="610"/>
      <c r="H140" s="610"/>
      <c r="I140" s="610"/>
      <c r="J140" s="610"/>
      <c r="K140" s="136" t="s">
        <v>62</v>
      </c>
      <c r="L140" s="198"/>
      <c r="M140" s="199"/>
      <c r="N140" s="199"/>
      <c r="O140" s="199"/>
      <c r="P140" s="197"/>
      <c r="S140" s="607" t="s">
        <v>60</v>
      </c>
      <c r="T140" s="608"/>
      <c r="U140" s="609"/>
      <c r="V140" s="610"/>
      <c r="W140" s="610"/>
      <c r="X140" s="610"/>
      <c r="Y140" s="610"/>
      <c r="Z140" s="610"/>
      <c r="AA140" s="610"/>
      <c r="AB140" s="136" t="s">
        <v>62</v>
      </c>
      <c r="AC140" s="198"/>
      <c r="AD140" s="199"/>
      <c r="AE140" s="199"/>
      <c r="AF140" s="199"/>
      <c r="AG140" s="197"/>
      <c r="AI140" s="607" t="s">
        <v>60</v>
      </c>
      <c r="AJ140" s="608"/>
      <c r="AK140" s="609"/>
      <c r="AL140" s="610"/>
      <c r="AM140" s="610"/>
      <c r="AN140" s="610"/>
      <c r="AO140" s="610"/>
      <c r="AP140" s="610"/>
      <c r="AQ140" s="610"/>
      <c r="AR140" s="136" t="s">
        <v>62</v>
      </c>
      <c r="AS140" s="198"/>
      <c r="AT140" s="199"/>
      <c r="AU140" s="199"/>
      <c r="AV140" s="199"/>
      <c r="AW140" s="197"/>
    </row>
    <row r="141" spans="2:49" ht="15.75" x14ac:dyDescent="0.25">
      <c r="B141" s="588" t="s">
        <v>63</v>
      </c>
      <c r="C141" s="589"/>
      <c r="D141" s="590">
        <v>2.94</v>
      </c>
      <c r="E141" s="591"/>
      <c r="F141" s="591"/>
      <c r="G141" s="591"/>
      <c r="H141" s="591"/>
      <c r="I141" s="591"/>
      <c r="J141" s="592"/>
      <c r="K141" s="593" t="s">
        <v>114</v>
      </c>
      <c r="L141" s="594"/>
      <c r="M141" s="594"/>
      <c r="N141" s="594"/>
      <c r="O141" s="594"/>
      <c r="P141" s="595"/>
      <c r="S141" s="588" t="s">
        <v>63</v>
      </c>
      <c r="T141" s="589"/>
      <c r="U141" s="590"/>
      <c r="V141" s="591"/>
      <c r="W141" s="591"/>
      <c r="X141" s="591"/>
      <c r="Y141" s="591"/>
      <c r="Z141" s="591"/>
      <c r="AA141" s="592"/>
      <c r="AB141" s="593"/>
      <c r="AC141" s="594"/>
      <c r="AD141" s="594"/>
      <c r="AE141" s="594"/>
      <c r="AF141" s="594"/>
      <c r="AG141" s="595"/>
      <c r="AI141" s="588" t="s">
        <v>63</v>
      </c>
      <c r="AJ141" s="589"/>
      <c r="AK141" s="590"/>
      <c r="AL141" s="591"/>
      <c r="AM141" s="591"/>
      <c r="AN141" s="591"/>
      <c r="AO141" s="591"/>
      <c r="AP141" s="591"/>
      <c r="AQ141" s="592"/>
      <c r="AR141" s="593" t="s">
        <v>98</v>
      </c>
      <c r="AS141" s="594"/>
      <c r="AT141" s="594"/>
      <c r="AU141" s="594"/>
      <c r="AV141" s="594"/>
      <c r="AW141" s="595"/>
    </row>
    <row r="142" spans="2:49" ht="16.5" thickBot="1" x14ac:dyDescent="0.3">
      <c r="B142" s="599" t="s">
        <v>65</v>
      </c>
      <c r="C142" s="600"/>
      <c r="D142" s="601">
        <v>2.92</v>
      </c>
      <c r="E142" s="602"/>
      <c r="F142" s="602"/>
      <c r="G142" s="602"/>
      <c r="H142" s="602"/>
      <c r="I142" s="602"/>
      <c r="J142" s="603"/>
      <c r="K142" s="596"/>
      <c r="L142" s="597"/>
      <c r="M142" s="597"/>
      <c r="N142" s="597"/>
      <c r="O142" s="597"/>
      <c r="P142" s="598"/>
      <c r="S142" s="599" t="s">
        <v>65</v>
      </c>
      <c r="T142" s="600"/>
      <c r="U142" s="601"/>
      <c r="V142" s="602"/>
      <c r="W142" s="602"/>
      <c r="X142" s="602"/>
      <c r="Y142" s="602"/>
      <c r="Z142" s="602"/>
      <c r="AA142" s="603"/>
      <c r="AB142" s="596"/>
      <c r="AC142" s="597"/>
      <c r="AD142" s="597"/>
      <c r="AE142" s="597"/>
      <c r="AF142" s="597"/>
      <c r="AG142" s="598"/>
      <c r="AI142" s="599" t="s">
        <v>65</v>
      </c>
      <c r="AJ142" s="600"/>
      <c r="AK142" s="601"/>
      <c r="AL142" s="602"/>
      <c r="AM142" s="602"/>
      <c r="AN142" s="602"/>
      <c r="AO142" s="602"/>
      <c r="AP142" s="602"/>
      <c r="AQ142" s="603"/>
      <c r="AR142" s="596"/>
      <c r="AS142" s="597"/>
      <c r="AT142" s="597"/>
      <c r="AU142" s="597"/>
      <c r="AV142" s="597"/>
      <c r="AW142" s="598"/>
    </row>
    <row r="145" spans="2:33" ht="15.75" thickBot="1" x14ac:dyDescent="0.3"/>
    <row r="146" spans="2:33" x14ac:dyDescent="0.25">
      <c r="B146" s="650" t="s">
        <v>36</v>
      </c>
      <c r="C146" s="651"/>
      <c r="D146" s="652"/>
      <c r="E146" s="652"/>
      <c r="F146" s="652"/>
      <c r="G146" s="651"/>
      <c r="H146" s="651"/>
      <c r="I146" s="651"/>
      <c r="J146" s="653"/>
      <c r="K146" s="654" t="s">
        <v>37</v>
      </c>
      <c r="L146" s="655"/>
      <c r="M146" s="655"/>
      <c r="N146" s="655"/>
      <c r="O146" s="655"/>
      <c r="P146" s="656"/>
      <c r="S146" s="650" t="s">
        <v>36</v>
      </c>
      <c r="T146" s="651"/>
      <c r="U146" s="652"/>
      <c r="V146" s="652"/>
      <c r="W146" s="652"/>
      <c r="X146" s="651"/>
      <c r="Y146" s="651"/>
      <c r="Z146" s="651"/>
      <c r="AA146" s="653"/>
      <c r="AB146" s="654" t="s">
        <v>37</v>
      </c>
      <c r="AC146" s="655"/>
      <c r="AD146" s="655"/>
      <c r="AE146" s="655"/>
      <c r="AF146" s="655"/>
      <c r="AG146" s="656"/>
    </row>
    <row r="147" spans="2:33" ht="18.75" customHeight="1" x14ac:dyDescent="0.3">
      <c r="B147" s="663" t="s">
        <v>8</v>
      </c>
      <c r="C147" s="664"/>
      <c r="D147" s="115" t="s">
        <v>38</v>
      </c>
      <c r="E147" s="116" t="s">
        <v>39</v>
      </c>
      <c r="F147" s="117" t="s">
        <v>40</v>
      </c>
      <c r="G147" s="665" t="s">
        <v>104</v>
      </c>
      <c r="H147" s="666"/>
      <c r="I147" s="666"/>
      <c r="J147" s="667"/>
      <c r="K147" s="657"/>
      <c r="L147" s="658"/>
      <c r="M147" s="658"/>
      <c r="N147" s="658"/>
      <c r="O147" s="658"/>
      <c r="P147" s="659"/>
      <c r="S147" s="663" t="s">
        <v>8</v>
      </c>
      <c r="T147" s="664"/>
      <c r="U147" s="115" t="s">
        <v>38</v>
      </c>
      <c r="V147" s="116" t="s">
        <v>39</v>
      </c>
      <c r="W147" s="117" t="s">
        <v>40</v>
      </c>
      <c r="X147" s="665" t="s">
        <v>104</v>
      </c>
      <c r="Y147" s="666"/>
      <c r="Z147" s="666"/>
      <c r="AA147" s="667"/>
      <c r="AB147" s="657"/>
      <c r="AC147" s="658"/>
      <c r="AD147" s="658"/>
      <c r="AE147" s="658"/>
      <c r="AF147" s="658"/>
      <c r="AG147" s="659"/>
    </row>
    <row r="148" spans="2:33" ht="47.25" thickBot="1" x14ac:dyDescent="0.3">
      <c r="B148" s="671" t="s">
        <v>29</v>
      </c>
      <c r="C148" s="672"/>
      <c r="D148" s="118">
        <v>16</v>
      </c>
      <c r="E148" s="119">
        <v>11</v>
      </c>
      <c r="F148" s="120">
        <v>2021</v>
      </c>
      <c r="G148" s="668"/>
      <c r="H148" s="669"/>
      <c r="I148" s="669"/>
      <c r="J148" s="670"/>
      <c r="K148" s="660"/>
      <c r="L148" s="661"/>
      <c r="M148" s="661"/>
      <c r="N148" s="661"/>
      <c r="O148" s="661"/>
      <c r="P148" s="662"/>
      <c r="S148" s="671" t="s">
        <v>30</v>
      </c>
      <c r="T148" s="672"/>
      <c r="U148" s="118">
        <v>16</v>
      </c>
      <c r="V148" s="119">
        <v>11</v>
      </c>
      <c r="W148" s="120">
        <v>2021</v>
      </c>
      <c r="X148" s="668"/>
      <c r="Y148" s="669"/>
      <c r="Z148" s="669"/>
      <c r="AA148" s="670"/>
      <c r="AB148" s="660"/>
      <c r="AC148" s="661"/>
      <c r="AD148" s="661"/>
      <c r="AE148" s="661"/>
      <c r="AF148" s="661"/>
      <c r="AG148" s="662"/>
    </row>
    <row r="149" spans="2:33" ht="15.75" x14ac:dyDescent="0.25">
      <c r="B149" s="648" t="s">
        <v>42</v>
      </c>
      <c r="C149" s="649"/>
      <c r="D149" s="639" t="s">
        <v>105</v>
      </c>
      <c r="E149" s="640"/>
      <c r="F149" s="640"/>
      <c r="G149" s="640"/>
      <c r="H149" s="640"/>
      <c r="I149" s="640"/>
      <c r="J149" s="641"/>
      <c r="K149" s="642" t="s">
        <v>44</v>
      </c>
      <c r="L149" s="643"/>
      <c r="M149" s="611">
        <v>300</v>
      </c>
      <c r="N149" s="610"/>
      <c r="O149" s="610"/>
      <c r="P149" s="644"/>
      <c r="S149" s="648" t="s">
        <v>42</v>
      </c>
      <c r="T149" s="649"/>
      <c r="U149" s="639">
        <v>0.30555555555555552</v>
      </c>
      <c r="V149" s="640"/>
      <c r="W149" s="640"/>
      <c r="X149" s="640"/>
      <c r="Y149" s="640"/>
      <c r="Z149" s="640"/>
      <c r="AA149" s="641"/>
      <c r="AB149" s="642" t="s">
        <v>44</v>
      </c>
      <c r="AC149" s="643"/>
      <c r="AD149" s="611">
        <v>50</v>
      </c>
      <c r="AE149" s="610"/>
      <c r="AF149" s="610"/>
      <c r="AG149" s="644"/>
    </row>
    <row r="150" spans="2:33" ht="15.75" x14ac:dyDescent="0.25">
      <c r="B150" s="604" t="s">
        <v>45</v>
      </c>
      <c r="C150" s="605"/>
      <c r="D150" s="645" t="s">
        <v>106</v>
      </c>
      <c r="E150" s="606"/>
      <c r="F150" s="606"/>
      <c r="G150" s="606"/>
      <c r="H150" s="606"/>
      <c r="I150" s="606"/>
      <c r="J150" s="613"/>
      <c r="K150" s="646" t="s">
        <v>47</v>
      </c>
      <c r="L150" s="646"/>
      <c r="M150" s="646"/>
      <c r="N150" s="646"/>
      <c r="O150" s="646"/>
      <c r="P150" s="647"/>
      <c r="S150" s="604" t="s">
        <v>45</v>
      </c>
      <c r="T150" s="605"/>
      <c r="U150" s="645" t="s">
        <v>101</v>
      </c>
      <c r="V150" s="606"/>
      <c r="W150" s="606"/>
      <c r="X150" s="606"/>
      <c r="Y150" s="606"/>
      <c r="Z150" s="606"/>
      <c r="AA150" s="613"/>
      <c r="AB150" s="646" t="s">
        <v>47</v>
      </c>
      <c r="AC150" s="646"/>
      <c r="AD150" s="646"/>
      <c r="AE150" s="646"/>
      <c r="AF150" s="646"/>
      <c r="AG150" s="647"/>
    </row>
    <row r="151" spans="2:33" ht="15.75" x14ac:dyDescent="0.25">
      <c r="B151" s="637" t="s">
        <v>48</v>
      </c>
      <c r="C151" s="638"/>
      <c r="D151" s="606">
        <v>19.3</v>
      </c>
      <c r="E151" s="606"/>
      <c r="F151" s="606"/>
      <c r="G151" s="606"/>
      <c r="H151" s="606"/>
      <c r="I151" s="606"/>
      <c r="J151" s="613"/>
      <c r="K151" s="635" t="s">
        <v>49</v>
      </c>
      <c r="L151" s="636"/>
      <c r="M151" s="590"/>
      <c r="N151" s="591"/>
      <c r="O151" s="591"/>
      <c r="P151" s="631"/>
      <c r="S151" s="637" t="s">
        <v>48</v>
      </c>
      <c r="T151" s="638"/>
      <c r="U151" s="606">
        <v>15</v>
      </c>
      <c r="V151" s="606"/>
      <c r="W151" s="606"/>
      <c r="X151" s="606"/>
      <c r="Y151" s="606"/>
      <c r="Z151" s="606"/>
      <c r="AA151" s="613"/>
      <c r="AB151" s="635" t="s">
        <v>49</v>
      </c>
      <c r="AC151" s="636"/>
      <c r="AD151" s="590"/>
      <c r="AE151" s="591"/>
      <c r="AF151" s="591"/>
      <c r="AG151" s="631"/>
    </row>
    <row r="152" spans="2:33" ht="30.75" customHeight="1" x14ac:dyDescent="0.25">
      <c r="B152" s="604" t="s">
        <v>50</v>
      </c>
      <c r="C152" s="605"/>
      <c r="D152" s="606">
        <f>17+26</f>
        <v>43</v>
      </c>
      <c r="E152" s="606"/>
      <c r="F152" s="606"/>
      <c r="G152" s="606"/>
      <c r="H152" s="606"/>
      <c r="I152" s="606"/>
      <c r="J152" s="613"/>
      <c r="K152" s="635" t="s">
        <v>51</v>
      </c>
      <c r="L152" s="636"/>
      <c r="M152" s="590">
        <v>230</v>
      </c>
      <c r="N152" s="591"/>
      <c r="O152" s="591"/>
      <c r="P152" s="631"/>
      <c r="S152" s="604" t="s">
        <v>50</v>
      </c>
      <c r="T152" s="605"/>
      <c r="U152" s="606">
        <v>9</v>
      </c>
      <c r="V152" s="606"/>
      <c r="W152" s="606"/>
      <c r="X152" s="606"/>
      <c r="Y152" s="606"/>
      <c r="Z152" s="606"/>
      <c r="AA152" s="613"/>
      <c r="AB152" s="635" t="s">
        <v>51</v>
      </c>
      <c r="AC152" s="636"/>
      <c r="AD152" s="590">
        <v>50</v>
      </c>
      <c r="AE152" s="591"/>
      <c r="AF152" s="591"/>
      <c r="AG152" s="631"/>
    </row>
    <row r="153" spans="2:33" ht="26.25" customHeight="1" x14ac:dyDescent="0.25">
      <c r="B153" s="604" t="s">
        <v>52</v>
      </c>
      <c r="C153" s="605"/>
      <c r="D153" s="606">
        <f>119+440</f>
        <v>559</v>
      </c>
      <c r="E153" s="606"/>
      <c r="F153" s="606"/>
      <c r="G153" s="606"/>
      <c r="H153" s="606"/>
      <c r="I153" s="606"/>
      <c r="J153" s="613"/>
      <c r="K153" s="614" t="s">
        <v>53</v>
      </c>
      <c r="L153" s="615"/>
      <c r="M153" s="590"/>
      <c r="N153" s="591"/>
      <c r="O153" s="591"/>
      <c r="P153" s="631"/>
      <c r="S153" s="604" t="s">
        <v>52</v>
      </c>
      <c r="T153" s="605"/>
      <c r="U153" s="606">
        <v>154</v>
      </c>
      <c r="V153" s="606"/>
      <c r="W153" s="606"/>
      <c r="X153" s="606"/>
      <c r="Y153" s="606"/>
      <c r="Z153" s="606"/>
      <c r="AA153" s="613"/>
      <c r="AB153" s="614" t="s">
        <v>53</v>
      </c>
      <c r="AC153" s="615"/>
      <c r="AD153" s="590"/>
      <c r="AE153" s="591"/>
      <c r="AF153" s="591"/>
      <c r="AG153" s="631"/>
    </row>
    <row r="154" spans="2:33" ht="33.75" customHeight="1" thickBot="1" x14ac:dyDescent="0.3">
      <c r="B154" s="604" t="s">
        <v>54</v>
      </c>
      <c r="C154" s="605"/>
      <c r="D154" s="606">
        <f>317+141</f>
        <v>458</v>
      </c>
      <c r="E154" s="606"/>
      <c r="F154" s="606"/>
      <c r="G154" s="606"/>
      <c r="H154" s="606"/>
      <c r="I154" s="606"/>
      <c r="J154" s="613"/>
      <c r="K154" s="614" t="s">
        <v>55</v>
      </c>
      <c r="L154" s="615"/>
      <c r="M154" s="632">
        <v>22</v>
      </c>
      <c r="N154" s="633"/>
      <c r="O154" s="633"/>
      <c r="P154" s="634"/>
      <c r="S154" s="604" t="s">
        <v>54</v>
      </c>
      <c r="T154" s="605"/>
      <c r="U154" s="606">
        <v>222</v>
      </c>
      <c r="V154" s="606"/>
      <c r="W154" s="606"/>
      <c r="X154" s="606"/>
      <c r="Y154" s="606"/>
      <c r="Z154" s="606"/>
      <c r="AA154" s="613"/>
      <c r="AB154" s="614" t="s">
        <v>55</v>
      </c>
      <c r="AC154" s="615"/>
      <c r="AD154" s="632">
        <v>40</v>
      </c>
      <c r="AE154" s="633"/>
      <c r="AF154" s="633"/>
      <c r="AG154" s="634"/>
    </row>
    <row r="155" spans="2:33" ht="28.5" customHeight="1" thickBot="1" x14ac:dyDescent="0.3">
      <c r="B155" s="604" t="s">
        <v>56</v>
      </c>
      <c r="C155" s="605"/>
      <c r="D155" s="606">
        <f>142+154</f>
        <v>296</v>
      </c>
      <c r="E155" s="606"/>
      <c r="F155" s="606"/>
      <c r="G155" s="606"/>
      <c r="H155" s="606"/>
      <c r="I155" s="606"/>
      <c r="J155" s="613"/>
      <c r="K155" s="614" t="s">
        <v>57</v>
      </c>
      <c r="L155" s="615"/>
      <c r="M155" s="624"/>
      <c r="N155" s="625"/>
      <c r="O155" s="625"/>
      <c r="P155" s="626"/>
      <c r="S155" s="604" t="s">
        <v>56</v>
      </c>
      <c r="T155" s="605"/>
      <c r="U155" s="606">
        <v>24</v>
      </c>
      <c r="V155" s="606"/>
      <c r="W155" s="606"/>
      <c r="X155" s="606"/>
      <c r="Y155" s="606"/>
      <c r="Z155" s="606"/>
      <c r="AA155" s="613"/>
      <c r="AB155" s="614" t="s">
        <v>57</v>
      </c>
      <c r="AC155" s="615"/>
      <c r="AD155" s="624"/>
      <c r="AE155" s="625"/>
      <c r="AF155" s="625"/>
      <c r="AG155" s="626"/>
    </row>
    <row r="156" spans="2:33" ht="21.75" thickBot="1" x14ac:dyDescent="0.3">
      <c r="B156" s="619" t="s">
        <v>58</v>
      </c>
      <c r="C156" s="620"/>
      <c r="D156" s="673">
        <f>SUM(D152:D155)</f>
        <v>1356</v>
      </c>
      <c r="E156" s="673"/>
      <c r="F156" s="673"/>
      <c r="G156" s="673"/>
      <c r="H156" s="673"/>
      <c r="I156" s="673"/>
      <c r="J156" s="674"/>
      <c r="K156" s="121" t="s">
        <v>59</v>
      </c>
      <c r="L156" s="122"/>
      <c r="M156" s="624">
        <f>SUM(M152:M155)</f>
        <v>252</v>
      </c>
      <c r="N156" s="625"/>
      <c r="O156" s="625"/>
      <c r="P156" s="626"/>
      <c r="S156" s="619" t="s">
        <v>58</v>
      </c>
      <c r="T156" s="620"/>
      <c r="U156" s="673">
        <f>SUM(U152:U155)</f>
        <v>409</v>
      </c>
      <c r="V156" s="673"/>
      <c r="W156" s="673"/>
      <c r="X156" s="673"/>
      <c r="Y156" s="673"/>
      <c r="Z156" s="673"/>
      <c r="AA156" s="674"/>
      <c r="AB156" s="121" t="s">
        <v>59</v>
      </c>
      <c r="AC156" s="122"/>
      <c r="AD156" s="624">
        <f>SUM(AD152:AD155)</f>
        <v>90</v>
      </c>
      <c r="AE156" s="625"/>
      <c r="AF156" s="625"/>
      <c r="AG156" s="626"/>
    </row>
    <row r="157" spans="2:33" ht="15.75" x14ac:dyDescent="0.25">
      <c r="B157" s="607" t="s">
        <v>108</v>
      </c>
      <c r="C157" s="608"/>
      <c r="D157" s="611">
        <f>23+3+5+15+4+15+24+18</f>
        <v>107</v>
      </c>
      <c r="E157" s="610"/>
      <c r="F157" s="610"/>
      <c r="G157" s="610"/>
      <c r="H157" s="610"/>
      <c r="I157" s="610"/>
      <c r="J157" s="612"/>
      <c r="K157" s="123" t="s">
        <v>62</v>
      </c>
      <c r="L157" s="124"/>
      <c r="M157" s="125"/>
      <c r="N157" s="125"/>
      <c r="O157" s="125"/>
      <c r="P157" s="126"/>
      <c r="S157" s="607" t="s">
        <v>60</v>
      </c>
      <c r="T157" s="608"/>
      <c r="U157" s="611" t="s">
        <v>102</v>
      </c>
      <c r="V157" s="610"/>
      <c r="W157" s="610"/>
      <c r="X157" s="610"/>
      <c r="Y157" s="610"/>
      <c r="Z157" s="610"/>
      <c r="AA157" s="612"/>
      <c r="AB157" s="123" t="s">
        <v>62</v>
      </c>
      <c r="AC157" s="124"/>
      <c r="AD157" s="125"/>
      <c r="AE157" s="125"/>
      <c r="AF157" s="125"/>
      <c r="AG157" s="126"/>
    </row>
    <row r="158" spans="2:33" ht="15.75" x14ac:dyDescent="0.25">
      <c r="B158" s="588" t="s">
        <v>63</v>
      </c>
      <c r="C158" s="589"/>
      <c r="D158" s="590">
        <v>4.2</v>
      </c>
      <c r="E158" s="591"/>
      <c r="F158" s="591"/>
      <c r="G158" s="591"/>
      <c r="H158" s="591"/>
      <c r="I158" s="591"/>
      <c r="J158" s="592"/>
      <c r="K158" s="593"/>
      <c r="L158" s="594"/>
      <c r="M158" s="594"/>
      <c r="N158" s="594"/>
      <c r="O158" s="594"/>
      <c r="P158" s="595"/>
      <c r="S158" s="588" t="s">
        <v>63</v>
      </c>
      <c r="T158" s="589"/>
      <c r="U158" s="590">
        <v>4.3</v>
      </c>
      <c r="V158" s="591"/>
      <c r="W158" s="591"/>
      <c r="X158" s="591"/>
      <c r="Y158" s="591"/>
      <c r="Z158" s="591"/>
      <c r="AA158" s="592"/>
      <c r="AB158" s="593" t="s">
        <v>103</v>
      </c>
      <c r="AC158" s="594"/>
      <c r="AD158" s="594"/>
      <c r="AE158" s="594"/>
      <c r="AF158" s="594"/>
      <c r="AG158" s="595"/>
    </row>
    <row r="159" spans="2:33" ht="16.5" thickBot="1" x14ac:dyDescent="0.3">
      <c r="B159" s="599" t="s">
        <v>65</v>
      </c>
      <c r="C159" s="600"/>
      <c r="D159" s="601">
        <v>3.8</v>
      </c>
      <c r="E159" s="602"/>
      <c r="F159" s="602"/>
      <c r="G159" s="602"/>
      <c r="H159" s="602"/>
      <c r="I159" s="602"/>
      <c r="J159" s="603"/>
      <c r="K159" s="596"/>
      <c r="L159" s="597"/>
      <c r="M159" s="597"/>
      <c r="N159" s="597"/>
      <c r="O159" s="597"/>
      <c r="P159" s="598"/>
      <c r="S159" s="599" t="s">
        <v>65</v>
      </c>
      <c r="T159" s="600"/>
      <c r="U159" s="601">
        <v>4.3</v>
      </c>
      <c r="V159" s="602"/>
      <c r="W159" s="602"/>
      <c r="X159" s="602"/>
      <c r="Y159" s="602"/>
      <c r="Z159" s="602"/>
      <c r="AA159" s="603"/>
      <c r="AB159" s="596"/>
      <c r="AC159" s="597"/>
      <c r="AD159" s="597"/>
      <c r="AE159" s="597"/>
      <c r="AF159" s="597"/>
      <c r="AG159" s="598"/>
    </row>
    <row r="161" spans="2:49" ht="15.75" thickBot="1" x14ac:dyDescent="0.3"/>
    <row r="162" spans="2:49" ht="15" customHeight="1" x14ac:dyDescent="0.25">
      <c r="B162" s="650" t="s">
        <v>36</v>
      </c>
      <c r="C162" s="651"/>
      <c r="D162" s="652"/>
      <c r="E162" s="652"/>
      <c r="F162" s="652"/>
      <c r="G162" s="651"/>
      <c r="H162" s="651"/>
      <c r="I162" s="651"/>
      <c r="J162" s="653"/>
      <c r="K162" s="654" t="s">
        <v>37</v>
      </c>
      <c r="L162" s="655"/>
      <c r="M162" s="655"/>
      <c r="N162" s="655"/>
      <c r="O162" s="655"/>
      <c r="P162" s="656"/>
      <c r="S162" s="650" t="s">
        <v>36</v>
      </c>
      <c r="T162" s="651"/>
      <c r="U162" s="652"/>
      <c r="V162" s="652"/>
      <c r="W162" s="652"/>
      <c r="X162" s="651"/>
      <c r="Y162" s="651"/>
      <c r="Z162" s="651"/>
      <c r="AA162" s="653"/>
      <c r="AB162" s="654" t="s">
        <v>37</v>
      </c>
      <c r="AC162" s="655"/>
      <c r="AD162" s="655"/>
      <c r="AE162" s="655"/>
      <c r="AF162" s="655"/>
      <c r="AG162" s="656"/>
      <c r="AI162" s="650" t="s">
        <v>36</v>
      </c>
      <c r="AJ162" s="651"/>
      <c r="AK162" s="652"/>
      <c r="AL162" s="652"/>
      <c r="AM162" s="652"/>
      <c r="AN162" s="651"/>
      <c r="AO162" s="651"/>
      <c r="AP162" s="651"/>
      <c r="AQ162" s="653"/>
      <c r="AR162" s="654" t="s">
        <v>37</v>
      </c>
      <c r="AS162" s="655"/>
      <c r="AT162" s="655"/>
      <c r="AU162" s="655"/>
      <c r="AV162" s="655"/>
      <c r="AW162" s="656"/>
    </row>
    <row r="163" spans="2:49" ht="18.75" customHeight="1" x14ac:dyDescent="0.3">
      <c r="B163" s="663" t="s">
        <v>8</v>
      </c>
      <c r="C163" s="664"/>
      <c r="D163" s="115" t="s">
        <v>38</v>
      </c>
      <c r="E163" s="116" t="s">
        <v>39</v>
      </c>
      <c r="F163" s="117" t="s">
        <v>40</v>
      </c>
      <c r="G163" s="665" t="s">
        <v>104</v>
      </c>
      <c r="H163" s="666"/>
      <c r="I163" s="666"/>
      <c r="J163" s="667"/>
      <c r="K163" s="657"/>
      <c r="L163" s="658"/>
      <c r="M163" s="658"/>
      <c r="N163" s="658"/>
      <c r="O163" s="658"/>
      <c r="P163" s="659"/>
      <c r="S163" s="663" t="s">
        <v>8</v>
      </c>
      <c r="T163" s="664"/>
      <c r="U163" s="115" t="s">
        <v>38</v>
      </c>
      <c r="V163" s="116" t="s">
        <v>39</v>
      </c>
      <c r="W163" s="117" t="s">
        <v>40</v>
      </c>
      <c r="X163" s="665" t="s">
        <v>104</v>
      </c>
      <c r="Y163" s="666"/>
      <c r="Z163" s="666"/>
      <c r="AA163" s="667"/>
      <c r="AB163" s="657"/>
      <c r="AC163" s="658"/>
      <c r="AD163" s="658"/>
      <c r="AE163" s="658"/>
      <c r="AF163" s="658"/>
      <c r="AG163" s="659"/>
      <c r="AI163" s="663" t="s">
        <v>8</v>
      </c>
      <c r="AJ163" s="664"/>
      <c r="AK163" s="115" t="s">
        <v>38</v>
      </c>
      <c r="AL163" s="116" t="s">
        <v>39</v>
      </c>
      <c r="AM163" s="117" t="s">
        <v>40</v>
      </c>
      <c r="AN163" s="665" t="s">
        <v>104</v>
      </c>
      <c r="AO163" s="666"/>
      <c r="AP163" s="666"/>
      <c r="AQ163" s="667"/>
      <c r="AR163" s="657"/>
      <c r="AS163" s="658"/>
      <c r="AT163" s="658"/>
      <c r="AU163" s="658"/>
      <c r="AV163" s="658"/>
      <c r="AW163" s="659"/>
    </row>
    <row r="164" spans="2:49" ht="47.25" customHeight="1" thickBot="1" x14ac:dyDescent="0.3">
      <c r="B164" s="671" t="s">
        <v>29</v>
      </c>
      <c r="C164" s="672"/>
      <c r="D164" s="118">
        <v>17</v>
      </c>
      <c r="E164" s="119">
        <v>11</v>
      </c>
      <c r="F164" s="120">
        <v>2021</v>
      </c>
      <c r="G164" s="668"/>
      <c r="H164" s="669"/>
      <c r="I164" s="669"/>
      <c r="J164" s="670"/>
      <c r="K164" s="660"/>
      <c r="L164" s="661"/>
      <c r="M164" s="661"/>
      <c r="N164" s="661"/>
      <c r="O164" s="661"/>
      <c r="P164" s="662"/>
      <c r="S164" s="671" t="s">
        <v>28</v>
      </c>
      <c r="T164" s="672"/>
      <c r="U164" s="118">
        <v>17</v>
      </c>
      <c r="V164" s="119">
        <v>11</v>
      </c>
      <c r="W164" s="120">
        <v>2021</v>
      </c>
      <c r="X164" s="668"/>
      <c r="Y164" s="669"/>
      <c r="Z164" s="669"/>
      <c r="AA164" s="670"/>
      <c r="AB164" s="660"/>
      <c r="AC164" s="661"/>
      <c r="AD164" s="661"/>
      <c r="AE164" s="661"/>
      <c r="AF164" s="661"/>
      <c r="AG164" s="662"/>
      <c r="AI164" s="671" t="s">
        <v>31</v>
      </c>
      <c r="AJ164" s="672"/>
      <c r="AK164" s="118">
        <v>17</v>
      </c>
      <c r="AL164" s="119">
        <v>11</v>
      </c>
      <c r="AM164" s="120">
        <v>2021</v>
      </c>
      <c r="AN164" s="668"/>
      <c r="AO164" s="669"/>
      <c r="AP164" s="669"/>
      <c r="AQ164" s="670"/>
      <c r="AR164" s="660"/>
      <c r="AS164" s="661"/>
      <c r="AT164" s="661"/>
      <c r="AU164" s="661"/>
      <c r="AV164" s="661"/>
      <c r="AW164" s="662"/>
    </row>
    <row r="165" spans="2:49" ht="15.75" customHeight="1" x14ac:dyDescent="0.25">
      <c r="B165" s="648" t="s">
        <v>42</v>
      </c>
      <c r="C165" s="649"/>
      <c r="D165" s="639" t="s">
        <v>109</v>
      </c>
      <c r="E165" s="640"/>
      <c r="F165" s="640"/>
      <c r="G165" s="640"/>
      <c r="H165" s="640"/>
      <c r="I165" s="640"/>
      <c r="J165" s="641"/>
      <c r="K165" s="642" t="s">
        <v>44</v>
      </c>
      <c r="L165" s="643"/>
      <c r="M165" s="611">
        <v>180</v>
      </c>
      <c r="N165" s="610"/>
      <c r="O165" s="610"/>
      <c r="P165" s="644"/>
      <c r="S165" s="648" t="s">
        <v>42</v>
      </c>
      <c r="T165" s="649"/>
      <c r="U165" s="639"/>
      <c r="V165" s="640"/>
      <c r="W165" s="640"/>
      <c r="X165" s="640"/>
      <c r="Y165" s="640"/>
      <c r="Z165" s="640"/>
      <c r="AA165" s="641"/>
      <c r="AB165" s="642" t="s">
        <v>44</v>
      </c>
      <c r="AC165" s="643"/>
      <c r="AD165" s="611"/>
      <c r="AE165" s="610"/>
      <c r="AF165" s="610"/>
      <c r="AG165" s="644"/>
      <c r="AI165" s="648" t="s">
        <v>42</v>
      </c>
      <c r="AJ165" s="649"/>
      <c r="AK165" s="639">
        <v>0.27777777777777779</v>
      </c>
      <c r="AL165" s="640"/>
      <c r="AM165" s="640"/>
      <c r="AN165" s="640"/>
      <c r="AO165" s="640"/>
      <c r="AP165" s="640"/>
      <c r="AQ165" s="641"/>
      <c r="AR165" s="642" t="s">
        <v>44</v>
      </c>
      <c r="AS165" s="643"/>
      <c r="AT165" s="611">
        <v>200</v>
      </c>
      <c r="AU165" s="610"/>
      <c r="AV165" s="610"/>
      <c r="AW165" s="644"/>
    </row>
    <row r="166" spans="2:49" ht="15.75" customHeight="1" x14ac:dyDescent="0.25">
      <c r="B166" s="604" t="s">
        <v>45</v>
      </c>
      <c r="C166" s="605"/>
      <c r="D166" s="645" t="s">
        <v>110</v>
      </c>
      <c r="E166" s="606"/>
      <c r="F166" s="606"/>
      <c r="G166" s="606"/>
      <c r="H166" s="606"/>
      <c r="I166" s="606"/>
      <c r="J166" s="613"/>
      <c r="K166" s="646" t="s">
        <v>47</v>
      </c>
      <c r="L166" s="646"/>
      <c r="M166" s="646"/>
      <c r="N166" s="646"/>
      <c r="O166" s="646"/>
      <c r="P166" s="647"/>
      <c r="S166" s="604" t="s">
        <v>45</v>
      </c>
      <c r="T166" s="605"/>
      <c r="U166" s="645"/>
      <c r="V166" s="606"/>
      <c r="W166" s="606"/>
      <c r="X166" s="606"/>
      <c r="Y166" s="606"/>
      <c r="Z166" s="606"/>
      <c r="AA166" s="613"/>
      <c r="AB166" s="646" t="s">
        <v>47</v>
      </c>
      <c r="AC166" s="646"/>
      <c r="AD166" s="646"/>
      <c r="AE166" s="646"/>
      <c r="AF166" s="646"/>
      <c r="AG166" s="647"/>
      <c r="AI166" s="604" t="s">
        <v>45</v>
      </c>
      <c r="AJ166" s="605"/>
      <c r="AK166" s="645" t="s">
        <v>97</v>
      </c>
      <c r="AL166" s="606"/>
      <c r="AM166" s="606"/>
      <c r="AN166" s="606"/>
      <c r="AO166" s="606"/>
      <c r="AP166" s="606"/>
      <c r="AQ166" s="613"/>
      <c r="AR166" s="646" t="s">
        <v>47</v>
      </c>
      <c r="AS166" s="646"/>
      <c r="AT166" s="646"/>
      <c r="AU166" s="646"/>
      <c r="AV166" s="646"/>
      <c r="AW166" s="647"/>
    </row>
    <row r="167" spans="2:49" ht="15.75" x14ac:dyDescent="0.25">
      <c r="B167" s="637" t="s">
        <v>48</v>
      </c>
      <c r="C167" s="638"/>
      <c r="D167" s="606">
        <v>28.6</v>
      </c>
      <c r="E167" s="606"/>
      <c r="F167" s="606"/>
      <c r="G167" s="606"/>
      <c r="H167" s="606"/>
      <c r="I167" s="606"/>
      <c r="J167" s="613"/>
      <c r="K167" s="635" t="s">
        <v>49</v>
      </c>
      <c r="L167" s="636"/>
      <c r="M167" s="590"/>
      <c r="N167" s="591"/>
      <c r="O167" s="591"/>
      <c r="P167" s="631"/>
      <c r="S167" s="637" t="s">
        <v>48</v>
      </c>
      <c r="T167" s="638"/>
      <c r="U167" s="606"/>
      <c r="V167" s="606"/>
      <c r="W167" s="606"/>
      <c r="X167" s="606"/>
      <c r="Y167" s="606"/>
      <c r="Z167" s="606"/>
      <c r="AA167" s="613"/>
      <c r="AB167" s="635" t="s">
        <v>49</v>
      </c>
      <c r="AC167" s="636"/>
      <c r="AD167" s="590"/>
      <c r="AE167" s="591"/>
      <c r="AF167" s="591"/>
      <c r="AG167" s="631"/>
      <c r="AI167" s="637" t="s">
        <v>48</v>
      </c>
      <c r="AJ167" s="638"/>
      <c r="AK167" s="606">
        <v>13.28</v>
      </c>
      <c r="AL167" s="606"/>
      <c r="AM167" s="606"/>
      <c r="AN167" s="606"/>
      <c r="AO167" s="606"/>
      <c r="AP167" s="606"/>
      <c r="AQ167" s="613"/>
      <c r="AR167" s="635" t="s">
        <v>49</v>
      </c>
      <c r="AS167" s="636"/>
      <c r="AT167" s="590"/>
      <c r="AU167" s="591"/>
      <c r="AV167" s="591"/>
      <c r="AW167" s="631"/>
    </row>
    <row r="168" spans="2:49" ht="15.75" customHeight="1" x14ac:dyDescent="0.25">
      <c r="B168" s="604" t="s">
        <v>50</v>
      </c>
      <c r="C168" s="605"/>
      <c r="D168" s="590">
        <f>35+31</f>
        <v>66</v>
      </c>
      <c r="E168" s="591"/>
      <c r="F168" s="591"/>
      <c r="G168" s="591"/>
      <c r="H168" s="591"/>
      <c r="I168" s="591"/>
      <c r="J168" s="631"/>
      <c r="K168" s="635" t="s">
        <v>51</v>
      </c>
      <c r="L168" s="636"/>
      <c r="M168" s="590"/>
      <c r="N168" s="591"/>
      <c r="O168" s="591"/>
      <c r="P168" s="631"/>
      <c r="S168" s="604" t="s">
        <v>50</v>
      </c>
      <c r="T168" s="605"/>
      <c r="U168" s="590"/>
      <c r="V168" s="591"/>
      <c r="W168" s="591"/>
      <c r="X168" s="591"/>
      <c r="Y168" s="591"/>
      <c r="Z168" s="591"/>
      <c r="AA168" s="631"/>
      <c r="AB168" s="635" t="s">
        <v>51</v>
      </c>
      <c r="AC168" s="636"/>
      <c r="AD168" s="590"/>
      <c r="AE168" s="591"/>
      <c r="AF168" s="591"/>
      <c r="AG168" s="631"/>
      <c r="AI168" s="604" t="s">
        <v>50</v>
      </c>
      <c r="AJ168" s="605"/>
      <c r="AK168" s="606">
        <v>3</v>
      </c>
      <c r="AL168" s="606"/>
      <c r="AM168" s="606"/>
      <c r="AN168" s="606"/>
      <c r="AO168" s="606"/>
      <c r="AP168" s="606"/>
      <c r="AQ168" s="613"/>
      <c r="AR168" s="635" t="s">
        <v>51</v>
      </c>
      <c r="AS168" s="636"/>
      <c r="AT168" s="590"/>
      <c r="AU168" s="591"/>
      <c r="AV168" s="591"/>
      <c r="AW168" s="631"/>
    </row>
    <row r="169" spans="2:49" ht="15.75" customHeight="1" x14ac:dyDescent="0.25">
      <c r="B169" s="604" t="s">
        <v>52</v>
      </c>
      <c r="C169" s="605"/>
      <c r="D169" s="590">
        <f>410+42</f>
        <v>452</v>
      </c>
      <c r="E169" s="591"/>
      <c r="F169" s="591"/>
      <c r="G169" s="591"/>
      <c r="H169" s="591"/>
      <c r="I169" s="591"/>
      <c r="J169" s="631"/>
      <c r="K169" s="614" t="s">
        <v>53</v>
      </c>
      <c r="L169" s="615"/>
      <c r="M169" s="590">
        <v>201</v>
      </c>
      <c r="N169" s="591"/>
      <c r="O169" s="591"/>
      <c r="P169" s="631"/>
      <c r="S169" s="604" t="s">
        <v>52</v>
      </c>
      <c r="T169" s="605"/>
      <c r="U169" s="590"/>
      <c r="V169" s="591"/>
      <c r="W169" s="591"/>
      <c r="X169" s="591"/>
      <c r="Y169" s="591"/>
      <c r="Z169" s="591"/>
      <c r="AA169" s="631"/>
      <c r="AB169" s="614" t="s">
        <v>53</v>
      </c>
      <c r="AC169" s="615"/>
      <c r="AD169" s="590"/>
      <c r="AE169" s="591"/>
      <c r="AF169" s="591"/>
      <c r="AG169" s="631"/>
      <c r="AI169" s="604" t="s">
        <v>52</v>
      </c>
      <c r="AJ169" s="605"/>
      <c r="AK169" s="606">
        <v>273</v>
      </c>
      <c r="AL169" s="606"/>
      <c r="AM169" s="606"/>
      <c r="AN169" s="606"/>
      <c r="AO169" s="606"/>
      <c r="AP169" s="606"/>
      <c r="AQ169" s="613"/>
      <c r="AR169" s="614" t="s">
        <v>53</v>
      </c>
      <c r="AS169" s="615"/>
      <c r="AT169" s="590"/>
      <c r="AU169" s="591"/>
      <c r="AV169" s="591"/>
      <c r="AW169" s="631"/>
    </row>
    <row r="170" spans="2:49" ht="31.5" customHeight="1" thickBot="1" x14ac:dyDescent="0.3">
      <c r="B170" s="604" t="s">
        <v>54</v>
      </c>
      <c r="C170" s="605"/>
      <c r="D170" s="590">
        <f>119+83</f>
        <v>202</v>
      </c>
      <c r="E170" s="591"/>
      <c r="F170" s="591"/>
      <c r="G170" s="591"/>
      <c r="H170" s="591"/>
      <c r="I170" s="591"/>
      <c r="J170" s="631"/>
      <c r="K170" s="614" t="s">
        <v>55</v>
      </c>
      <c r="L170" s="615"/>
      <c r="M170" s="632">
        <v>28</v>
      </c>
      <c r="N170" s="633"/>
      <c r="O170" s="633"/>
      <c r="P170" s="634"/>
      <c r="S170" s="604" t="s">
        <v>54</v>
      </c>
      <c r="T170" s="605"/>
      <c r="U170" s="590"/>
      <c r="V170" s="591"/>
      <c r="W170" s="591"/>
      <c r="X170" s="591"/>
      <c r="Y170" s="591"/>
      <c r="Z170" s="591"/>
      <c r="AA170" s="631"/>
      <c r="AB170" s="614" t="s">
        <v>55</v>
      </c>
      <c r="AC170" s="615"/>
      <c r="AD170" s="632"/>
      <c r="AE170" s="633"/>
      <c r="AF170" s="633"/>
      <c r="AG170" s="634"/>
      <c r="AI170" s="604" t="s">
        <v>54</v>
      </c>
      <c r="AJ170" s="605"/>
      <c r="AK170" s="606">
        <v>310</v>
      </c>
      <c r="AL170" s="606"/>
      <c r="AM170" s="606"/>
      <c r="AN170" s="606"/>
      <c r="AO170" s="606"/>
      <c r="AP170" s="606"/>
      <c r="AQ170" s="613"/>
      <c r="AR170" s="614" t="s">
        <v>55</v>
      </c>
      <c r="AS170" s="615"/>
      <c r="AT170" s="632">
        <v>186</v>
      </c>
      <c r="AU170" s="633"/>
      <c r="AV170" s="633"/>
      <c r="AW170" s="634"/>
    </row>
    <row r="171" spans="2:49" ht="33" customHeight="1" thickBot="1" x14ac:dyDescent="0.3">
      <c r="B171" s="604" t="s">
        <v>56</v>
      </c>
      <c r="C171" s="605"/>
      <c r="D171" s="590">
        <f>121+103</f>
        <v>224</v>
      </c>
      <c r="E171" s="591"/>
      <c r="F171" s="591"/>
      <c r="G171" s="591"/>
      <c r="H171" s="591"/>
      <c r="I171" s="591"/>
      <c r="J171" s="631"/>
      <c r="K171" s="614" t="s">
        <v>57</v>
      </c>
      <c r="L171" s="615"/>
      <c r="M171" s="624"/>
      <c r="N171" s="625"/>
      <c r="O171" s="625"/>
      <c r="P171" s="626"/>
      <c r="S171" s="604" t="s">
        <v>56</v>
      </c>
      <c r="T171" s="605"/>
      <c r="U171" s="590"/>
      <c r="V171" s="591"/>
      <c r="W171" s="591"/>
      <c r="X171" s="591"/>
      <c r="Y171" s="591"/>
      <c r="Z171" s="591"/>
      <c r="AA171" s="631"/>
      <c r="AB171" s="614" t="s">
        <v>57</v>
      </c>
      <c r="AC171" s="615"/>
      <c r="AD171" s="624"/>
      <c r="AE171" s="625"/>
      <c r="AF171" s="625"/>
      <c r="AG171" s="626"/>
      <c r="AI171" s="604" t="s">
        <v>56</v>
      </c>
      <c r="AJ171" s="605"/>
      <c r="AK171" s="606">
        <v>112</v>
      </c>
      <c r="AL171" s="606"/>
      <c r="AM171" s="606"/>
      <c r="AN171" s="606"/>
      <c r="AO171" s="606"/>
      <c r="AP171" s="606"/>
      <c r="AQ171" s="613"/>
      <c r="AR171" s="614" t="s">
        <v>57</v>
      </c>
      <c r="AS171" s="615"/>
      <c r="AT171" s="616"/>
      <c r="AU171" s="617"/>
      <c r="AV171" s="617"/>
      <c r="AW171" s="618"/>
    </row>
    <row r="172" spans="2:49" ht="21.75" thickBot="1" x14ac:dyDescent="0.3">
      <c r="B172" s="619" t="s">
        <v>58</v>
      </c>
      <c r="C172" s="620"/>
      <c r="D172" s="621">
        <f>SUM(D168:D171)</f>
        <v>944</v>
      </c>
      <c r="E172" s="622"/>
      <c r="F172" s="622"/>
      <c r="G172" s="622"/>
      <c r="H172" s="622"/>
      <c r="I172" s="622"/>
      <c r="J172" s="623"/>
      <c r="K172" s="121" t="s">
        <v>59</v>
      </c>
      <c r="L172" s="122"/>
      <c r="M172" s="624">
        <f>SUM(M169:M171)</f>
        <v>229</v>
      </c>
      <c r="N172" s="625"/>
      <c r="O172" s="625"/>
      <c r="P172" s="626"/>
      <c r="S172" s="619" t="s">
        <v>58</v>
      </c>
      <c r="T172" s="620"/>
      <c r="U172" s="621">
        <f>SUM(U169:U171)</f>
        <v>0</v>
      </c>
      <c r="V172" s="622"/>
      <c r="W172" s="622"/>
      <c r="X172" s="622"/>
      <c r="Y172" s="622"/>
      <c r="Z172" s="622"/>
      <c r="AA172" s="623"/>
      <c r="AB172" s="121" t="s">
        <v>59</v>
      </c>
      <c r="AC172" s="122"/>
      <c r="AD172" s="624">
        <f>SUM(AD170:AD171)</f>
        <v>0</v>
      </c>
      <c r="AE172" s="625"/>
      <c r="AF172" s="625"/>
      <c r="AG172" s="626"/>
      <c r="AI172" s="627" t="s">
        <v>58</v>
      </c>
      <c r="AJ172" s="628"/>
      <c r="AK172" s="629">
        <f>SUM(AK168:AK171)</f>
        <v>698</v>
      </c>
      <c r="AL172" s="629"/>
      <c r="AM172" s="629"/>
      <c r="AN172" s="629"/>
      <c r="AO172" s="629"/>
      <c r="AP172" s="629"/>
      <c r="AQ172" s="630"/>
      <c r="AR172" s="137" t="s">
        <v>59</v>
      </c>
      <c r="AS172" s="215"/>
      <c r="AT172" s="590">
        <f>SUM(AT170:AT171)</f>
        <v>186</v>
      </c>
      <c r="AU172" s="591"/>
      <c r="AV172" s="591"/>
      <c r="AW172" s="592"/>
    </row>
    <row r="173" spans="2:49" ht="15.75" customHeight="1" x14ac:dyDescent="0.25">
      <c r="B173" s="607" t="s">
        <v>108</v>
      </c>
      <c r="C173" s="608"/>
      <c r="D173" s="611">
        <f>17+23+14+3+39</f>
        <v>96</v>
      </c>
      <c r="E173" s="610"/>
      <c r="F173" s="610"/>
      <c r="G173" s="610"/>
      <c r="H173" s="610"/>
      <c r="I173" s="610"/>
      <c r="J173" s="612"/>
      <c r="K173" s="123" t="s">
        <v>62</v>
      </c>
      <c r="L173" s="124"/>
      <c r="M173" s="125"/>
      <c r="N173" s="125"/>
      <c r="O173" s="125"/>
      <c r="P173" s="126"/>
      <c r="S173" s="604" t="s">
        <v>99</v>
      </c>
      <c r="T173" s="605"/>
      <c r="U173" s="606"/>
      <c r="V173" s="606"/>
      <c r="W173" s="606"/>
      <c r="X173" s="606"/>
      <c r="Y173" s="606"/>
      <c r="Z173" s="606"/>
      <c r="AA173" s="590"/>
      <c r="AB173" s="216"/>
      <c r="AC173" s="217"/>
      <c r="AD173" s="207"/>
      <c r="AE173" s="207"/>
      <c r="AF173" s="207"/>
      <c r="AG173" s="218"/>
      <c r="AI173" s="604" t="s">
        <v>99</v>
      </c>
      <c r="AJ173" s="605"/>
      <c r="AK173" s="606"/>
      <c r="AL173" s="606"/>
      <c r="AM173" s="606"/>
      <c r="AN173" s="606"/>
      <c r="AO173" s="606"/>
      <c r="AP173" s="606"/>
      <c r="AQ173" s="590"/>
      <c r="AR173" s="216"/>
      <c r="AS173" s="217"/>
      <c r="AT173" s="207"/>
      <c r="AU173" s="207"/>
      <c r="AV173" s="207"/>
      <c r="AW173" s="218"/>
    </row>
    <row r="174" spans="2:49" ht="15.75" customHeight="1" x14ac:dyDescent="0.25">
      <c r="B174" s="588" t="s">
        <v>63</v>
      </c>
      <c r="C174" s="589"/>
      <c r="D174" s="590">
        <v>2.9</v>
      </c>
      <c r="E174" s="591"/>
      <c r="F174" s="591"/>
      <c r="G174" s="591"/>
      <c r="H174" s="591"/>
      <c r="I174" s="591"/>
      <c r="J174" s="592"/>
      <c r="K174" s="593"/>
      <c r="L174" s="594"/>
      <c r="M174" s="594"/>
      <c r="N174" s="594"/>
      <c r="O174" s="594"/>
      <c r="P174" s="595"/>
      <c r="S174" s="604" t="s">
        <v>79</v>
      </c>
      <c r="T174" s="605"/>
      <c r="U174" s="606">
        <v>0</v>
      </c>
      <c r="V174" s="606"/>
      <c r="W174" s="606"/>
      <c r="X174" s="606"/>
      <c r="Y174" s="606"/>
      <c r="Z174" s="606"/>
      <c r="AA174" s="590"/>
      <c r="AB174" s="219"/>
      <c r="AC174" s="213"/>
      <c r="AD174" s="214"/>
      <c r="AE174" s="214"/>
      <c r="AF174" s="214"/>
      <c r="AG174" s="220"/>
      <c r="AI174" s="604" t="s">
        <v>79</v>
      </c>
      <c r="AJ174" s="605"/>
      <c r="AK174" s="606">
        <v>0</v>
      </c>
      <c r="AL174" s="606"/>
      <c r="AM174" s="606"/>
      <c r="AN174" s="606"/>
      <c r="AO174" s="606"/>
      <c r="AP174" s="606"/>
      <c r="AQ174" s="590"/>
      <c r="AR174" s="219"/>
      <c r="AS174" s="213"/>
      <c r="AT174" s="214"/>
      <c r="AU174" s="214"/>
      <c r="AV174" s="214"/>
      <c r="AW174" s="220"/>
    </row>
    <row r="175" spans="2:49" ht="15.75" customHeight="1" thickBot="1" x14ac:dyDescent="0.3">
      <c r="B175" s="599" t="s">
        <v>65</v>
      </c>
      <c r="C175" s="600"/>
      <c r="D175" s="601">
        <v>2.9</v>
      </c>
      <c r="E175" s="602"/>
      <c r="F175" s="602"/>
      <c r="G175" s="602"/>
      <c r="H175" s="602"/>
      <c r="I175" s="602"/>
      <c r="J175" s="603"/>
      <c r="K175" s="596"/>
      <c r="L175" s="597"/>
      <c r="M175" s="597"/>
      <c r="N175" s="597"/>
      <c r="O175" s="597"/>
      <c r="P175" s="598"/>
      <c r="S175" s="604" t="s">
        <v>100</v>
      </c>
      <c r="T175" s="605"/>
      <c r="U175" s="606">
        <v>0</v>
      </c>
      <c r="V175" s="606"/>
      <c r="W175" s="606"/>
      <c r="X175" s="606"/>
      <c r="Y175" s="606"/>
      <c r="Z175" s="606"/>
      <c r="AA175" s="590"/>
      <c r="AB175" s="219"/>
      <c r="AC175" s="213"/>
      <c r="AD175" s="214"/>
      <c r="AE175" s="214"/>
      <c r="AF175" s="214"/>
      <c r="AG175" s="220"/>
      <c r="AI175" s="604" t="s">
        <v>100</v>
      </c>
      <c r="AJ175" s="605"/>
      <c r="AK175" s="606">
        <v>0</v>
      </c>
      <c r="AL175" s="606"/>
      <c r="AM175" s="606"/>
      <c r="AN175" s="606"/>
      <c r="AO175" s="606"/>
      <c r="AP175" s="606"/>
      <c r="AQ175" s="590"/>
      <c r="AR175" s="219"/>
      <c r="AS175" s="213"/>
      <c r="AT175" s="214"/>
      <c r="AU175" s="214"/>
      <c r="AV175" s="214"/>
      <c r="AW175" s="220"/>
    </row>
    <row r="176" spans="2:49" ht="15.75" x14ac:dyDescent="0.25">
      <c r="B176" s="607" t="s">
        <v>60</v>
      </c>
      <c r="C176" s="608"/>
      <c r="D176" s="609"/>
      <c r="E176" s="610"/>
      <c r="F176" s="610"/>
      <c r="G176" s="610"/>
      <c r="H176" s="610"/>
      <c r="I176" s="610"/>
      <c r="J176" s="610"/>
      <c r="K176" s="136" t="s">
        <v>62</v>
      </c>
      <c r="L176" s="198"/>
      <c r="M176" s="199"/>
      <c r="N176" s="199"/>
      <c r="O176" s="199"/>
      <c r="P176" s="197"/>
      <c r="S176" s="607" t="s">
        <v>60</v>
      </c>
      <c r="T176" s="608"/>
      <c r="U176" s="609"/>
      <c r="V176" s="610"/>
      <c r="W176" s="610"/>
      <c r="X176" s="610"/>
      <c r="Y176" s="610"/>
      <c r="Z176" s="610"/>
      <c r="AA176" s="610"/>
      <c r="AB176" s="136" t="s">
        <v>62</v>
      </c>
      <c r="AC176" s="198"/>
      <c r="AD176" s="199"/>
      <c r="AE176" s="199"/>
      <c r="AF176" s="199"/>
      <c r="AG176" s="197"/>
      <c r="AI176" s="607" t="s">
        <v>60</v>
      </c>
      <c r="AJ176" s="608"/>
      <c r="AK176" s="609"/>
      <c r="AL176" s="610"/>
      <c r="AM176" s="610"/>
      <c r="AN176" s="610"/>
      <c r="AO176" s="610"/>
      <c r="AP176" s="610"/>
      <c r="AQ176" s="610"/>
      <c r="AR176" s="136" t="s">
        <v>62</v>
      </c>
      <c r="AS176" s="198"/>
      <c r="AT176" s="199"/>
      <c r="AU176" s="199"/>
      <c r="AV176" s="199"/>
      <c r="AW176" s="197"/>
    </row>
    <row r="177" spans="2:49" ht="15.75" x14ac:dyDescent="0.25">
      <c r="B177" s="588" t="s">
        <v>63</v>
      </c>
      <c r="C177" s="589"/>
      <c r="D177" s="590"/>
      <c r="E177" s="591"/>
      <c r="F177" s="591"/>
      <c r="G177" s="591"/>
      <c r="H177" s="591"/>
      <c r="I177" s="591"/>
      <c r="J177" s="592"/>
      <c r="K177" s="593"/>
      <c r="L177" s="594"/>
      <c r="M177" s="594"/>
      <c r="N177" s="594"/>
      <c r="O177" s="594"/>
      <c r="P177" s="595"/>
      <c r="S177" s="588" t="s">
        <v>63</v>
      </c>
      <c r="T177" s="589"/>
      <c r="U177" s="590"/>
      <c r="V177" s="591"/>
      <c r="W177" s="591"/>
      <c r="X177" s="591"/>
      <c r="Y177" s="591"/>
      <c r="Z177" s="591"/>
      <c r="AA177" s="592"/>
      <c r="AB177" s="593"/>
      <c r="AC177" s="594"/>
      <c r="AD177" s="594"/>
      <c r="AE177" s="594"/>
      <c r="AF177" s="594"/>
      <c r="AG177" s="595"/>
      <c r="AI177" s="588" t="s">
        <v>63</v>
      </c>
      <c r="AJ177" s="589"/>
      <c r="AK177" s="590"/>
      <c r="AL177" s="591"/>
      <c r="AM177" s="591"/>
      <c r="AN177" s="591"/>
      <c r="AO177" s="591"/>
      <c r="AP177" s="591"/>
      <c r="AQ177" s="592"/>
      <c r="AR177" s="593" t="s">
        <v>98</v>
      </c>
      <c r="AS177" s="594"/>
      <c r="AT177" s="594"/>
      <c r="AU177" s="594"/>
      <c r="AV177" s="594"/>
      <c r="AW177" s="595"/>
    </row>
    <row r="178" spans="2:49" ht="16.5" thickBot="1" x14ac:dyDescent="0.3">
      <c r="B178" s="599" t="s">
        <v>65</v>
      </c>
      <c r="C178" s="600"/>
      <c r="D178" s="601"/>
      <c r="E178" s="602"/>
      <c r="F178" s="602"/>
      <c r="G178" s="602"/>
      <c r="H178" s="602"/>
      <c r="I178" s="602"/>
      <c r="J178" s="603"/>
      <c r="K178" s="596"/>
      <c r="L178" s="597"/>
      <c r="M178" s="597"/>
      <c r="N178" s="597"/>
      <c r="O178" s="597"/>
      <c r="P178" s="598"/>
      <c r="S178" s="599" t="s">
        <v>65</v>
      </c>
      <c r="T178" s="600"/>
      <c r="U178" s="601"/>
      <c r="V178" s="602"/>
      <c r="W178" s="602"/>
      <c r="X178" s="602"/>
      <c r="Y178" s="602"/>
      <c r="Z178" s="602"/>
      <c r="AA178" s="603"/>
      <c r="AB178" s="596"/>
      <c r="AC178" s="597"/>
      <c r="AD178" s="597"/>
      <c r="AE178" s="597"/>
      <c r="AF178" s="597"/>
      <c r="AG178" s="598"/>
      <c r="AI178" s="599" t="s">
        <v>65</v>
      </c>
      <c r="AJ178" s="600"/>
      <c r="AK178" s="601"/>
      <c r="AL178" s="602"/>
      <c r="AM178" s="602"/>
      <c r="AN178" s="602"/>
      <c r="AO178" s="602"/>
      <c r="AP178" s="602"/>
      <c r="AQ178" s="603"/>
      <c r="AR178" s="596"/>
      <c r="AS178" s="597"/>
      <c r="AT178" s="597"/>
      <c r="AU178" s="597"/>
      <c r="AV178" s="597"/>
      <c r="AW178" s="598"/>
    </row>
  </sheetData>
  <mergeCells count="1044">
    <mergeCell ref="AR133:AS133"/>
    <mergeCell ref="AT133:AW133"/>
    <mergeCell ref="AI134:AJ134"/>
    <mergeCell ref="AK134:AQ134"/>
    <mergeCell ref="AR134:AS134"/>
    <mergeCell ref="AT134:AW134"/>
    <mergeCell ref="AI135:AJ135"/>
    <mergeCell ref="AK135:AQ135"/>
    <mergeCell ref="AR135:AS135"/>
    <mergeCell ref="AT135:AW135"/>
    <mergeCell ref="AI136:AJ136"/>
    <mergeCell ref="AK136:AQ136"/>
    <mergeCell ref="AT136:AW136"/>
    <mergeCell ref="AI140:AJ140"/>
    <mergeCell ref="AK140:AQ140"/>
    <mergeCell ref="AI141:AJ141"/>
    <mergeCell ref="AK141:AQ141"/>
    <mergeCell ref="AR141:AW142"/>
    <mergeCell ref="AI142:AJ142"/>
    <mergeCell ref="AK142:AQ142"/>
    <mergeCell ref="AI137:AJ137"/>
    <mergeCell ref="AK137:AQ137"/>
    <mergeCell ref="AI138:AJ138"/>
    <mergeCell ref="AK138:AQ138"/>
    <mergeCell ref="AI139:AJ139"/>
    <mergeCell ref="AK139:AQ139"/>
    <mergeCell ref="B141:C141"/>
    <mergeCell ref="D141:J141"/>
    <mergeCell ref="K141:P142"/>
    <mergeCell ref="S141:T141"/>
    <mergeCell ref="U141:AA141"/>
    <mergeCell ref="AB141:AG142"/>
    <mergeCell ref="B142:C142"/>
    <mergeCell ref="D142:J142"/>
    <mergeCell ref="S142:T142"/>
    <mergeCell ref="U142:AA142"/>
    <mergeCell ref="AI126:AQ126"/>
    <mergeCell ref="AR126:AW128"/>
    <mergeCell ref="AI127:AJ127"/>
    <mergeCell ref="AN127:AQ128"/>
    <mergeCell ref="AI128:AJ128"/>
    <mergeCell ref="AI129:AJ129"/>
    <mergeCell ref="AK129:AQ129"/>
    <mergeCell ref="AR129:AS129"/>
    <mergeCell ref="AT129:AW129"/>
    <mergeCell ref="AI130:AJ130"/>
    <mergeCell ref="AK130:AQ130"/>
    <mergeCell ref="AR130:AW130"/>
    <mergeCell ref="AI131:AJ131"/>
    <mergeCell ref="AK131:AQ131"/>
    <mergeCell ref="AR131:AS131"/>
    <mergeCell ref="AT131:AW131"/>
    <mergeCell ref="AI132:AJ132"/>
    <mergeCell ref="AK132:AQ132"/>
    <mergeCell ref="AR132:AS132"/>
    <mergeCell ref="AT132:AW132"/>
    <mergeCell ref="AI133:AJ133"/>
    <mergeCell ref="AK133:AQ133"/>
    <mergeCell ref="B136:C136"/>
    <mergeCell ref="D136:J136"/>
    <mergeCell ref="M136:P136"/>
    <mergeCell ref="S136:T136"/>
    <mergeCell ref="U136:AA136"/>
    <mergeCell ref="AD136:AG136"/>
    <mergeCell ref="B140:C140"/>
    <mergeCell ref="D140:J140"/>
    <mergeCell ref="S140:T140"/>
    <mergeCell ref="U140:AA140"/>
    <mergeCell ref="S137:T137"/>
    <mergeCell ref="U137:AA137"/>
    <mergeCell ref="S138:T138"/>
    <mergeCell ref="U138:AA138"/>
    <mergeCell ref="S139:T139"/>
    <mergeCell ref="U139:AA139"/>
    <mergeCell ref="B137:C137"/>
    <mergeCell ref="D137:J137"/>
    <mergeCell ref="B138:C138"/>
    <mergeCell ref="D138:J138"/>
    <mergeCell ref="B139:C139"/>
    <mergeCell ref="D139:J139"/>
    <mergeCell ref="B133:C133"/>
    <mergeCell ref="D133:J133"/>
    <mergeCell ref="K133:L133"/>
    <mergeCell ref="M133:P133"/>
    <mergeCell ref="S133:T133"/>
    <mergeCell ref="U133:AA133"/>
    <mergeCell ref="AB133:AC133"/>
    <mergeCell ref="AD133:AG133"/>
    <mergeCell ref="B134:C134"/>
    <mergeCell ref="D134:J134"/>
    <mergeCell ref="K134:L134"/>
    <mergeCell ref="M134:P134"/>
    <mergeCell ref="S134:T134"/>
    <mergeCell ref="U134:AA134"/>
    <mergeCell ref="AB134:AC134"/>
    <mergeCell ref="AD134:AG134"/>
    <mergeCell ref="B135:C135"/>
    <mergeCell ref="D135:J135"/>
    <mergeCell ref="K135:L135"/>
    <mergeCell ref="M135:P135"/>
    <mergeCell ref="S135:T135"/>
    <mergeCell ref="U135:AA135"/>
    <mergeCell ref="AB135:AC135"/>
    <mergeCell ref="AD135:AG135"/>
    <mergeCell ref="U130:AA130"/>
    <mergeCell ref="AB130:AG130"/>
    <mergeCell ref="B131:C131"/>
    <mergeCell ref="D131:J131"/>
    <mergeCell ref="K131:L131"/>
    <mergeCell ref="M131:P131"/>
    <mergeCell ref="S131:T131"/>
    <mergeCell ref="U131:AA131"/>
    <mergeCell ref="AB131:AC131"/>
    <mergeCell ref="AD131:AG131"/>
    <mergeCell ref="B132:C132"/>
    <mergeCell ref="D132:J132"/>
    <mergeCell ref="K132:L132"/>
    <mergeCell ref="M132:P132"/>
    <mergeCell ref="S132:T132"/>
    <mergeCell ref="U132:AA132"/>
    <mergeCell ref="AB132:AC132"/>
    <mergeCell ref="AD132:AG132"/>
    <mergeCell ref="B123:C123"/>
    <mergeCell ref="D123:J123"/>
    <mergeCell ref="K123:P124"/>
    <mergeCell ref="S123:T123"/>
    <mergeCell ref="U123:AA123"/>
    <mergeCell ref="B129:C129"/>
    <mergeCell ref="D129:J129"/>
    <mergeCell ref="K129:L129"/>
    <mergeCell ref="M129:P129"/>
    <mergeCell ref="S129:T129"/>
    <mergeCell ref="U129:AA129"/>
    <mergeCell ref="AB129:AC129"/>
    <mergeCell ref="AD129:AG129"/>
    <mergeCell ref="B130:C130"/>
    <mergeCell ref="AB123:AG124"/>
    <mergeCell ref="B124:C124"/>
    <mergeCell ref="D124:J124"/>
    <mergeCell ref="S124:T124"/>
    <mergeCell ref="U124:AA124"/>
    <mergeCell ref="B126:J126"/>
    <mergeCell ref="K126:P128"/>
    <mergeCell ref="S126:AA126"/>
    <mergeCell ref="AB126:AG128"/>
    <mergeCell ref="B127:C127"/>
    <mergeCell ref="G127:J128"/>
    <mergeCell ref="S127:T127"/>
    <mergeCell ref="X127:AA128"/>
    <mergeCell ref="B128:C128"/>
    <mergeCell ref="S128:T128"/>
    <mergeCell ref="D130:J130"/>
    <mergeCell ref="K130:P130"/>
    <mergeCell ref="S130:T130"/>
    <mergeCell ref="B119:C119"/>
    <mergeCell ref="D119:J119"/>
    <mergeCell ref="K119:L119"/>
    <mergeCell ref="M119:P119"/>
    <mergeCell ref="S119:T119"/>
    <mergeCell ref="U119:AA119"/>
    <mergeCell ref="AB119:AC119"/>
    <mergeCell ref="AD119:AG119"/>
    <mergeCell ref="B120:C120"/>
    <mergeCell ref="D120:J120"/>
    <mergeCell ref="M120:P120"/>
    <mergeCell ref="S120:T120"/>
    <mergeCell ref="U120:AA120"/>
    <mergeCell ref="AD120:AG120"/>
    <mergeCell ref="B122:C122"/>
    <mergeCell ref="D122:J122"/>
    <mergeCell ref="S122:T122"/>
    <mergeCell ref="U122:AA122"/>
    <mergeCell ref="B116:C116"/>
    <mergeCell ref="D116:J116"/>
    <mergeCell ref="K116:L116"/>
    <mergeCell ref="M116:P116"/>
    <mergeCell ref="S116:T116"/>
    <mergeCell ref="U116:AA116"/>
    <mergeCell ref="AB116:AC116"/>
    <mergeCell ref="AD116:AG116"/>
    <mergeCell ref="B117:C117"/>
    <mergeCell ref="D117:J117"/>
    <mergeCell ref="K117:L117"/>
    <mergeCell ref="M117:P117"/>
    <mergeCell ref="S117:T117"/>
    <mergeCell ref="U117:AA117"/>
    <mergeCell ref="AB117:AC117"/>
    <mergeCell ref="AD117:AG117"/>
    <mergeCell ref="B118:C118"/>
    <mergeCell ref="D118:J118"/>
    <mergeCell ref="K118:L118"/>
    <mergeCell ref="M118:P118"/>
    <mergeCell ref="S118:T118"/>
    <mergeCell ref="U118:AA118"/>
    <mergeCell ref="AB118:AC118"/>
    <mergeCell ref="AD118:AG118"/>
    <mergeCell ref="K113:L113"/>
    <mergeCell ref="M113:P113"/>
    <mergeCell ref="S113:T113"/>
    <mergeCell ref="U113:AA113"/>
    <mergeCell ref="AB113:AC113"/>
    <mergeCell ref="AD113:AG113"/>
    <mergeCell ref="B114:C114"/>
    <mergeCell ref="D114:J114"/>
    <mergeCell ref="K114:P114"/>
    <mergeCell ref="S114:T114"/>
    <mergeCell ref="U114:AA114"/>
    <mergeCell ref="AB114:AG114"/>
    <mergeCell ref="B115:C115"/>
    <mergeCell ref="D115:J115"/>
    <mergeCell ref="K115:L115"/>
    <mergeCell ref="M115:P115"/>
    <mergeCell ref="S115:T115"/>
    <mergeCell ref="U115:AA115"/>
    <mergeCell ref="AB115:AC115"/>
    <mergeCell ref="AD115:AG115"/>
    <mergeCell ref="AY56:AZ56"/>
    <mergeCell ref="BA56:BG56"/>
    <mergeCell ref="BJ56:BM56"/>
    <mergeCell ref="AY57:AZ57"/>
    <mergeCell ref="BA57:BG57"/>
    <mergeCell ref="AY58:AZ58"/>
    <mergeCell ref="BA58:BG58"/>
    <mergeCell ref="BH58:BM59"/>
    <mergeCell ref="AY59:AZ59"/>
    <mergeCell ref="BA59:BG59"/>
    <mergeCell ref="B110:J110"/>
    <mergeCell ref="K110:P112"/>
    <mergeCell ref="S110:AA110"/>
    <mergeCell ref="AB110:AG112"/>
    <mergeCell ref="B111:C111"/>
    <mergeCell ref="G111:J112"/>
    <mergeCell ref="S111:T111"/>
    <mergeCell ref="X111:AA112"/>
    <mergeCell ref="B112:C112"/>
    <mergeCell ref="S112:T112"/>
    <mergeCell ref="AI58:AJ58"/>
    <mergeCell ref="AK58:AQ58"/>
    <mergeCell ref="AR58:AW59"/>
    <mergeCell ref="AI59:AJ59"/>
    <mergeCell ref="AK59:AQ59"/>
    <mergeCell ref="AI56:AJ56"/>
    <mergeCell ref="AK56:AQ56"/>
    <mergeCell ref="AT56:AW56"/>
    <mergeCell ref="AI57:AJ57"/>
    <mergeCell ref="AK57:AQ57"/>
    <mergeCell ref="S56:T56"/>
    <mergeCell ref="U56:AA56"/>
    <mergeCell ref="AY46:BG46"/>
    <mergeCell ref="BH46:BM48"/>
    <mergeCell ref="AY47:AZ47"/>
    <mergeCell ref="BD47:BG48"/>
    <mergeCell ref="AY48:AZ48"/>
    <mergeCell ref="AY49:AZ49"/>
    <mergeCell ref="BA49:BG49"/>
    <mergeCell ref="BH49:BI49"/>
    <mergeCell ref="BJ49:BM49"/>
    <mergeCell ref="AY50:AZ50"/>
    <mergeCell ref="BA50:BG50"/>
    <mergeCell ref="BH50:BM50"/>
    <mergeCell ref="AY51:AZ51"/>
    <mergeCell ref="BA51:BG51"/>
    <mergeCell ref="BH51:BI51"/>
    <mergeCell ref="BJ51:BM51"/>
    <mergeCell ref="AY52:AZ52"/>
    <mergeCell ref="BA52:BG52"/>
    <mergeCell ref="BH52:BI52"/>
    <mergeCell ref="BJ52:BM52"/>
    <mergeCell ref="AY53:AZ53"/>
    <mergeCell ref="BA53:BG53"/>
    <mergeCell ref="BH53:BI53"/>
    <mergeCell ref="BJ53:BM53"/>
    <mergeCell ref="AY54:AZ54"/>
    <mergeCell ref="BA54:BG54"/>
    <mergeCell ref="BH54:BI54"/>
    <mergeCell ref="AT52:AW52"/>
    <mergeCell ref="AI53:AJ53"/>
    <mergeCell ref="AK53:AQ53"/>
    <mergeCell ref="AR53:AS53"/>
    <mergeCell ref="AT53:AW53"/>
    <mergeCell ref="AI54:AJ54"/>
    <mergeCell ref="AK54:AQ54"/>
    <mergeCell ref="AR54:AS54"/>
    <mergeCell ref="AT54:AW54"/>
    <mergeCell ref="AI55:AJ55"/>
    <mergeCell ref="AK55:AQ55"/>
    <mergeCell ref="AR55:AS55"/>
    <mergeCell ref="AT55:AW55"/>
    <mergeCell ref="AI52:AJ52"/>
    <mergeCell ref="AK52:AQ52"/>
    <mergeCell ref="AR52:AS52"/>
    <mergeCell ref="BJ54:BM54"/>
    <mergeCell ref="AY55:AZ55"/>
    <mergeCell ref="BA55:BG55"/>
    <mergeCell ref="BH55:BI55"/>
    <mergeCell ref="BJ55:BM55"/>
    <mergeCell ref="AB56:AC56"/>
    <mergeCell ref="AD56:AG56"/>
    <mergeCell ref="S57:T57"/>
    <mergeCell ref="U57:AA57"/>
    <mergeCell ref="AD57:AG57"/>
    <mergeCell ref="S58:T58"/>
    <mergeCell ref="U58:AA58"/>
    <mergeCell ref="S59:T59"/>
    <mergeCell ref="U59:AA59"/>
    <mergeCell ref="S60:T60"/>
    <mergeCell ref="U60:AA60"/>
    <mergeCell ref="AI46:AQ46"/>
    <mergeCell ref="AR46:AW48"/>
    <mergeCell ref="AI47:AJ47"/>
    <mergeCell ref="AN47:AQ48"/>
    <mergeCell ref="AI48:AJ48"/>
    <mergeCell ref="AI49:AJ49"/>
    <mergeCell ref="AK49:AQ49"/>
    <mergeCell ref="AR49:AS49"/>
    <mergeCell ref="AT49:AW49"/>
    <mergeCell ref="AI50:AJ50"/>
    <mergeCell ref="AK50:AQ50"/>
    <mergeCell ref="AR50:AW50"/>
    <mergeCell ref="AI51:AJ51"/>
    <mergeCell ref="AK51:AQ51"/>
    <mergeCell ref="AR51:AS51"/>
    <mergeCell ref="AT51:AW51"/>
    <mergeCell ref="S51:T51"/>
    <mergeCell ref="U51:AA51"/>
    <mergeCell ref="AB51:AC51"/>
    <mergeCell ref="AD51:AG51"/>
    <mergeCell ref="S52:T52"/>
    <mergeCell ref="U52:AA52"/>
    <mergeCell ref="AB52:AC52"/>
    <mergeCell ref="AD52:AG52"/>
    <mergeCell ref="S53:T53"/>
    <mergeCell ref="U53:AA53"/>
    <mergeCell ref="S54:T54"/>
    <mergeCell ref="U54:AA54"/>
    <mergeCell ref="AB54:AC54"/>
    <mergeCell ref="AD54:AG54"/>
    <mergeCell ref="S55:T55"/>
    <mergeCell ref="U55:AA55"/>
    <mergeCell ref="AB55:AC55"/>
    <mergeCell ref="AD55:AG55"/>
    <mergeCell ref="S43:T43"/>
    <mergeCell ref="U43:AA43"/>
    <mergeCell ref="S44:T44"/>
    <mergeCell ref="U44:AA44"/>
    <mergeCell ref="AB44:AG45"/>
    <mergeCell ref="S45:T45"/>
    <mergeCell ref="U45:AA45"/>
    <mergeCell ref="S46:AA46"/>
    <mergeCell ref="AB46:AG48"/>
    <mergeCell ref="S47:T47"/>
    <mergeCell ref="X47:AA48"/>
    <mergeCell ref="S48:T48"/>
    <mergeCell ref="S49:T49"/>
    <mergeCell ref="U49:AA49"/>
    <mergeCell ref="AB49:AC49"/>
    <mergeCell ref="AD49:AG49"/>
    <mergeCell ref="S50:T50"/>
    <mergeCell ref="U50:AA50"/>
    <mergeCell ref="AB50:AG50"/>
    <mergeCell ref="S38:T38"/>
    <mergeCell ref="U38:AA38"/>
    <mergeCell ref="AB38:AC38"/>
    <mergeCell ref="AD38:AG38"/>
    <mergeCell ref="S39:T39"/>
    <mergeCell ref="U39:AA39"/>
    <mergeCell ref="AB39:AC39"/>
    <mergeCell ref="AD39:AG39"/>
    <mergeCell ref="S40:T40"/>
    <mergeCell ref="U40:AA40"/>
    <mergeCell ref="AB40:AC40"/>
    <mergeCell ref="AD40:AG40"/>
    <mergeCell ref="S41:T41"/>
    <mergeCell ref="U41:AA41"/>
    <mergeCell ref="AD41:AG41"/>
    <mergeCell ref="S42:T42"/>
    <mergeCell ref="U42:AA42"/>
    <mergeCell ref="S31:AA31"/>
    <mergeCell ref="AB31:AG33"/>
    <mergeCell ref="S32:T32"/>
    <mergeCell ref="X32:AA33"/>
    <mergeCell ref="S33:T33"/>
    <mergeCell ref="S34:T34"/>
    <mergeCell ref="U34:AA34"/>
    <mergeCell ref="AB34:AC34"/>
    <mergeCell ref="AD34:AG34"/>
    <mergeCell ref="S35:T35"/>
    <mergeCell ref="U35:AA35"/>
    <mergeCell ref="AB35:AG35"/>
    <mergeCell ref="S36:T36"/>
    <mergeCell ref="U36:AA36"/>
    <mergeCell ref="AB36:AC36"/>
    <mergeCell ref="AD36:AG36"/>
    <mergeCell ref="S37:T37"/>
    <mergeCell ref="U37:AA37"/>
    <mergeCell ref="AB37:AC37"/>
    <mergeCell ref="AD37:AG37"/>
    <mergeCell ref="AQ23:AR23"/>
    <mergeCell ref="AS23:AV23"/>
    <mergeCell ref="AH24:AI24"/>
    <mergeCell ref="AJ24:AP24"/>
    <mergeCell ref="AQ24:AR24"/>
    <mergeCell ref="AS24:AV24"/>
    <mergeCell ref="AH25:AI25"/>
    <mergeCell ref="AJ25:AP25"/>
    <mergeCell ref="AQ25:AR25"/>
    <mergeCell ref="AS25:AV25"/>
    <mergeCell ref="AH26:AI26"/>
    <mergeCell ref="AJ26:AP26"/>
    <mergeCell ref="AS26:AV26"/>
    <mergeCell ref="AH27:AI27"/>
    <mergeCell ref="AJ27:AP27"/>
    <mergeCell ref="AH28:AI28"/>
    <mergeCell ref="AJ28:AP28"/>
    <mergeCell ref="AQ28:AV29"/>
    <mergeCell ref="AH29:AI29"/>
    <mergeCell ref="AJ29:AP29"/>
    <mergeCell ref="R26:S26"/>
    <mergeCell ref="T26:Z26"/>
    <mergeCell ref="AC26:AF26"/>
    <mergeCell ref="R27:S27"/>
    <mergeCell ref="T27:Z27"/>
    <mergeCell ref="R28:S28"/>
    <mergeCell ref="T28:Z28"/>
    <mergeCell ref="AA28:AF29"/>
    <mergeCell ref="R29:S29"/>
    <mergeCell ref="T29:Z29"/>
    <mergeCell ref="AH16:AP16"/>
    <mergeCell ref="AQ16:AV18"/>
    <mergeCell ref="AH17:AI17"/>
    <mergeCell ref="AM17:AP18"/>
    <mergeCell ref="AH18:AI18"/>
    <mergeCell ref="AH19:AI19"/>
    <mergeCell ref="AJ19:AP19"/>
    <mergeCell ref="AQ19:AR19"/>
    <mergeCell ref="AS19:AV19"/>
    <mergeCell ref="AH20:AI20"/>
    <mergeCell ref="AJ20:AP20"/>
    <mergeCell ref="AQ20:AV20"/>
    <mergeCell ref="AH21:AI21"/>
    <mergeCell ref="AJ21:AP21"/>
    <mergeCell ref="AQ21:AR21"/>
    <mergeCell ref="AS21:AV21"/>
    <mergeCell ref="AH22:AI22"/>
    <mergeCell ref="AJ22:AP22"/>
    <mergeCell ref="AQ22:AR22"/>
    <mergeCell ref="AS22:AV22"/>
    <mergeCell ref="AH23:AI23"/>
    <mergeCell ref="AJ23:AP23"/>
    <mergeCell ref="R21:S21"/>
    <mergeCell ref="T21:Z21"/>
    <mergeCell ref="AA21:AB21"/>
    <mergeCell ref="AC21:AF21"/>
    <mergeCell ref="R22:S22"/>
    <mergeCell ref="T22:Z22"/>
    <mergeCell ref="AA22:AB22"/>
    <mergeCell ref="AC22:AF22"/>
    <mergeCell ref="R23:S23"/>
    <mergeCell ref="T23:Z23"/>
    <mergeCell ref="AA23:AB23"/>
    <mergeCell ref="AC23:AF23"/>
    <mergeCell ref="R24:S24"/>
    <mergeCell ref="T24:Z24"/>
    <mergeCell ref="AA24:AB24"/>
    <mergeCell ref="AC24:AF24"/>
    <mergeCell ref="R25:S25"/>
    <mergeCell ref="T25:Z25"/>
    <mergeCell ref="AA25:AB25"/>
    <mergeCell ref="AC25:AF25"/>
    <mergeCell ref="R13:S13"/>
    <mergeCell ref="T13:Z13"/>
    <mergeCell ref="R14:S14"/>
    <mergeCell ref="T14:Z14"/>
    <mergeCell ref="AA13:AF14"/>
    <mergeCell ref="R16:Z16"/>
    <mergeCell ref="AA16:AF18"/>
    <mergeCell ref="R17:S17"/>
    <mergeCell ref="W17:Z18"/>
    <mergeCell ref="R18:S18"/>
    <mergeCell ref="R19:S19"/>
    <mergeCell ref="T19:Z19"/>
    <mergeCell ref="AA19:AB19"/>
    <mergeCell ref="AC19:AF19"/>
    <mergeCell ref="R20:S20"/>
    <mergeCell ref="T20:Z20"/>
    <mergeCell ref="AA20:AF20"/>
    <mergeCell ref="R8:S8"/>
    <mergeCell ref="T8:Z8"/>
    <mergeCell ref="AA8:AB8"/>
    <mergeCell ref="AC8:AF8"/>
    <mergeCell ref="R9:S9"/>
    <mergeCell ref="T9:Z9"/>
    <mergeCell ref="AA9:AB9"/>
    <mergeCell ref="AC9:AF9"/>
    <mergeCell ref="R10:S10"/>
    <mergeCell ref="T10:Z10"/>
    <mergeCell ref="AA10:AB10"/>
    <mergeCell ref="AC10:AF10"/>
    <mergeCell ref="R11:S11"/>
    <mergeCell ref="T11:Z11"/>
    <mergeCell ref="AC11:AF11"/>
    <mergeCell ref="R12:S12"/>
    <mergeCell ref="T12:Z12"/>
    <mergeCell ref="R1:Z1"/>
    <mergeCell ref="AA1:AF3"/>
    <mergeCell ref="R2:S2"/>
    <mergeCell ref="W2:Z3"/>
    <mergeCell ref="R3:S3"/>
    <mergeCell ref="R4:S4"/>
    <mergeCell ref="T4:Z4"/>
    <mergeCell ref="AA4:AB4"/>
    <mergeCell ref="AC4:AF4"/>
    <mergeCell ref="R5:S5"/>
    <mergeCell ref="T5:Z5"/>
    <mergeCell ref="AA5:AF5"/>
    <mergeCell ref="R6:S6"/>
    <mergeCell ref="T6:Z6"/>
    <mergeCell ref="AA6:AB6"/>
    <mergeCell ref="AC6:AF6"/>
    <mergeCell ref="R7:S7"/>
    <mergeCell ref="T7:Z7"/>
    <mergeCell ref="AA7:AB7"/>
    <mergeCell ref="AC7:AF7"/>
    <mergeCell ref="B26:C26"/>
    <mergeCell ref="D26:J26"/>
    <mergeCell ref="M26:P26"/>
    <mergeCell ref="B23:C23"/>
    <mergeCell ref="D23:J23"/>
    <mergeCell ref="K23:L23"/>
    <mergeCell ref="M23:P23"/>
    <mergeCell ref="B24:C24"/>
    <mergeCell ref="D24:J24"/>
    <mergeCell ref="K24:L24"/>
    <mergeCell ref="M24:P24"/>
    <mergeCell ref="B27:C27"/>
    <mergeCell ref="D27:J27"/>
    <mergeCell ref="B28:C28"/>
    <mergeCell ref="D28:J28"/>
    <mergeCell ref="B29:C29"/>
    <mergeCell ref="D29:J29"/>
    <mergeCell ref="B25:C25"/>
    <mergeCell ref="D25:J25"/>
    <mergeCell ref="K25:L25"/>
    <mergeCell ref="B21:C21"/>
    <mergeCell ref="D21:J21"/>
    <mergeCell ref="K21:L21"/>
    <mergeCell ref="M21:P21"/>
    <mergeCell ref="B18:C18"/>
    <mergeCell ref="B22:C22"/>
    <mergeCell ref="D22:J22"/>
    <mergeCell ref="K22:L22"/>
    <mergeCell ref="M22:P22"/>
    <mergeCell ref="B19:C19"/>
    <mergeCell ref="D19:J19"/>
    <mergeCell ref="K19:L19"/>
    <mergeCell ref="M19:P19"/>
    <mergeCell ref="B20:C20"/>
    <mergeCell ref="D20:J20"/>
    <mergeCell ref="K20:P20"/>
    <mergeCell ref="M25:P25"/>
    <mergeCell ref="K5:P5"/>
    <mergeCell ref="B6:C6"/>
    <mergeCell ref="D6:J6"/>
    <mergeCell ref="K6:L6"/>
    <mergeCell ref="M6:P6"/>
    <mergeCell ref="B14:C14"/>
    <mergeCell ref="D14:J14"/>
    <mergeCell ref="B3:C3"/>
    <mergeCell ref="B16:J16"/>
    <mergeCell ref="K16:P18"/>
    <mergeCell ref="B17:C17"/>
    <mergeCell ref="G17:J18"/>
    <mergeCell ref="B11:C11"/>
    <mergeCell ref="D11:J11"/>
    <mergeCell ref="M11:P11"/>
    <mergeCell ref="B12:C12"/>
    <mergeCell ref="D12:J12"/>
    <mergeCell ref="B13:C13"/>
    <mergeCell ref="D13:J13"/>
    <mergeCell ref="B9:C9"/>
    <mergeCell ref="D9:J9"/>
    <mergeCell ref="K9:L9"/>
    <mergeCell ref="M9:P9"/>
    <mergeCell ref="B10:C10"/>
    <mergeCell ref="D10:J10"/>
    <mergeCell ref="K10:L10"/>
    <mergeCell ref="M10:P10"/>
    <mergeCell ref="B7:C7"/>
    <mergeCell ref="D7:J7"/>
    <mergeCell ref="B34:C34"/>
    <mergeCell ref="D34:J34"/>
    <mergeCell ref="K34:L34"/>
    <mergeCell ref="M34:P34"/>
    <mergeCell ref="B35:C35"/>
    <mergeCell ref="D35:J35"/>
    <mergeCell ref="K35:P35"/>
    <mergeCell ref="B36:C36"/>
    <mergeCell ref="D36:J36"/>
    <mergeCell ref="K36:L36"/>
    <mergeCell ref="M36:P36"/>
    <mergeCell ref="B31:J31"/>
    <mergeCell ref="K31:P33"/>
    <mergeCell ref="B32:C32"/>
    <mergeCell ref="G32:J33"/>
    <mergeCell ref="B33:C33"/>
    <mergeCell ref="B1:J1"/>
    <mergeCell ref="K1:P3"/>
    <mergeCell ref="B2:C2"/>
    <mergeCell ref="G2:J3"/>
    <mergeCell ref="B4:C4"/>
    <mergeCell ref="D4:J4"/>
    <mergeCell ref="K4:L4"/>
    <mergeCell ref="M4:P4"/>
    <mergeCell ref="K7:L7"/>
    <mergeCell ref="M7:P7"/>
    <mergeCell ref="B8:C8"/>
    <mergeCell ref="D8:J8"/>
    <mergeCell ref="K8:L8"/>
    <mergeCell ref="M8:P8"/>
    <mergeCell ref="B5:C5"/>
    <mergeCell ref="D5:J5"/>
    <mergeCell ref="B40:C40"/>
    <mergeCell ref="D40:J40"/>
    <mergeCell ref="K40:L40"/>
    <mergeCell ref="M40:P40"/>
    <mergeCell ref="B41:C41"/>
    <mergeCell ref="D41:J41"/>
    <mergeCell ref="M41:P41"/>
    <mergeCell ref="B42:C42"/>
    <mergeCell ref="D42:J42"/>
    <mergeCell ref="B37:C37"/>
    <mergeCell ref="D37:J37"/>
    <mergeCell ref="K37:L37"/>
    <mergeCell ref="M37:P37"/>
    <mergeCell ref="B38:C38"/>
    <mergeCell ref="D38:J38"/>
    <mergeCell ref="K38:L38"/>
    <mergeCell ref="M38:P38"/>
    <mergeCell ref="B39:C39"/>
    <mergeCell ref="D39:J39"/>
    <mergeCell ref="K39:L39"/>
    <mergeCell ref="M39:P39"/>
    <mergeCell ref="B49:C49"/>
    <mergeCell ref="D49:J49"/>
    <mergeCell ref="K49:L49"/>
    <mergeCell ref="M49:P49"/>
    <mergeCell ref="B50:C50"/>
    <mergeCell ref="D50:J50"/>
    <mergeCell ref="K50:P50"/>
    <mergeCell ref="B51:C51"/>
    <mergeCell ref="D51:J51"/>
    <mergeCell ref="K51:L51"/>
    <mergeCell ref="M51:P51"/>
    <mergeCell ref="B43:C43"/>
    <mergeCell ref="D43:J43"/>
    <mergeCell ref="B44:C44"/>
    <mergeCell ref="D44:J44"/>
    <mergeCell ref="B46:J46"/>
    <mergeCell ref="K46:P48"/>
    <mergeCell ref="B47:C47"/>
    <mergeCell ref="G47:J48"/>
    <mergeCell ref="B48:C48"/>
    <mergeCell ref="B55:C55"/>
    <mergeCell ref="D55:J55"/>
    <mergeCell ref="K55:L55"/>
    <mergeCell ref="M55:P55"/>
    <mergeCell ref="B56:C56"/>
    <mergeCell ref="D56:J56"/>
    <mergeCell ref="M56:P56"/>
    <mergeCell ref="B57:C57"/>
    <mergeCell ref="D57:J57"/>
    <mergeCell ref="B52:C52"/>
    <mergeCell ref="D52:J52"/>
    <mergeCell ref="K52:L52"/>
    <mergeCell ref="M52:P52"/>
    <mergeCell ref="B53:C53"/>
    <mergeCell ref="D53:J53"/>
    <mergeCell ref="K53:L53"/>
    <mergeCell ref="M53:P53"/>
    <mergeCell ref="B54:C54"/>
    <mergeCell ref="D54:J54"/>
    <mergeCell ref="K54:L54"/>
    <mergeCell ref="M54:P54"/>
    <mergeCell ref="B58:C58"/>
    <mergeCell ref="D58:J58"/>
    <mergeCell ref="B59:C59"/>
    <mergeCell ref="D59:J59"/>
    <mergeCell ref="D67:J67"/>
    <mergeCell ref="K67:L67"/>
    <mergeCell ref="M67:P67"/>
    <mergeCell ref="B68:C68"/>
    <mergeCell ref="D68:J68"/>
    <mergeCell ref="K68:L68"/>
    <mergeCell ref="M68:P68"/>
    <mergeCell ref="B69:C69"/>
    <mergeCell ref="D69:J69"/>
    <mergeCell ref="K69:L69"/>
    <mergeCell ref="M69:P69"/>
    <mergeCell ref="B70:C70"/>
    <mergeCell ref="D70:J70"/>
    <mergeCell ref="M70:P70"/>
    <mergeCell ref="K61:P62"/>
    <mergeCell ref="B61:C61"/>
    <mergeCell ref="G61:J62"/>
    <mergeCell ref="B62:C62"/>
    <mergeCell ref="B63:C63"/>
    <mergeCell ref="D63:J63"/>
    <mergeCell ref="K63:L63"/>
    <mergeCell ref="M63:P63"/>
    <mergeCell ref="B64:C64"/>
    <mergeCell ref="D64:J64"/>
    <mergeCell ref="K64:P64"/>
    <mergeCell ref="B65:C65"/>
    <mergeCell ref="D65:J65"/>
    <mergeCell ref="K65:L65"/>
    <mergeCell ref="M65:P65"/>
    <mergeCell ref="B66:C66"/>
    <mergeCell ref="D66:J66"/>
    <mergeCell ref="K66:L66"/>
    <mergeCell ref="M66:P66"/>
    <mergeCell ref="B80:C80"/>
    <mergeCell ref="D80:J80"/>
    <mergeCell ref="K80:L80"/>
    <mergeCell ref="M80:P80"/>
    <mergeCell ref="B81:C81"/>
    <mergeCell ref="D81:J81"/>
    <mergeCell ref="K81:P81"/>
    <mergeCell ref="B82:C82"/>
    <mergeCell ref="D82:J82"/>
    <mergeCell ref="K82:L82"/>
    <mergeCell ref="M82:P82"/>
    <mergeCell ref="D71:J71"/>
    <mergeCell ref="B72:C72"/>
    <mergeCell ref="D72:J72"/>
    <mergeCell ref="K72:P73"/>
    <mergeCell ref="B73:C73"/>
    <mergeCell ref="D73:J73"/>
    <mergeCell ref="B77:J77"/>
    <mergeCell ref="K77:P79"/>
    <mergeCell ref="B78:C78"/>
    <mergeCell ref="G78:J79"/>
    <mergeCell ref="B79:C79"/>
    <mergeCell ref="B71:C71"/>
    <mergeCell ref="B67:C67"/>
    <mergeCell ref="B86:C86"/>
    <mergeCell ref="D86:J86"/>
    <mergeCell ref="K86:L86"/>
    <mergeCell ref="M86:P86"/>
    <mergeCell ref="B87:C87"/>
    <mergeCell ref="D87:J87"/>
    <mergeCell ref="M87:P87"/>
    <mergeCell ref="B88:C88"/>
    <mergeCell ref="D88:J88"/>
    <mergeCell ref="B83:C83"/>
    <mergeCell ref="D83:J83"/>
    <mergeCell ref="K83:L83"/>
    <mergeCell ref="M83:P83"/>
    <mergeCell ref="B84:C84"/>
    <mergeCell ref="D84:J84"/>
    <mergeCell ref="K84:L84"/>
    <mergeCell ref="M84:P84"/>
    <mergeCell ref="B85:C85"/>
    <mergeCell ref="D85:J85"/>
    <mergeCell ref="K85:L85"/>
    <mergeCell ref="M85:P85"/>
    <mergeCell ref="B96:C96"/>
    <mergeCell ref="D96:J96"/>
    <mergeCell ref="K96:L96"/>
    <mergeCell ref="M96:P96"/>
    <mergeCell ref="B97:C97"/>
    <mergeCell ref="D97:J97"/>
    <mergeCell ref="K97:P97"/>
    <mergeCell ref="B98:C98"/>
    <mergeCell ref="D98:J98"/>
    <mergeCell ref="K98:L98"/>
    <mergeCell ref="M98:P98"/>
    <mergeCell ref="B89:C89"/>
    <mergeCell ref="D89:J89"/>
    <mergeCell ref="K89:P90"/>
    <mergeCell ref="B90:C90"/>
    <mergeCell ref="D90:J90"/>
    <mergeCell ref="B93:J93"/>
    <mergeCell ref="K93:P95"/>
    <mergeCell ref="B94:C94"/>
    <mergeCell ref="G94:J95"/>
    <mergeCell ref="B95:C95"/>
    <mergeCell ref="B102:C102"/>
    <mergeCell ref="D102:J102"/>
    <mergeCell ref="K102:L102"/>
    <mergeCell ref="M102:P102"/>
    <mergeCell ref="B103:C103"/>
    <mergeCell ref="D103:J103"/>
    <mergeCell ref="M103:P103"/>
    <mergeCell ref="B104:C104"/>
    <mergeCell ref="D104:J104"/>
    <mergeCell ref="B99:C99"/>
    <mergeCell ref="D99:J99"/>
    <mergeCell ref="K99:L99"/>
    <mergeCell ref="M99:P99"/>
    <mergeCell ref="B100:C100"/>
    <mergeCell ref="D100:J100"/>
    <mergeCell ref="K100:L100"/>
    <mergeCell ref="M100:P100"/>
    <mergeCell ref="B101:C101"/>
    <mergeCell ref="D101:J101"/>
    <mergeCell ref="K101:L101"/>
    <mergeCell ref="M101:P101"/>
    <mergeCell ref="B149:C149"/>
    <mergeCell ref="D149:J149"/>
    <mergeCell ref="K149:L149"/>
    <mergeCell ref="M149:P149"/>
    <mergeCell ref="S149:T149"/>
    <mergeCell ref="U149:AA149"/>
    <mergeCell ref="AB149:AC149"/>
    <mergeCell ref="AD149:AG149"/>
    <mergeCell ref="B150:C150"/>
    <mergeCell ref="D150:J150"/>
    <mergeCell ref="K150:P150"/>
    <mergeCell ref="S150:T150"/>
    <mergeCell ref="U150:AA150"/>
    <mergeCell ref="AB150:AG150"/>
    <mergeCell ref="B105:C105"/>
    <mergeCell ref="D105:J105"/>
    <mergeCell ref="K105:P106"/>
    <mergeCell ref="B106:C106"/>
    <mergeCell ref="D106:J106"/>
    <mergeCell ref="B146:J146"/>
    <mergeCell ref="K146:P148"/>
    <mergeCell ref="S146:AA146"/>
    <mergeCell ref="AB146:AG148"/>
    <mergeCell ref="B147:C147"/>
    <mergeCell ref="G147:J148"/>
    <mergeCell ref="S147:T147"/>
    <mergeCell ref="X147:AA148"/>
    <mergeCell ref="B148:C148"/>
    <mergeCell ref="S148:T148"/>
    <mergeCell ref="B121:C121"/>
    <mergeCell ref="B113:C113"/>
    <mergeCell ref="D113:J113"/>
    <mergeCell ref="B153:C153"/>
    <mergeCell ref="D153:J153"/>
    <mergeCell ref="K153:L153"/>
    <mergeCell ref="M153:P153"/>
    <mergeCell ref="S153:T153"/>
    <mergeCell ref="U153:AA153"/>
    <mergeCell ref="AB153:AC153"/>
    <mergeCell ref="AD153:AG153"/>
    <mergeCell ref="B154:C154"/>
    <mergeCell ref="D154:J154"/>
    <mergeCell ref="K154:L154"/>
    <mergeCell ref="M154:P154"/>
    <mergeCell ref="S154:T154"/>
    <mergeCell ref="U154:AA154"/>
    <mergeCell ref="AB154:AC154"/>
    <mergeCell ref="AD154:AG154"/>
    <mergeCell ref="B151:C151"/>
    <mergeCell ref="D151:J151"/>
    <mergeCell ref="K151:L151"/>
    <mergeCell ref="M151:P151"/>
    <mergeCell ref="S151:T151"/>
    <mergeCell ref="U151:AA151"/>
    <mergeCell ref="AB151:AC151"/>
    <mergeCell ref="AD151:AG151"/>
    <mergeCell ref="B152:C152"/>
    <mergeCell ref="D152:J152"/>
    <mergeCell ref="K152:L152"/>
    <mergeCell ref="M152:P152"/>
    <mergeCell ref="S152:T152"/>
    <mergeCell ref="U152:AA152"/>
    <mergeCell ref="AB152:AC152"/>
    <mergeCell ref="AD152:AG152"/>
    <mergeCell ref="B157:C157"/>
    <mergeCell ref="D157:J157"/>
    <mergeCell ref="S157:T157"/>
    <mergeCell ref="U157:AA157"/>
    <mergeCell ref="B158:C158"/>
    <mergeCell ref="D158:J158"/>
    <mergeCell ref="K158:P159"/>
    <mergeCell ref="S158:T158"/>
    <mergeCell ref="U158:AA158"/>
    <mergeCell ref="B155:C155"/>
    <mergeCell ref="D155:J155"/>
    <mergeCell ref="K155:L155"/>
    <mergeCell ref="M155:P155"/>
    <mergeCell ref="S155:T155"/>
    <mergeCell ref="U155:AA155"/>
    <mergeCell ref="AB155:AC155"/>
    <mergeCell ref="AD155:AG155"/>
    <mergeCell ref="B156:C156"/>
    <mergeCell ref="D156:J156"/>
    <mergeCell ref="M156:P156"/>
    <mergeCell ref="S156:T156"/>
    <mergeCell ref="U156:AA156"/>
    <mergeCell ref="AD156:AG156"/>
    <mergeCell ref="AI162:AQ162"/>
    <mergeCell ref="AR162:AW164"/>
    <mergeCell ref="B163:C163"/>
    <mergeCell ref="G163:J164"/>
    <mergeCell ref="S163:T163"/>
    <mergeCell ref="X163:AA164"/>
    <mergeCell ref="AI163:AJ163"/>
    <mergeCell ref="AN163:AQ164"/>
    <mergeCell ref="B164:C164"/>
    <mergeCell ref="S164:T164"/>
    <mergeCell ref="AI164:AJ164"/>
    <mergeCell ref="B162:J162"/>
    <mergeCell ref="K162:P164"/>
    <mergeCell ref="S162:AA162"/>
    <mergeCell ref="AB162:AG164"/>
    <mergeCell ref="AB158:AG159"/>
    <mergeCell ref="B159:C159"/>
    <mergeCell ref="D159:J159"/>
    <mergeCell ref="S159:T159"/>
    <mergeCell ref="U159:AA159"/>
    <mergeCell ref="AK165:AQ165"/>
    <mergeCell ref="AR165:AS165"/>
    <mergeCell ref="AT165:AW165"/>
    <mergeCell ref="B166:C166"/>
    <mergeCell ref="D166:J166"/>
    <mergeCell ref="K166:P166"/>
    <mergeCell ref="S166:T166"/>
    <mergeCell ref="U166:AA166"/>
    <mergeCell ref="AB166:AG166"/>
    <mergeCell ref="AI166:AJ166"/>
    <mergeCell ref="AK166:AQ166"/>
    <mergeCell ref="AR166:AW166"/>
    <mergeCell ref="B165:C165"/>
    <mergeCell ref="D165:J165"/>
    <mergeCell ref="K165:L165"/>
    <mergeCell ref="M165:P165"/>
    <mergeCell ref="S165:T165"/>
    <mergeCell ref="U165:AA165"/>
    <mergeCell ref="AB165:AC165"/>
    <mergeCell ref="AD165:AG165"/>
    <mergeCell ref="AI165:AJ165"/>
    <mergeCell ref="AK167:AQ167"/>
    <mergeCell ref="AR167:AS167"/>
    <mergeCell ref="AT167:AW167"/>
    <mergeCell ref="B168:C168"/>
    <mergeCell ref="D168:J168"/>
    <mergeCell ref="K168:L168"/>
    <mergeCell ref="M168:P168"/>
    <mergeCell ref="S168:T168"/>
    <mergeCell ref="U168:AA168"/>
    <mergeCell ref="AB168:AC168"/>
    <mergeCell ref="AD168:AG168"/>
    <mergeCell ref="AI168:AJ168"/>
    <mergeCell ref="AK168:AQ168"/>
    <mergeCell ref="AR168:AS168"/>
    <mergeCell ref="AT168:AW168"/>
    <mergeCell ref="B167:C167"/>
    <mergeCell ref="D167:J167"/>
    <mergeCell ref="K167:L167"/>
    <mergeCell ref="M167:P167"/>
    <mergeCell ref="S167:T167"/>
    <mergeCell ref="U167:AA167"/>
    <mergeCell ref="AB167:AC167"/>
    <mergeCell ref="AD167:AG167"/>
    <mergeCell ref="AI167:AJ167"/>
    <mergeCell ref="AI171:AJ171"/>
    <mergeCell ref="AK169:AQ169"/>
    <mergeCell ref="AR169:AS169"/>
    <mergeCell ref="AT169:AW169"/>
    <mergeCell ref="B170:C170"/>
    <mergeCell ref="D170:J170"/>
    <mergeCell ref="K170:L170"/>
    <mergeCell ref="M170:P170"/>
    <mergeCell ref="S170:T170"/>
    <mergeCell ref="U170:AA170"/>
    <mergeCell ref="AB170:AC170"/>
    <mergeCell ref="AD170:AG170"/>
    <mergeCell ref="AI170:AJ170"/>
    <mergeCell ref="AK170:AQ170"/>
    <mergeCell ref="AR170:AS170"/>
    <mergeCell ref="AT170:AW170"/>
    <mergeCell ref="B169:C169"/>
    <mergeCell ref="D169:J169"/>
    <mergeCell ref="K169:L169"/>
    <mergeCell ref="M169:P169"/>
    <mergeCell ref="S169:T169"/>
    <mergeCell ref="U169:AA169"/>
    <mergeCell ref="AB169:AC169"/>
    <mergeCell ref="AD169:AG169"/>
    <mergeCell ref="AI169:AJ169"/>
    <mergeCell ref="B173:C173"/>
    <mergeCell ref="D173:J173"/>
    <mergeCell ref="S173:T173"/>
    <mergeCell ref="U173:AA173"/>
    <mergeCell ref="AI173:AJ173"/>
    <mergeCell ref="AK173:AQ173"/>
    <mergeCell ref="B174:C174"/>
    <mergeCell ref="D174:J174"/>
    <mergeCell ref="S174:T174"/>
    <mergeCell ref="U174:AA174"/>
    <mergeCell ref="AI174:AJ174"/>
    <mergeCell ref="AK174:AQ174"/>
    <mergeCell ref="AK171:AQ171"/>
    <mergeCell ref="AR171:AS171"/>
    <mergeCell ref="AT171:AW171"/>
    <mergeCell ref="B172:C172"/>
    <mergeCell ref="D172:J172"/>
    <mergeCell ref="M172:P172"/>
    <mergeCell ref="S172:T172"/>
    <mergeCell ref="U172:AA172"/>
    <mergeCell ref="AD172:AG172"/>
    <mergeCell ref="AI172:AJ172"/>
    <mergeCell ref="AK172:AQ172"/>
    <mergeCell ref="AT172:AW172"/>
    <mergeCell ref="B171:C171"/>
    <mergeCell ref="D171:J171"/>
    <mergeCell ref="K171:L171"/>
    <mergeCell ref="M171:P171"/>
    <mergeCell ref="S171:T171"/>
    <mergeCell ref="U171:AA171"/>
    <mergeCell ref="AB171:AC171"/>
    <mergeCell ref="AD171:AG171"/>
    <mergeCell ref="B177:C177"/>
    <mergeCell ref="D177:J177"/>
    <mergeCell ref="K177:P178"/>
    <mergeCell ref="S177:T177"/>
    <mergeCell ref="U177:AA177"/>
    <mergeCell ref="AB177:AG178"/>
    <mergeCell ref="AI177:AJ177"/>
    <mergeCell ref="AK177:AQ177"/>
    <mergeCell ref="AR177:AW178"/>
    <mergeCell ref="B178:C178"/>
    <mergeCell ref="D178:J178"/>
    <mergeCell ref="S178:T178"/>
    <mergeCell ref="U178:AA178"/>
    <mergeCell ref="AI178:AJ178"/>
    <mergeCell ref="AK178:AQ178"/>
    <mergeCell ref="B175:C175"/>
    <mergeCell ref="D175:J175"/>
    <mergeCell ref="S175:T175"/>
    <mergeCell ref="U175:AA175"/>
    <mergeCell ref="AI175:AJ175"/>
    <mergeCell ref="AK175:AQ175"/>
    <mergeCell ref="B176:C176"/>
    <mergeCell ref="D176:J176"/>
    <mergeCell ref="S176:T176"/>
    <mergeCell ref="U176:AA176"/>
    <mergeCell ref="AI176:AJ176"/>
    <mergeCell ref="AK176:AQ176"/>
    <mergeCell ref="K174:P17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DATOS PARA CALCULO</vt:lpstr>
      <vt:lpstr>CAJAS ELABORADAS</vt:lpstr>
      <vt:lpstr>CALCULO PAGO</vt:lpstr>
      <vt:lpstr>ARGOLD</vt:lpstr>
      <vt:lpstr>CARTON ARGOL-22</vt:lpstr>
      <vt:lpstr>Hoja1</vt:lpstr>
      <vt:lpstr>CAJAS X FINCA</vt:lpstr>
      <vt:lpstr>PROYECCION X AÑO</vt:lpstr>
      <vt:lpstr>TERMINACION DE EMBARQUE 2021</vt:lpstr>
      <vt:lpstr>VENTAS CAJAS OTROS </vt:lpstr>
      <vt:lpstr>EMBARQUE BANACOL EXTRAS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AGROPECUARIA LOS ROBLES</dc:creator>
  <cp:keywords/>
  <dc:description/>
  <cp:lastModifiedBy>tropical food export</cp:lastModifiedBy>
  <cp:revision/>
  <cp:lastPrinted>2023-10-03T22:43:21Z</cp:lastPrinted>
  <dcterms:created xsi:type="dcterms:W3CDTF">2021-04-19T16:04:05Z</dcterms:created>
  <dcterms:modified xsi:type="dcterms:W3CDTF">2024-04-30T19:21:13Z</dcterms:modified>
  <cp:category/>
  <cp:contentStatus/>
</cp:coreProperties>
</file>