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esktop\ER\ISSC\4. Model\"/>
    </mc:Choice>
  </mc:AlternateContent>
  <xr:revisionPtr revIDLastSave="0" documentId="13_ncr:1_{26E080E7-A0C4-4C68-8D8C-719CE8DB8474}" xr6:coauthVersionLast="47" xr6:coauthVersionMax="47" xr10:uidLastSave="{00000000-0000-0000-0000-000000000000}"/>
  <bookViews>
    <workbookView xWindow="-120" yWindow="-120" windowWidth="29040" windowHeight="15720" xr2:uid="{81AE2BAB-5DCF-4ACF-AB76-A5C9ECDD0E8C}"/>
  </bookViews>
  <sheets>
    <sheet name="Earnings Model" sheetId="1" r:id="rId1"/>
  </sheets>
  <definedNames>
    <definedName name="CIQWBGuid" hidden="1">"82c75a7b-b5dc-4ec7-a8e6-847c1c166dbc"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45433.6397222222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" i="1" l="1"/>
  <c r="M74" i="1"/>
  <c r="J75" i="1"/>
  <c r="J74" i="1"/>
  <c r="Q81" i="1"/>
  <c r="Q80" i="1"/>
  <c r="U74" i="1"/>
  <c r="U75" i="1" s="1"/>
  <c r="Q74" i="1"/>
  <c r="Q75" i="1" s="1"/>
  <c r="Y77" i="1"/>
  <c r="Y76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J84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J48" i="1"/>
  <c r="K50" i="1"/>
  <c r="L50" i="1" s="1"/>
  <c r="M50" i="1" s="1"/>
  <c r="O50" i="1"/>
  <c r="R50" i="1"/>
  <c r="S50" i="1" s="1"/>
  <c r="W50" i="1"/>
  <c r="AA50" i="1"/>
  <c r="AB50" i="1" s="1"/>
  <c r="AE50" i="1"/>
  <c r="AF50" i="1" s="1"/>
  <c r="AG50" i="1" s="1"/>
  <c r="AI50" i="1"/>
  <c r="K49" i="1"/>
  <c r="L49" i="1"/>
  <c r="M49" i="1"/>
  <c r="N49" i="1"/>
  <c r="O49" i="1"/>
  <c r="P49" i="1"/>
  <c r="Q49" i="1"/>
  <c r="R49" i="1"/>
  <c r="S49" i="1"/>
  <c r="T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J49" i="1"/>
  <c r="P50" i="1" l="1"/>
  <c r="Q50" i="1" s="1"/>
  <c r="AC50" i="1"/>
  <c r="X50" i="1"/>
  <c r="Y50" i="1" s="1"/>
  <c r="T50" i="1"/>
  <c r="U50" i="1" s="1"/>
  <c r="K9" i="1"/>
  <c r="L9" i="1" s="1"/>
  <c r="N9" i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BN9" i="1" s="1"/>
  <c r="N10" i="1"/>
  <c r="R10" i="1" s="1"/>
  <c r="V10" i="1" s="1"/>
  <c r="Z10" i="1" s="1"/>
  <c r="AD10" i="1" s="1"/>
  <c r="AH10" i="1" s="1"/>
  <c r="AL10" i="1" s="1"/>
  <c r="AP10" i="1" s="1"/>
  <c r="AT10" i="1" s="1"/>
  <c r="AX10" i="1" s="1"/>
  <c r="BB10" i="1" s="1"/>
  <c r="BF10" i="1" s="1"/>
  <c r="BJ10" i="1" s="1"/>
  <c r="BN10" i="1" s="1"/>
  <c r="O10" i="1"/>
  <c r="S10" i="1" s="1"/>
  <c r="W10" i="1" s="1"/>
  <c r="AA10" i="1" s="1"/>
  <c r="AE10" i="1" s="1"/>
  <c r="AI10" i="1" s="1"/>
  <c r="AM10" i="1" s="1"/>
  <c r="AQ10" i="1" s="1"/>
  <c r="AU10" i="1" s="1"/>
  <c r="AY10" i="1" s="1"/>
  <c r="BC10" i="1" s="1"/>
  <c r="BG10" i="1" s="1"/>
  <c r="BK10" i="1" s="1"/>
  <c r="BO10" i="1" s="1"/>
  <c r="P10" i="1"/>
  <c r="T10" i="1" s="1"/>
  <c r="X10" i="1" s="1"/>
  <c r="AB10" i="1" s="1"/>
  <c r="AF10" i="1" s="1"/>
  <c r="AJ10" i="1" s="1"/>
  <c r="AN10" i="1" s="1"/>
  <c r="AR10" i="1" s="1"/>
  <c r="AV10" i="1" s="1"/>
  <c r="AZ10" i="1" s="1"/>
  <c r="BD10" i="1" s="1"/>
  <c r="BH10" i="1" s="1"/>
  <c r="BL10" i="1" s="1"/>
  <c r="BP10" i="1" s="1"/>
  <c r="Q10" i="1"/>
  <c r="U10" i="1" s="1"/>
  <c r="Y10" i="1" s="1"/>
  <c r="AC10" i="1" s="1"/>
  <c r="AG10" i="1" s="1"/>
  <c r="AK10" i="1" s="1"/>
  <c r="AO10" i="1" s="1"/>
  <c r="AS10" i="1" s="1"/>
  <c r="AW10" i="1" s="1"/>
  <c r="BA10" i="1" s="1"/>
  <c r="BE10" i="1" s="1"/>
  <c r="BI10" i="1" s="1"/>
  <c r="BM10" i="1" s="1"/>
  <c r="BQ10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J15" i="1"/>
  <c r="J18" i="1" s="1"/>
  <c r="K15" i="1"/>
  <c r="L15" i="1"/>
  <c r="L18" i="1" s="1"/>
  <c r="M16" i="1"/>
  <c r="N15" i="1"/>
  <c r="N18" i="1" s="1"/>
  <c r="O15" i="1"/>
  <c r="P15" i="1"/>
  <c r="P18" i="1" s="1"/>
  <c r="Q16" i="1"/>
  <c r="R15" i="1"/>
  <c r="R18" i="1" s="1"/>
  <c r="S15" i="1"/>
  <c r="S18" i="1" s="1"/>
  <c r="T15" i="1"/>
  <c r="T18" i="1" s="1"/>
  <c r="U16" i="1"/>
  <c r="V15" i="1"/>
  <c r="V18" i="1" s="1"/>
  <c r="W15" i="1"/>
  <c r="W18" i="1" s="1"/>
  <c r="X15" i="1"/>
  <c r="Y15" i="1"/>
  <c r="Z15" i="1"/>
  <c r="Z18" i="1" s="1"/>
  <c r="AA15" i="1"/>
  <c r="AA18" i="1" s="1"/>
  <c r="AB15" i="1"/>
  <c r="AB18" i="1" s="1"/>
  <c r="AC15" i="1"/>
  <c r="AF15" i="1"/>
  <c r="AF18" i="1" s="1"/>
  <c r="Y16" i="1"/>
  <c r="AC16" i="1"/>
  <c r="AG16" i="1"/>
  <c r="M17" i="1"/>
  <c r="Q17" i="1"/>
  <c r="U17" i="1"/>
  <c r="AG17" i="1"/>
  <c r="AD18" i="1"/>
  <c r="AE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J21" i="1"/>
  <c r="J24" i="1" s="1"/>
  <c r="K21" i="1"/>
  <c r="K24" i="1" s="1"/>
  <c r="L21" i="1"/>
  <c r="L24" i="1" s="1"/>
  <c r="M22" i="1"/>
  <c r="N21" i="1"/>
  <c r="N24" i="1" s="1"/>
  <c r="O21" i="1"/>
  <c r="O24" i="1" s="1"/>
  <c r="P21" i="1"/>
  <c r="Q22" i="1"/>
  <c r="R21" i="1"/>
  <c r="R24" i="1" s="1"/>
  <c r="S21" i="1"/>
  <c r="T21" i="1"/>
  <c r="U22" i="1"/>
  <c r="V21" i="1"/>
  <c r="V24" i="1" s="1"/>
  <c r="W21" i="1"/>
  <c r="W24" i="1" s="1"/>
  <c r="X21" i="1"/>
  <c r="X24" i="1" s="1"/>
  <c r="Y21" i="1"/>
  <c r="Z21" i="1"/>
  <c r="Z24" i="1" s="1"/>
  <c r="AA21" i="1"/>
  <c r="AB21" i="1"/>
  <c r="AC21" i="1"/>
  <c r="AF21" i="1"/>
  <c r="AF24" i="1" s="1"/>
  <c r="Y22" i="1"/>
  <c r="AC22" i="1"/>
  <c r="AG22" i="1"/>
  <c r="M23" i="1"/>
  <c r="Q23" i="1"/>
  <c r="S23" i="1"/>
  <c r="U23" i="1" s="1"/>
  <c r="AG23" i="1"/>
  <c r="AD24" i="1"/>
  <c r="AE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AD28" i="1"/>
  <c r="AE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J29" i="1"/>
  <c r="K29" i="1"/>
  <c r="L29" i="1"/>
  <c r="N29" i="1"/>
  <c r="O29" i="1"/>
  <c r="P29" i="1"/>
  <c r="R29" i="1"/>
  <c r="S29" i="1"/>
  <c r="T29" i="1"/>
  <c r="V29" i="1"/>
  <c r="W29" i="1"/>
  <c r="X29" i="1"/>
  <c r="Z29" i="1"/>
  <c r="AA29" i="1"/>
  <c r="AB29" i="1"/>
  <c r="AD29" i="1"/>
  <c r="AE29" i="1"/>
  <c r="AF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J30" i="1"/>
  <c r="K30" i="1"/>
  <c r="L30" i="1"/>
  <c r="N30" i="1"/>
  <c r="O30" i="1"/>
  <c r="P30" i="1"/>
  <c r="R30" i="1"/>
  <c r="T30" i="1"/>
  <c r="V30" i="1"/>
  <c r="W30" i="1"/>
  <c r="X30" i="1"/>
  <c r="Y30" i="1"/>
  <c r="Z30" i="1"/>
  <c r="AA30" i="1"/>
  <c r="AB30" i="1"/>
  <c r="AC30" i="1"/>
  <c r="AD30" i="1"/>
  <c r="AE30" i="1"/>
  <c r="AF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U45" i="1"/>
  <c r="U49" i="1" s="1"/>
  <c r="AD76" i="1" l="1"/>
  <c r="AD80" i="1"/>
  <c r="AD74" i="1"/>
  <c r="AD78" i="1"/>
  <c r="AF78" i="1"/>
  <c r="AF76" i="1"/>
  <c r="AF74" i="1"/>
  <c r="AF80" i="1"/>
  <c r="V76" i="1"/>
  <c r="V74" i="1"/>
  <c r="V80" i="1"/>
  <c r="V78" i="1"/>
  <c r="N76" i="1"/>
  <c r="N74" i="1"/>
  <c r="N80" i="1"/>
  <c r="N78" i="1"/>
  <c r="AB74" i="1"/>
  <c r="AB80" i="1"/>
  <c r="AB78" i="1"/>
  <c r="AB76" i="1"/>
  <c r="T74" i="1"/>
  <c r="T80" i="1"/>
  <c r="T78" i="1"/>
  <c r="T76" i="1"/>
  <c r="L74" i="1"/>
  <c r="L80" i="1"/>
  <c r="L78" i="1"/>
  <c r="L76" i="1"/>
  <c r="AA74" i="1"/>
  <c r="AA78" i="1"/>
  <c r="AA80" i="1"/>
  <c r="AA76" i="1"/>
  <c r="S74" i="1"/>
  <c r="S80" i="1"/>
  <c r="S78" i="1"/>
  <c r="S76" i="1"/>
  <c r="Z80" i="1"/>
  <c r="Z78" i="1"/>
  <c r="Z76" i="1"/>
  <c r="Z74" i="1"/>
  <c r="R80" i="1"/>
  <c r="R78" i="1"/>
  <c r="R76" i="1"/>
  <c r="R74" i="1"/>
  <c r="J80" i="1"/>
  <c r="J78" i="1"/>
  <c r="J76" i="1"/>
  <c r="AI74" i="1"/>
  <c r="AI80" i="1"/>
  <c r="AI78" i="1"/>
  <c r="AI76" i="1"/>
  <c r="AH80" i="1"/>
  <c r="AH78" i="1"/>
  <c r="AH76" i="1"/>
  <c r="AH74" i="1"/>
  <c r="P78" i="1"/>
  <c r="P76" i="1"/>
  <c r="P74" i="1"/>
  <c r="P80" i="1"/>
  <c r="AE76" i="1"/>
  <c r="AE74" i="1"/>
  <c r="AE80" i="1"/>
  <c r="AE78" i="1"/>
  <c r="W76" i="1"/>
  <c r="W74" i="1"/>
  <c r="W80" i="1"/>
  <c r="W78" i="1"/>
  <c r="AV26" i="1"/>
  <c r="AV27" i="1" s="1"/>
  <c r="AC18" i="1"/>
  <c r="W28" i="1"/>
  <c r="AK26" i="1"/>
  <c r="AK27" i="1" s="1"/>
  <c r="Q29" i="1"/>
  <c r="BI26" i="1"/>
  <c r="BI37" i="1" s="1"/>
  <c r="BA26" i="1"/>
  <c r="BA37" i="1" s="1"/>
  <c r="AS26" i="1"/>
  <c r="AS27" i="1" s="1"/>
  <c r="AG29" i="1"/>
  <c r="L28" i="1"/>
  <c r="Y24" i="1"/>
  <c r="AU26" i="1"/>
  <c r="AU37" i="1" s="1"/>
  <c r="AC28" i="1"/>
  <c r="U29" i="1"/>
  <c r="M29" i="1"/>
  <c r="U30" i="1"/>
  <c r="T28" i="1"/>
  <c r="AN26" i="1"/>
  <c r="AN27" i="1" s="1"/>
  <c r="BK26" i="1"/>
  <c r="BK27" i="1" s="1"/>
  <c r="BC26" i="1"/>
  <c r="BC27" i="1" s="1"/>
  <c r="AM26" i="1"/>
  <c r="AM27" i="1" s="1"/>
  <c r="BL26" i="1"/>
  <c r="BL27" i="1" s="1"/>
  <c r="L26" i="1"/>
  <c r="L37" i="1" s="1"/>
  <c r="BN26" i="1"/>
  <c r="BN27" i="1" s="1"/>
  <c r="BF26" i="1"/>
  <c r="BF27" i="1" s="1"/>
  <c r="AX26" i="1"/>
  <c r="AX27" i="1" s="1"/>
  <c r="AP26" i="1"/>
  <c r="AP27" i="1" s="1"/>
  <c r="AH26" i="1"/>
  <c r="AH37" i="1" s="1"/>
  <c r="AH38" i="1" s="1"/>
  <c r="AC24" i="1"/>
  <c r="P28" i="1"/>
  <c r="BD26" i="1"/>
  <c r="BD27" i="1" s="1"/>
  <c r="BM26" i="1"/>
  <c r="BM27" i="1" s="1"/>
  <c r="BE26" i="1"/>
  <c r="BE27" i="1" s="1"/>
  <c r="AW26" i="1"/>
  <c r="AW27" i="1" s="1"/>
  <c r="AO26" i="1"/>
  <c r="AO27" i="1" s="1"/>
  <c r="AE26" i="1"/>
  <c r="AE27" i="1" s="1"/>
  <c r="AD26" i="1"/>
  <c r="AD27" i="1" s="1"/>
  <c r="Q30" i="1"/>
  <c r="AA28" i="1"/>
  <c r="M30" i="1"/>
  <c r="R26" i="1"/>
  <c r="R27" i="1" s="1"/>
  <c r="BJ26" i="1"/>
  <c r="BJ27" i="1" s="1"/>
  <c r="BB26" i="1"/>
  <c r="BB37" i="1" s="1"/>
  <c r="BB43" i="1" s="1"/>
  <c r="BB46" i="1" s="1"/>
  <c r="BB51" i="1" s="1"/>
  <c r="BB52" i="1" s="1"/>
  <c r="AT26" i="1"/>
  <c r="AT37" i="1" s="1"/>
  <c r="AL26" i="1"/>
  <c r="AL27" i="1" s="1"/>
  <c r="T24" i="1"/>
  <c r="T26" i="1" s="1"/>
  <c r="T27" i="1" s="1"/>
  <c r="Z28" i="1"/>
  <c r="S30" i="1"/>
  <c r="AC29" i="1"/>
  <c r="Y28" i="1"/>
  <c r="R28" i="1"/>
  <c r="W26" i="1"/>
  <c r="W27" i="1" s="1"/>
  <c r="O28" i="1"/>
  <c r="AG30" i="1"/>
  <c r="J26" i="1"/>
  <c r="J27" i="1" s="1"/>
  <c r="BP26" i="1"/>
  <c r="BP37" i="1" s="1"/>
  <c r="BH26" i="1"/>
  <c r="BH27" i="1" s="1"/>
  <c r="AZ26" i="1"/>
  <c r="AZ37" i="1" s="1"/>
  <c r="AR26" i="1"/>
  <c r="AR37" i="1" s="1"/>
  <c r="AJ26" i="1"/>
  <c r="AJ27" i="1" s="1"/>
  <c r="Z26" i="1"/>
  <c r="Z27" i="1" s="1"/>
  <c r="M21" i="1"/>
  <c r="M24" i="1" s="1"/>
  <c r="J28" i="1"/>
  <c r="AG21" i="1"/>
  <c r="AG24" i="1" s="1"/>
  <c r="BO26" i="1"/>
  <c r="BO37" i="1" s="1"/>
  <c r="BG26" i="1"/>
  <c r="BG37" i="1" s="1"/>
  <c r="AY26" i="1"/>
  <c r="AY37" i="1" s="1"/>
  <c r="AQ26" i="1"/>
  <c r="AQ27" i="1" s="1"/>
  <c r="AI26" i="1"/>
  <c r="AI37" i="1" s="1"/>
  <c r="BQ26" i="1"/>
  <c r="BQ27" i="1" s="1"/>
  <c r="P24" i="1"/>
  <c r="P26" i="1" s="1"/>
  <c r="U15" i="1"/>
  <c r="U18" i="1" s="1"/>
  <c r="AF26" i="1"/>
  <c r="AF27" i="1" s="1"/>
  <c r="V28" i="1"/>
  <c r="K28" i="1"/>
  <c r="AF28" i="1"/>
  <c r="U21" i="1"/>
  <c r="U24" i="1" s="1"/>
  <c r="O18" i="1"/>
  <c r="Q15" i="1"/>
  <c r="Q18" i="1" s="1"/>
  <c r="AG15" i="1"/>
  <c r="O9" i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BK9" i="1" s="1"/>
  <c r="BO9" i="1" s="1"/>
  <c r="AB28" i="1"/>
  <c r="AB24" i="1"/>
  <c r="AB26" i="1" s="1"/>
  <c r="M15" i="1"/>
  <c r="K18" i="1"/>
  <c r="Y29" i="1"/>
  <c r="Y18" i="1"/>
  <c r="X18" i="1"/>
  <c r="X28" i="1"/>
  <c r="V26" i="1"/>
  <c r="Q21" i="1"/>
  <c r="Q24" i="1" s="1"/>
  <c r="N28" i="1"/>
  <c r="N26" i="1"/>
  <c r="M9" i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BM9" i="1" s="1"/>
  <c r="BQ9" i="1" s="1"/>
  <c r="P9" i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BL9" i="1" s="1"/>
  <c r="BP9" i="1" s="1"/>
  <c r="AA24" i="1"/>
  <c r="AA26" i="1" s="1"/>
  <c r="S24" i="1"/>
  <c r="S26" i="1" s="1"/>
  <c r="S28" i="1"/>
  <c r="AC74" i="1" l="1"/>
  <c r="AC75" i="1" s="1"/>
  <c r="L27" i="1"/>
  <c r="BA27" i="1"/>
  <c r="BL37" i="1"/>
  <c r="BL38" i="1" s="1"/>
  <c r="AH27" i="1"/>
  <c r="AE37" i="1"/>
  <c r="AE38" i="1" s="1"/>
  <c r="AC26" i="1"/>
  <c r="AC37" i="1" s="1"/>
  <c r="AC43" i="1" s="1"/>
  <c r="AC46" i="1" s="1"/>
  <c r="AC51" i="1" s="1"/>
  <c r="AC52" i="1" s="1"/>
  <c r="AK37" i="1"/>
  <c r="AK38" i="1" s="1"/>
  <c r="AI27" i="1"/>
  <c r="BC37" i="1"/>
  <c r="BC38" i="1" s="1"/>
  <c r="AU27" i="1"/>
  <c r="AV37" i="1"/>
  <c r="AV38" i="1" s="1"/>
  <c r="AP37" i="1"/>
  <c r="AP38" i="1" s="1"/>
  <c r="AC76" i="1"/>
  <c r="AC80" i="1"/>
  <c r="AC78" i="1"/>
  <c r="Y80" i="1"/>
  <c r="Y78" i="1"/>
  <c r="Y74" i="1"/>
  <c r="U76" i="1"/>
  <c r="U80" i="1"/>
  <c r="U78" i="1"/>
  <c r="X26" i="1"/>
  <c r="X37" i="1" s="1"/>
  <c r="X78" i="1"/>
  <c r="X76" i="1"/>
  <c r="X74" i="1"/>
  <c r="X80" i="1"/>
  <c r="Q78" i="1"/>
  <c r="Q76" i="1"/>
  <c r="K26" i="1"/>
  <c r="K27" i="1" s="1"/>
  <c r="K74" i="1"/>
  <c r="K80" i="1"/>
  <c r="K78" i="1"/>
  <c r="K76" i="1"/>
  <c r="O26" i="1"/>
  <c r="O37" i="1" s="1"/>
  <c r="O76" i="1"/>
  <c r="O74" i="1"/>
  <c r="O80" i="1"/>
  <c r="O78" i="1"/>
  <c r="AS37" i="1"/>
  <c r="AS43" i="1" s="1"/>
  <c r="AS46" i="1" s="1"/>
  <c r="AS51" i="1" s="1"/>
  <c r="AS52" i="1" s="1"/>
  <c r="AQ37" i="1"/>
  <c r="AQ43" i="1" s="1"/>
  <c r="AQ46" i="1" s="1"/>
  <c r="AQ51" i="1" s="1"/>
  <c r="AQ52" i="1" s="1"/>
  <c r="AL37" i="1"/>
  <c r="AL43" i="1" s="1"/>
  <c r="AL46" i="1" s="1"/>
  <c r="AL51" i="1" s="1"/>
  <c r="AL52" i="1" s="1"/>
  <c r="AD37" i="1"/>
  <c r="AD43" i="1" s="1"/>
  <c r="AD46" i="1" s="1"/>
  <c r="AD51" i="1" s="1"/>
  <c r="AD52" i="1" s="1"/>
  <c r="BD37" i="1"/>
  <c r="BD43" i="1" s="1"/>
  <c r="BD46" i="1" s="1"/>
  <c r="BD51" i="1" s="1"/>
  <c r="BD52" i="1" s="1"/>
  <c r="BK37" i="1"/>
  <c r="BK43" i="1" s="1"/>
  <c r="BK46" i="1" s="1"/>
  <c r="BK51" i="1" s="1"/>
  <c r="BK52" i="1" s="1"/>
  <c r="BP27" i="1"/>
  <c r="J37" i="1"/>
  <c r="J43" i="1" s="1"/>
  <c r="J46" i="1" s="1"/>
  <c r="J51" i="1" s="1"/>
  <c r="J52" i="1" s="1"/>
  <c r="BI27" i="1"/>
  <c r="W37" i="1"/>
  <c r="W43" i="1" s="1"/>
  <c r="W46" i="1" s="1"/>
  <c r="W51" i="1" s="1"/>
  <c r="W52" i="1" s="1"/>
  <c r="AU38" i="1"/>
  <c r="AU43" i="1"/>
  <c r="AU46" i="1" s="1"/>
  <c r="AU51" i="1" s="1"/>
  <c r="AU52" i="1" s="1"/>
  <c r="AT27" i="1"/>
  <c r="AO37" i="1"/>
  <c r="AO38" i="1" s="1"/>
  <c r="AM37" i="1"/>
  <c r="AM43" i="1" s="1"/>
  <c r="AM46" i="1" s="1"/>
  <c r="AM51" i="1" s="1"/>
  <c r="AM52" i="1" s="1"/>
  <c r="BH37" i="1"/>
  <c r="BH43" i="1" s="1"/>
  <c r="BH46" i="1" s="1"/>
  <c r="BH51" i="1" s="1"/>
  <c r="BH52" i="1" s="1"/>
  <c r="Y26" i="1"/>
  <c r="Y37" i="1" s="1"/>
  <c r="BB27" i="1"/>
  <c r="AY27" i="1"/>
  <c r="U26" i="1"/>
  <c r="U37" i="1" s="1"/>
  <c r="AN37" i="1"/>
  <c r="AN38" i="1" s="1"/>
  <c r="BM37" i="1"/>
  <c r="BM38" i="1" s="1"/>
  <c r="BG27" i="1"/>
  <c r="BE37" i="1"/>
  <c r="BE38" i="1" s="1"/>
  <c r="BF37" i="1"/>
  <c r="BF38" i="1" s="1"/>
  <c r="AF37" i="1"/>
  <c r="AF38" i="1" s="1"/>
  <c r="BO27" i="1"/>
  <c r="R37" i="1"/>
  <c r="R43" i="1" s="1"/>
  <c r="R46" i="1" s="1"/>
  <c r="R51" i="1" s="1"/>
  <c r="R52" i="1" s="1"/>
  <c r="AX37" i="1"/>
  <c r="AW37" i="1"/>
  <c r="AW38" i="1" s="1"/>
  <c r="AH43" i="1"/>
  <c r="AH46" i="1" s="1"/>
  <c r="AH51" i="1" s="1"/>
  <c r="AH52" i="1" s="1"/>
  <c r="T37" i="1"/>
  <c r="T43" i="1" s="1"/>
  <c r="T46" i="1" s="1"/>
  <c r="T51" i="1" s="1"/>
  <c r="T52" i="1" s="1"/>
  <c r="Z37" i="1"/>
  <c r="Z43" i="1" s="1"/>
  <c r="Z46" i="1" s="1"/>
  <c r="Z51" i="1" s="1"/>
  <c r="Z52" i="1" s="1"/>
  <c r="AR27" i="1"/>
  <c r="BN37" i="1"/>
  <c r="BB60" i="1"/>
  <c r="BB59" i="1"/>
  <c r="BQ37" i="1"/>
  <c r="BQ38" i="1" s="1"/>
  <c r="AJ37" i="1"/>
  <c r="AJ43" i="1" s="1"/>
  <c r="AJ46" i="1" s="1"/>
  <c r="AJ51" i="1" s="1"/>
  <c r="AJ52" i="1" s="1"/>
  <c r="BJ37" i="1"/>
  <c r="BJ43" i="1" s="1"/>
  <c r="BJ46" i="1" s="1"/>
  <c r="BJ51" i="1" s="1"/>
  <c r="BJ52" i="1" s="1"/>
  <c r="BB38" i="1"/>
  <c r="AZ27" i="1"/>
  <c r="AE43" i="1"/>
  <c r="AE46" i="1" s="1"/>
  <c r="AE51" i="1" s="1"/>
  <c r="AE52" i="1" s="1"/>
  <c r="P37" i="1"/>
  <c r="P38" i="1" s="1"/>
  <c r="P27" i="1"/>
  <c r="AT43" i="1"/>
  <c r="AT46" i="1" s="1"/>
  <c r="AT51" i="1" s="1"/>
  <c r="AT52" i="1" s="1"/>
  <c r="AT38" i="1"/>
  <c r="AG18" i="1"/>
  <c r="AG28" i="1"/>
  <c r="U28" i="1"/>
  <c r="AB37" i="1"/>
  <c r="AB27" i="1"/>
  <c r="AA37" i="1"/>
  <c r="AA27" i="1"/>
  <c r="S37" i="1"/>
  <c r="S27" i="1"/>
  <c r="L43" i="1"/>
  <c r="L46" i="1" s="1"/>
  <c r="L51" i="1" s="1"/>
  <c r="L52" i="1" s="1"/>
  <c r="L38" i="1"/>
  <c r="M18" i="1"/>
  <c r="M28" i="1"/>
  <c r="N37" i="1"/>
  <c r="N27" i="1"/>
  <c r="Q28" i="1"/>
  <c r="BI43" i="1"/>
  <c r="BI46" i="1" s="1"/>
  <c r="BI51" i="1" s="1"/>
  <c r="BI52" i="1" s="1"/>
  <c r="BI38" i="1"/>
  <c r="Q26" i="1"/>
  <c r="AY43" i="1"/>
  <c r="AY46" i="1" s="1"/>
  <c r="AY51" i="1" s="1"/>
  <c r="AY52" i="1" s="1"/>
  <c r="AY38" i="1"/>
  <c r="BP43" i="1"/>
  <c r="BP46" i="1" s="1"/>
  <c r="BP51" i="1" s="1"/>
  <c r="BP52" i="1" s="1"/>
  <c r="BP38" i="1"/>
  <c r="BA43" i="1"/>
  <c r="BA46" i="1" s="1"/>
  <c r="BA51" i="1" s="1"/>
  <c r="BA52" i="1" s="1"/>
  <c r="BA38" i="1"/>
  <c r="BG43" i="1"/>
  <c r="BG46" i="1" s="1"/>
  <c r="BG51" i="1" s="1"/>
  <c r="BG52" i="1" s="1"/>
  <c r="BG38" i="1"/>
  <c r="V37" i="1"/>
  <c r="V27" i="1"/>
  <c r="AR43" i="1"/>
  <c r="AR46" i="1" s="1"/>
  <c r="AR51" i="1" s="1"/>
  <c r="AR52" i="1" s="1"/>
  <c r="AR38" i="1"/>
  <c r="AI43" i="1"/>
  <c r="AI46" i="1" s="1"/>
  <c r="AI51" i="1" s="1"/>
  <c r="AI52" i="1" s="1"/>
  <c r="AI38" i="1"/>
  <c r="BO43" i="1"/>
  <c r="BO46" i="1" s="1"/>
  <c r="BO51" i="1" s="1"/>
  <c r="BO52" i="1" s="1"/>
  <c r="BO38" i="1"/>
  <c r="AZ43" i="1"/>
  <c r="AZ46" i="1" s="1"/>
  <c r="AZ51" i="1" s="1"/>
  <c r="AZ52" i="1" s="1"/>
  <c r="AZ38" i="1"/>
  <c r="W38" i="1" l="1"/>
  <c r="AC27" i="1"/>
  <c r="AK43" i="1"/>
  <c r="AK46" i="1" s="1"/>
  <c r="AK51" i="1" s="1"/>
  <c r="AK52" i="1" s="1"/>
  <c r="AG80" i="1"/>
  <c r="AG81" i="1" s="1"/>
  <c r="AG76" i="1"/>
  <c r="AG77" i="1" s="1"/>
  <c r="AG74" i="1"/>
  <c r="AG75" i="1" s="1"/>
  <c r="AQ38" i="1"/>
  <c r="BC43" i="1"/>
  <c r="BC46" i="1" s="1"/>
  <c r="BC51" i="1" s="1"/>
  <c r="BC52" i="1" s="1"/>
  <c r="BL43" i="1"/>
  <c r="BL46" i="1" s="1"/>
  <c r="BL51" i="1" s="1"/>
  <c r="BL52" i="1" s="1"/>
  <c r="X27" i="1"/>
  <c r="AP43" i="1"/>
  <c r="AP46" i="1" s="1"/>
  <c r="AP51" i="1" s="1"/>
  <c r="AP52" i="1" s="1"/>
  <c r="AC38" i="1"/>
  <c r="Y27" i="1"/>
  <c r="AS38" i="1"/>
  <c r="O27" i="1"/>
  <c r="AV43" i="1"/>
  <c r="AV46" i="1" s="1"/>
  <c r="AV51" i="1" s="1"/>
  <c r="AV52" i="1" s="1"/>
  <c r="K37" i="1"/>
  <c r="K43" i="1" s="1"/>
  <c r="K46" i="1" s="1"/>
  <c r="K51" i="1" s="1"/>
  <c r="K52" i="1" s="1"/>
  <c r="BQ43" i="1"/>
  <c r="BQ46" i="1" s="1"/>
  <c r="BQ51" i="1" s="1"/>
  <c r="BQ52" i="1" s="1"/>
  <c r="J38" i="1"/>
  <c r="AD59" i="1"/>
  <c r="AD38" i="1"/>
  <c r="AG26" i="1"/>
  <c r="AG27" i="1" s="1"/>
  <c r="AG78" i="1"/>
  <c r="P43" i="1"/>
  <c r="P46" i="1" s="1"/>
  <c r="P51" i="1" s="1"/>
  <c r="P52" i="1" s="1"/>
  <c r="BD38" i="1"/>
  <c r="AL38" i="1"/>
  <c r="AU59" i="1"/>
  <c r="M26" i="1"/>
  <c r="M37" i="1" s="1"/>
  <c r="M76" i="1"/>
  <c r="M80" i="1"/>
  <c r="M78" i="1"/>
  <c r="AW43" i="1"/>
  <c r="AW46" i="1" s="1"/>
  <c r="AW51" i="1" s="1"/>
  <c r="AW52" i="1" s="1"/>
  <c r="T38" i="1"/>
  <c r="AD60" i="1"/>
  <c r="U27" i="1"/>
  <c r="BK38" i="1"/>
  <c r="AM38" i="1"/>
  <c r="AO43" i="1"/>
  <c r="AO46" i="1" s="1"/>
  <c r="AO51" i="1" s="1"/>
  <c r="AO52" i="1" s="1"/>
  <c r="AU60" i="1"/>
  <c r="AH60" i="1"/>
  <c r="AH59" i="1"/>
  <c r="BF43" i="1"/>
  <c r="BF46" i="1" s="1"/>
  <c r="BF51" i="1" s="1"/>
  <c r="BF52" i="1" s="1"/>
  <c r="BH38" i="1"/>
  <c r="BE43" i="1"/>
  <c r="BE46" i="1" s="1"/>
  <c r="BE51" i="1" s="1"/>
  <c r="BE52" i="1" s="1"/>
  <c r="BJ38" i="1"/>
  <c r="AJ38" i="1"/>
  <c r="BM43" i="1"/>
  <c r="BM46" i="1" s="1"/>
  <c r="BM51" i="1" s="1"/>
  <c r="BM52" i="1" s="1"/>
  <c r="Z38" i="1"/>
  <c r="R38" i="1"/>
  <c r="AN43" i="1"/>
  <c r="AN46" i="1" s="1"/>
  <c r="AN51" i="1" s="1"/>
  <c r="AN52" i="1" s="1"/>
  <c r="AX38" i="1"/>
  <c r="AX43" i="1"/>
  <c r="AX46" i="1" s="1"/>
  <c r="AF43" i="1"/>
  <c r="AF46" i="1" s="1"/>
  <c r="AF51" i="1" s="1"/>
  <c r="AF52" i="1" s="1"/>
  <c r="BN38" i="1"/>
  <c r="BN43" i="1"/>
  <c r="BN46" i="1" s="1"/>
  <c r="BK59" i="1"/>
  <c r="BK60" i="1"/>
  <c r="BJ60" i="1"/>
  <c r="BJ59" i="1"/>
  <c r="AE59" i="1"/>
  <c r="AE60" i="1"/>
  <c r="AM59" i="1"/>
  <c r="AM60" i="1"/>
  <c r="BD59" i="1"/>
  <c r="BD60" i="1"/>
  <c r="AT59" i="1"/>
  <c r="AT60" i="1"/>
  <c r="O38" i="1"/>
  <c r="O43" i="1"/>
  <c r="O46" i="1" s="1"/>
  <c r="O51" i="1" s="1"/>
  <c r="O52" i="1" s="1"/>
  <c r="AL60" i="1"/>
  <c r="AL59" i="1"/>
  <c r="V43" i="1"/>
  <c r="V46" i="1" s="1"/>
  <c r="V51" i="1" s="1"/>
  <c r="V52" i="1" s="1"/>
  <c r="V38" i="1"/>
  <c r="AQ59" i="1"/>
  <c r="AQ60" i="1"/>
  <c r="U43" i="1"/>
  <c r="U46" i="1" s="1"/>
  <c r="U51" i="1" s="1"/>
  <c r="U52" i="1" s="1"/>
  <c r="U38" i="1"/>
  <c r="S43" i="1"/>
  <c r="S46" i="1" s="1"/>
  <c r="S51" i="1" s="1"/>
  <c r="S52" i="1" s="1"/>
  <c r="S38" i="1"/>
  <c r="AY59" i="1"/>
  <c r="AY60" i="1"/>
  <c r="R59" i="1"/>
  <c r="R60" i="1"/>
  <c r="BP59" i="1"/>
  <c r="BP60" i="1"/>
  <c r="AJ59" i="1"/>
  <c r="AJ60" i="1"/>
  <c r="BG59" i="1"/>
  <c r="BG60" i="1"/>
  <c r="AA43" i="1"/>
  <c r="AA46" i="1" s="1"/>
  <c r="AA51" i="1" s="1"/>
  <c r="AA52" i="1" s="1"/>
  <c r="AA38" i="1"/>
  <c r="BI59" i="1"/>
  <c r="BI60" i="1"/>
  <c r="AZ59" i="1"/>
  <c r="AZ60" i="1"/>
  <c r="N43" i="1"/>
  <c r="N46" i="1" s="1"/>
  <c r="N51" i="1" s="1"/>
  <c r="N52" i="1" s="1"/>
  <c r="N38" i="1"/>
  <c r="AS59" i="1"/>
  <c r="AS60" i="1"/>
  <c r="J59" i="1"/>
  <c r="J60" i="1"/>
  <c r="AR59" i="1"/>
  <c r="AR60" i="1"/>
  <c r="BH59" i="1"/>
  <c r="BH60" i="1"/>
  <c r="W60" i="1"/>
  <c r="W59" i="1"/>
  <c r="BO59" i="1"/>
  <c r="BO60" i="1"/>
  <c r="T59" i="1"/>
  <c r="T60" i="1"/>
  <c r="Y38" i="1"/>
  <c r="Y43" i="1"/>
  <c r="Y46" i="1" s="1"/>
  <c r="Y51" i="1" s="1"/>
  <c r="Y52" i="1" s="1"/>
  <c r="Z59" i="1"/>
  <c r="Z60" i="1"/>
  <c r="Q27" i="1"/>
  <c r="Q37" i="1"/>
  <c r="AI59" i="1"/>
  <c r="AI60" i="1"/>
  <c r="BA59" i="1"/>
  <c r="BA60" i="1"/>
  <c r="X38" i="1"/>
  <c r="X43" i="1"/>
  <c r="X46" i="1" s="1"/>
  <c r="X51" i="1" s="1"/>
  <c r="X52" i="1" s="1"/>
  <c r="AC59" i="1"/>
  <c r="AC60" i="1"/>
  <c r="L59" i="1"/>
  <c r="L60" i="1"/>
  <c r="AB43" i="1"/>
  <c r="AB46" i="1" s="1"/>
  <c r="AB51" i="1" s="1"/>
  <c r="AB52" i="1" s="1"/>
  <c r="AB38" i="1"/>
  <c r="AK60" i="1" l="1"/>
  <c r="AP59" i="1"/>
  <c r="AP60" i="1"/>
  <c r="AK59" i="1"/>
  <c r="BL59" i="1"/>
  <c r="BC60" i="1"/>
  <c r="BL60" i="1"/>
  <c r="BC59" i="1"/>
  <c r="BQ60" i="1"/>
  <c r="AW60" i="1"/>
  <c r="BQ59" i="1"/>
  <c r="K38" i="1"/>
  <c r="AV59" i="1"/>
  <c r="AV60" i="1"/>
  <c r="AG37" i="1"/>
  <c r="AG38" i="1" s="1"/>
  <c r="P59" i="1"/>
  <c r="P60" i="1"/>
  <c r="M27" i="1"/>
  <c r="BF60" i="1"/>
  <c r="BF59" i="1"/>
  <c r="AW59" i="1"/>
  <c r="AO60" i="1"/>
  <c r="BE59" i="1"/>
  <c r="BM60" i="1"/>
  <c r="AO59" i="1"/>
  <c r="BM59" i="1"/>
  <c r="BE60" i="1"/>
  <c r="AN59" i="1"/>
  <c r="AN60" i="1"/>
  <c r="AF59" i="1"/>
  <c r="BN51" i="1"/>
  <c r="BN52" i="1" s="1"/>
  <c r="BN59" i="1"/>
  <c r="BN60" i="1"/>
  <c r="AF60" i="1"/>
  <c r="AX51" i="1"/>
  <c r="AX52" i="1" s="1"/>
  <c r="AX60" i="1"/>
  <c r="AX59" i="1"/>
  <c r="O60" i="1"/>
  <c r="O59" i="1"/>
  <c r="U59" i="1"/>
  <c r="U60" i="1"/>
  <c r="N60" i="1"/>
  <c r="N59" i="1"/>
  <c r="M43" i="1"/>
  <c r="M46" i="1" s="1"/>
  <c r="M51" i="1" s="1"/>
  <c r="M52" i="1" s="1"/>
  <c r="M38" i="1"/>
  <c r="AA59" i="1"/>
  <c r="AA60" i="1"/>
  <c r="X59" i="1"/>
  <c r="X60" i="1"/>
  <c r="V60" i="1"/>
  <c r="V59" i="1"/>
  <c r="AB59" i="1"/>
  <c r="AB60" i="1"/>
  <c r="Y60" i="1"/>
  <c r="Y59" i="1"/>
  <c r="K59" i="1"/>
  <c r="K60" i="1"/>
  <c r="Q38" i="1"/>
  <c r="Q43" i="1"/>
  <c r="Q46" i="1" s="1"/>
  <c r="Q51" i="1" s="1"/>
  <c r="Q52" i="1" s="1"/>
  <c r="S59" i="1"/>
  <c r="S60" i="1"/>
  <c r="AG43" i="1" l="1"/>
  <c r="AG46" i="1" s="1"/>
  <c r="AG51" i="1" s="1"/>
  <c r="AG52" i="1" s="1"/>
  <c r="M59" i="1"/>
  <c r="M60" i="1"/>
  <c r="Q60" i="1"/>
  <c r="Q59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J82" i="1"/>
  <c r="AG59" i="1" l="1"/>
  <c r="AG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tc={AD66D7B3-F872-417E-9071-A3E7062C3A1A}</author>
  </authors>
  <commentList>
    <comment ref="AB18" authorId="0" shapeId="0" xr:uid="{AD66D7B3-F872-417E-9071-A3E7062C3A1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sales - 6933.976 on IS</t>
      </text>
    </comment>
  </commentList>
</comments>
</file>

<file path=xl/sharedStrings.xml><?xml version="1.0" encoding="utf-8"?>
<sst xmlns="http://schemas.openxmlformats.org/spreadsheetml/2006/main" count="70" uniqueCount="60">
  <si>
    <t>Product</t>
  </si>
  <si>
    <t>Customer service</t>
  </si>
  <si>
    <t>Engineering development contracts</t>
  </si>
  <si>
    <t>Total net sales</t>
  </si>
  <si>
    <t>Earnings Model</t>
  </si>
  <si>
    <t>Fiscal Quarter</t>
  </si>
  <si>
    <t>Fiscal Year</t>
  </si>
  <si>
    <t>Innovative Solutions and Support, Inc.</t>
  </si>
  <si>
    <t>(NYSE: ISSC)</t>
  </si>
  <si>
    <t>$000s</t>
  </si>
  <si>
    <t>Cost of sales:</t>
  </si>
  <si>
    <t>Net sales:</t>
  </si>
  <si>
    <t>Total cost of sales</t>
  </si>
  <si>
    <t>Gross profit</t>
  </si>
  <si>
    <t>Gross margin %</t>
  </si>
  <si>
    <t>Gross margin % - product</t>
  </si>
  <si>
    <t>Gross margin % - customer service</t>
  </si>
  <si>
    <t>Gross margin % - EDCs</t>
  </si>
  <si>
    <t>Opex:</t>
  </si>
  <si>
    <t>R&amp;D</t>
  </si>
  <si>
    <t>SG&amp;A</t>
  </si>
  <si>
    <t>Total opex</t>
  </si>
  <si>
    <t>Operating income</t>
  </si>
  <si>
    <t>Operating margin %</t>
  </si>
  <si>
    <t>Interest expense</t>
  </si>
  <si>
    <t>Interest income</t>
  </si>
  <si>
    <t>Other income</t>
  </si>
  <si>
    <t>Income before tax</t>
  </si>
  <si>
    <t>Income tax expense</t>
  </si>
  <si>
    <t>Net income</t>
  </si>
  <si>
    <t>Weighted average shares outstanding:</t>
  </si>
  <si>
    <t>Basic</t>
  </si>
  <si>
    <t>Diluted</t>
  </si>
  <si>
    <t>EPS:</t>
  </si>
  <si>
    <t>(+) Interest</t>
  </si>
  <si>
    <t>(+) Taxes</t>
  </si>
  <si>
    <t>(+) D&amp;A</t>
  </si>
  <si>
    <t>EBITDA</t>
  </si>
  <si>
    <t>EBITDA margin %</t>
  </si>
  <si>
    <t>OEM CapEx</t>
  </si>
  <si>
    <t>Unit Economics</t>
  </si>
  <si>
    <t>Pilatus CapEx</t>
  </si>
  <si>
    <t>Textron CapEx</t>
  </si>
  <si>
    <t>Challenge Airlines CapEx</t>
  </si>
  <si>
    <t>Air Transport Services Group CapEx</t>
  </si>
  <si>
    <t>% of net sales</t>
  </si>
  <si>
    <t>ISSC - Pilatus Revenue</t>
  </si>
  <si>
    <t>ISSC - Textron Revenue</t>
  </si>
  <si>
    <t>ISSC - Challenge Airlines Revenue</t>
  </si>
  <si>
    <t>ISSC - ATSG Revenue</t>
  </si>
  <si>
    <t>ISSC - Cargojet Inc. Revenue</t>
  </si>
  <si>
    <t xml:space="preserve">think the build would be </t>
  </si>
  <si>
    <t>OEM Aviation related rev -&gt; % CapEx of revenue -&gt; ISSC % of CapEx = ISSC XOEM revenue</t>
  </si>
  <si>
    <t>OEM backlog -&gt; project OEM revenues (Backlog + % of new orders, perhaps use TAM CAGR) -&gt; % CapEx should be relatively stable going forward</t>
  </si>
  <si>
    <t>Regress to find corr</t>
  </si>
  <si>
    <t>project for each, then sum and subdivide between EDCs/service/product</t>
  </si>
  <si>
    <t>ISSC - Amazon Revenue</t>
  </si>
  <si>
    <t>Item</t>
  </si>
  <si>
    <t>Input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</si>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</sst>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mmm\-yy;@"/>
    <numFmt numFmtId="165" formatCode="0.00_);\(0.00\)"/>
    <numFmt numFmtId="166" formatCode="0_);\(0\)"/>
    <numFmt numFmtId="167" formatCode="0.000_);\(0.0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9" fontId="5" fillId="0" borderId="0" xfId="1" applyFont="1"/>
    <xf numFmtId="0" fontId="6" fillId="3" borderId="0" xfId="0" applyFont="1" applyFill="1"/>
    <xf numFmtId="164" fontId="6" fillId="4" borderId="0" xfId="0" applyNumberFormat="1" applyFont="1" applyFill="1" applyAlignment="1">
      <alignment horizontal="center"/>
    </xf>
    <xf numFmtId="9" fontId="5" fillId="0" borderId="1" xfId="1" applyFont="1" applyBorder="1"/>
    <xf numFmtId="9" fontId="5" fillId="0" borderId="0" xfId="1" applyFont="1" applyBorder="1"/>
    <xf numFmtId="0" fontId="6" fillId="3" borderId="0" xfId="0" applyFont="1" applyFill="1" applyAlignment="1">
      <alignment horizontal="left" indent="1"/>
    </xf>
    <xf numFmtId="165" fontId="2" fillId="0" borderId="0" xfId="0" applyNumberFormat="1" applyFont="1"/>
    <xf numFmtId="165" fontId="6" fillId="3" borderId="1" xfId="0" applyNumberFormat="1" applyFont="1" applyFill="1" applyBorder="1"/>
    <xf numFmtId="165" fontId="2" fillId="0" borderId="1" xfId="0" applyNumberFormat="1" applyFont="1" applyBorder="1"/>
    <xf numFmtId="165" fontId="6" fillId="3" borderId="0" xfId="0" applyNumberFormat="1" applyFont="1" applyFill="1"/>
    <xf numFmtId="166" fontId="2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7" fontId="7" fillId="0" borderId="0" xfId="0" applyNumberFormat="1" applyFont="1"/>
    <xf numFmtId="9" fontId="2" fillId="0" borderId="0" xfId="0" applyNumberFormat="1" applyFont="1"/>
    <xf numFmtId="0" fontId="5" fillId="0" borderId="0" xfId="0" applyFont="1"/>
    <xf numFmtId="9" fontId="5" fillId="0" borderId="0" xfId="0" applyNumberFormat="1" applyFont="1"/>
    <xf numFmtId="166" fontId="7" fillId="0" borderId="0" xfId="0" applyNumberFormat="1" applyFont="1"/>
    <xf numFmtId="2" fontId="2" fillId="0" borderId="0" xfId="2" applyNumberFormat="1" applyFont="1"/>
    <xf numFmtId="2" fontId="5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Chen" id="{7050C016-20C2-4036-9356-51CF5944C770}" userId="S::achen@kcpl.ca::e700c5af-fa5f-46e9-a5ee-ce5681654b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8" dT="2024-05-23T13:42:45.36" personId="{7050C016-20C2-4036-9356-51CF5944C770}" id="{AD66D7B3-F872-417E-9071-A3E7062C3A1A}">
    <text>Net sales - 6933.976 on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23AE-8866-4A9C-933B-8F51FE8EAF17}">
  <sheetPr>
    <pageSetUpPr autoPageBreaks="0"/>
  </sheetPr>
  <dimension ref="B2:BQ85"/>
  <sheetViews>
    <sheetView showGridLines="0" tabSelected="1" zoomScaleNormal="100" workbookViewId="0">
      <pane xSplit="7" ySplit="12" topLeftCell="Z60" activePane="bottomRight" state="frozen"/>
      <selection pane="topRight" activeCell="E1" sqref="E1"/>
      <selection pane="bottomLeft" activeCell="A15" sqref="A15"/>
      <selection pane="bottomRight" activeCell="Z3" sqref="Z3"/>
    </sheetView>
  </sheetViews>
  <sheetFormatPr defaultColWidth="9.7109375" defaultRowHeight="15" x14ac:dyDescent="0.25"/>
  <cols>
    <col min="1" max="1" width="9.7109375" style="1"/>
    <col min="2" max="2" width="36.42578125" style="1" customWidth="1"/>
    <col min="3" max="5" width="9.7109375" style="1" customWidth="1"/>
    <col min="6" max="9" width="1.7109375" style="1" customWidth="1"/>
    <col min="10" max="32" width="9.7109375" style="1" bestFit="1" customWidth="1"/>
    <col min="33" max="33" width="9.7109375" style="1" customWidth="1"/>
    <col min="34" max="34" width="9.7109375" style="1" bestFit="1" customWidth="1"/>
    <col min="35" max="35" width="9.7109375" style="1" customWidth="1"/>
    <col min="36" max="16384" width="9.7109375" style="1"/>
  </cols>
  <sheetData>
    <row r="2" spans="2:69" x14ac:dyDescent="0.25">
      <c r="B2" s="1" t="s">
        <v>7</v>
      </c>
    </row>
    <row r="3" spans="2:69" x14ac:dyDescent="0.25">
      <c r="B3" s="1" t="s">
        <v>8</v>
      </c>
    </row>
    <row r="4" spans="2:69" x14ac:dyDescent="0.25">
      <c r="B4" s="1" t="s">
        <v>9</v>
      </c>
    </row>
    <row r="5" spans="2:69" x14ac:dyDescent="0.25">
      <c r="B5" s="7">
        <v>45434</v>
      </c>
      <c r="C5" s="7"/>
      <c r="D5" s="7"/>
      <c r="E5" s="7"/>
      <c r="F5" s="7"/>
      <c r="G5" s="7"/>
      <c r="H5" s="7"/>
      <c r="I5" s="7"/>
    </row>
    <row r="7" spans="2:69" x14ac:dyDescent="0.25">
      <c r="B7" s="4" t="s">
        <v>4</v>
      </c>
      <c r="C7" s="4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9" spans="2:69" x14ac:dyDescent="0.25">
      <c r="B9" s="1" t="s">
        <v>5</v>
      </c>
      <c r="J9" s="5">
        <v>1</v>
      </c>
      <c r="K9" s="5">
        <f>J9+1</f>
        <v>2</v>
      </c>
      <c r="L9" s="5">
        <f>K9+1</f>
        <v>3</v>
      </c>
      <c r="M9" s="5">
        <f>L9+1</f>
        <v>4</v>
      </c>
      <c r="N9" s="5">
        <f>J9</f>
        <v>1</v>
      </c>
      <c r="O9" s="5">
        <f t="shared" ref="O9:Y9" si="0">K9</f>
        <v>2</v>
      </c>
      <c r="P9" s="5">
        <f t="shared" si="0"/>
        <v>3</v>
      </c>
      <c r="Q9" s="5">
        <f t="shared" si="0"/>
        <v>4</v>
      </c>
      <c r="R9" s="5">
        <f t="shared" si="0"/>
        <v>1</v>
      </c>
      <c r="S9" s="5">
        <f t="shared" si="0"/>
        <v>2</v>
      </c>
      <c r="T9" s="5">
        <f t="shared" si="0"/>
        <v>3</v>
      </c>
      <c r="U9" s="5">
        <f t="shared" si="0"/>
        <v>4</v>
      </c>
      <c r="V9" s="5">
        <f t="shared" si="0"/>
        <v>1</v>
      </c>
      <c r="W9" s="5">
        <f t="shared" si="0"/>
        <v>2</v>
      </c>
      <c r="X9" s="5">
        <f t="shared" si="0"/>
        <v>3</v>
      </c>
      <c r="Y9" s="5">
        <f t="shared" si="0"/>
        <v>4</v>
      </c>
      <c r="Z9" s="5">
        <f t="shared" ref="Z9" si="1">V9</f>
        <v>1</v>
      </c>
      <c r="AA9" s="5">
        <f t="shared" ref="AA9" si="2">W9</f>
        <v>2</v>
      </c>
      <c r="AB9" s="5">
        <f t="shared" ref="AB9" si="3">X9</f>
        <v>3</v>
      </c>
      <c r="AC9" s="5">
        <f t="shared" ref="AC9" si="4">Y9</f>
        <v>4</v>
      </c>
      <c r="AD9" s="5">
        <f t="shared" ref="AD9" si="5">Z9</f>
        <v>1</v>
      </c>
      <c r="AE9" s="5">
        <f t="shared" ref="AE9" si="6">AA9</f>
        <v>2</v>
      </c>
      <c r="AF9" s="5">
        <f t="shared" ref="AF9" si="7">AB9</f>
        <v>3</v>
      </c>
      <c r="AG9" s="5">
        <f t="shared" ref="AG9" si="8">AC9</f>
        <v>4</v>
      </c>
      <c r="AH9" s="5">
        <f t="shared" ref="AH9" si="9">AD9</f>
        <v>1</v>
      </c>
      <c r="AI9" s="5">
        <f t="shared" ref="AI9" si="10">AE9</f>
        <v>2</v>
      </c>
      <c r="AJ9" s="5">
        <f t="shared" ref="AJ9" si="11">AF9</f>
        <v>3</v>
      </c>
      <c r="AK9" s="5">
        <f t="shared" ref="AK9" si="12">AG9</f>
        <v>4</v>
      </c>
      <c r="AL9" s="5">
        <f t="shared" ref="AL9" si="13">AH9</f>
        <v>1</v>
      </c>
      <c r="AM9" s="5">
        <f t="shared" ref="AM9" si="14">AI9</f>
        <v>2</v>
      </c>
      <c r="AN9" s="5">
        <f t="shared" ref="AN9" si="15">AJ9</f>
        <v>3</v>
      </c>
      <c r="AO9" s="5">
        <f t="shared" ref="AO9" si="16">AK9</f>
        <v>4</v>
      </c>
      <c r="AP9" s="5">
        <f t="shared" ref="AP9" si="17">AL9</f>
        <v>1</v>
      </c>
      <c r="AQ9" s="5">
        <f t="shared" ref="AQ9" si="18">AM9</f>
        <v>2</v>
      </c>
      <c r="AR9" s="5">
        <f t="shared" ref="AR9" si="19">AN9</f>
        <v>3</v>
      </c>
      <c r="AS9" s="5">
        <f t="shared" ref="AS9" si="20">AO9</f>
        <v>4</v>
      </c>
      <c r="AT9" s="5">
        <f t="shared" ref="AT9" si="21">AP9</f>
        <v>1</v>
      </c>
      <c r="AU9" s="5">
        <f t="shared" ref="AU9" si="22">AQ9</f>
        <v>2</v>
      </c>
      <c r="AV9" s="5">
        <f t="shared" ref="AV9" si="23">AR9</f>
        <v>3</v>
      </c>
      <c r="AW9" s="5">
        <f t="shared" ref="AW9" si="24">AS9</f>
        <v>4</v>
      </c>
      <c r="AX9" s="5">
        <f t="shared" ref="AX9" si="25">AT9</f>
        <v>1</v>
      </c>
      <c r="AY9" s="5">
        <f t="shared" ref="AY9" si="26">AU9</f>
        <v>2</v>
      </c>
      <c r="AZ9" s="5">
        <f t="shared" ref="AZ9" si="27">AV9</f>
        <v>3</v>
      </c>
      <c r="BA9" s="5">
        <f t="shared" ref="BA9" si="28">AW9</f>
        <v>4</v>
      </c>
      <c r="BB9" s="5">
        <f t="shared" ref="BB9" si="29">AX9</f>
        <v>1</v>
      </c>
      <c r="BC9" s="5">
        <f t="shared" ref="BC9" si="30">AY9</f>
        <v>2</v>
      </c>
      <c r="BD9" s="5">
        <f t="shared" ref="BD9" si="31">AZ9</f>
        <v>3</v>
      </c>
      <c r="BE9" s="5">
        <f t="shared" ref="BE9" si="32">BA9</f>
        <v>4</v>
      </c>
      <c r="BF9" s="5">
        <f t="shared" ref="BF9" si="33">BB9</f>
        <v>1</v>
      </c>
      <c r="BG9" s="5">
        <f t="shared" ref="BG9" si="34">BC9</f>
        <v>2</v>
      </c>
      <c r="BH9" s="5">
        <f t="shared" ref="BH9" si="35">BD9</f>
        <v>3</v>
      </c>
      <c r="BI9" s="5">
        <f t="shared" ref="BI9" si="36">BE9</f>
        <v>4</v>
      </c>
      <c r="BJ9" s="5">
        <f t="shared" ref="BJ9" si="37">BF9</f>
        <v>1</v>
      </c>
      <c r="BK9" s="5">
        <f t="shared" ref="BK9" si="38">BG9</f>
        <v>2</v>
      </c>
      <c r="BL9" s="5">
        <f t="shared" ref="BL9" si="39">BH9</f>
        <v>3</v>
      </c>
      <c r="BM9" s="5">
        <f t="shared" ref="BM9" si="40">BI9</f>
        <v>4</v>
      </c>
      <c r="BN9" s="5">
        <f t="shared" ref="BN9" si="41">BJ9</f>
        <v>1</v>
      </c>
      <c r="BO9" s="5">
        <f t="shared" ref="BO9" si="42">BK9</f>
        <v>2</v>
      </c>
      <c r="BP9" s="5">
        <f t="shared" ref="BP9" si="43">BL9</f>
        <v>3</v>
      </c>
      <c r="BQ9" s="5">
        <f t="shared" ref="BQ9" si="44">BM9</f>
        <v>4</v>
      </c>
    </row>
    <row r="10" spans="2:69" x14ac:dyDescent="0.25">
      <c r="B10" s="1" t="s">
        <v>6</v>
      </c>
      <c r="J10" s="6">
        <v>2018</v>
      </c>
      <c r="K10" s="6">
        <v>2018</v>
      </c>
      <c r="L10" s="6">
        <v>2018</v>
      </c>
      <c r="M10" s="6">
        <v>2018</v>
      </c>
      <c r="N10" s="6">
        <f>J10+1</f>
        <v>2019</v>
      </c>
      <c r="O10" s="6">
        <f t="shared" ref="O10:Y10" si="45">K10+1</f>
        <v>2019</v>
      </c>
      <c r="P10" s="6">
        <f t="shared" si="45"/>
        <v>2019</v>
      </c>
      <c r="Q10" s="6">
        <f t="shared" si="45"/>
        <v>2019</v>
      </c>
      <c r="R10" s="6">
        <f t="shared" si="45"/>
        <v>2020</v>
      </c>
      <c r="S10" s="6">
        <f t="shared" si="45"/>
        <v>2020</v>
      </c>
      <c r="T10" s="6">
        <f t="shared" si="45"/>
        <v>2020</v>
      </c>
      <c r="U10" s="6">
        <f t="shared" si="45"/>
        <v>2020</v>
      </c>
      <c r="V10" s="6">
        <f t="shared" si="45"/>
        <v>2021</v>
      </c>
      <c r="W10" s="6">
        <f t="shared" si="45"/>
        <v>2021</v>
      </c>
      <c r="X10" s="6">
        <f t="shared" si="45"/>
        <v>2021</v>
      </c>
      <c r="Y10" s="6">
        <f t="shared" si="45"/>
        <v>2021</v>
      </c>
      <c r="Z10" s="6">
        <f t="shared" ref="Z10" si="46">V10+1</f>
        <v>2022</v>
      </c>
      <c r="AA10" s="6">
        <f t="shared" ref="AA10" si="47">W10+1</f>
        <v>2022</v>
      </c>
      <c r="AB10" s="6">
        <f t="shared" ref="AB10" si="48">X10+1</f>
        <v>2022</v>
      </c>
      <c r="AC10" s="6">
        <f t="shared" ref="AC10" si="49">Y10+1</f>
        <v>2022</v>
      </c>
      <c r="AD10" s="6">
        <f t="shared" ref="AD10" si="50">Z10+1</f>
        <v>2023</v>
      </c>
      <c r="AE10" s="6">
        <f t="shared" ref="AE10" si="51">AA10+1</f>
        <v>2023</v>
      </c>
      <c r="AF10" s="6">
        <f t="shared" ref="AF10" si="52">AB10+1</f>
        <v>2023</v>
      </c>
      <c r="AG10" s="6">
        <f t="shared" ref="AG10" si="53">AC10+1</f>
        <v>2023</v>
      </c>
      <c r="AH10" s="6">
        <f t="shared" ref="AH10" si="54">AD10+1</f>
        <v>2024</v>
      </c>
      <c r="AI10" s="6">
        <f t="shared" ref="AI10" si="55">AE10+1</f>
        <v>2024</v>
      </c>
      <c r="AJ10" s="6">
        <f t="shared" ref="AJ10" si="56">AF10+1</f>
        <v>2024</v>
      </c>
      <c r="AK10" s="6">
        <f t="shared" ref="AK10" si="57">AG10+1</f>
        <v>2024</v>
      </c>
      <c r="AL10" s="6">
        <f t="shared" ref="AL10" si="58">AH10+1</f>
        <v>2025</v>
      </c>
      <c r="AM10" s="6">
        <f t="shared" ref="AM10" si="59">AI10+1</f>
        <v>2025</v>
      </c>
      <c r="AN10" s="6">
        <f t="shared" ref="AN10" si="60">AJ10+1</f>
        <v>2025</v>
      </c>
      <c r="AO10" s="6">
        <f t="shared" ref="AO10" si="61">AK10+1</f>
        <v>2025</v>
      </c>
      <c r="AP10" s="6">
        <f t="shared" ref="AP10" si="62">AL10+1</f>
        <v>2026</v>
      </c>
      <c r="AQ10" s="6">
        <f t="shared" ref="AQ10" si="63">AM10+1</f>
        <v>2026</v>
      </c>
      <c r="AR10" s="6">
        <f t="shared" ref="AR10" si="64">AN10+1</f>
        <v>2026</v>
      </c>
      <c r="AS10" s="6">
        <f t="shared" ref="AS10" si="65">AO10+1</f>
        <v>2026</v>
      </c>
      <c r="AT10" s="6">
        <f t="shared" ref="AT10" si="66">AP10+1</f>
        <v>2027</v>
      </c>
      <c r="AU10" s="6">
        <f t="shared" ref="AU10" si="67">AQ10+1</f>
        <v>2027</v>
      </c>
      <c r="AV10" s="6">
        <f t="shared" ref="AV10" si="68">AR10+1</f>
        <v>2027</v>
      </c>
      <c r="AW10" s="6">
        <f t="shared" ref="AW10" si="69">AS10+1</f>
        <v>2027</v>
      </c>
      <c r="AX10" s="6">
        <f t="shared" ref="AX10" si="70">AT10+1</f>
        <v>2028</v>
      </c>
      <c r="AY10" s="6">
        <f t="shared" ref="AY10" si="71">AU10+1</f>
        <v>2028</v>
      </c>
      <c r="AZ10" s="6">
        <f t="shared" ref="AZ10" si="72">AV10+1</f>
        <v>2028</v>
      </c>
      <c r="BA10" s="6">
        <f t="shared" ref="BA10" si="73">AW10+1</f>
        <v>2028</v>
      </c>
      <c r="BB10" s="6">
        <f t="shared" ref="BB10" si="74">AX10+1</f>
        <v>2029</v>
      </c>
      <c r="BC10" s="6">
        <f t="shared" ref="BC10" si="75">AY10+1</f>
        <v>2029</v>
      </c>
      <c r="BD10" s="6">
        <f t="shared" ref="BD10" si="76">AZ10+1</f>
        <v>2029</v>
      </c>
      <c r="BE10" s="6">
        <f t="shared" ref="BE10" si="77">BA10+1</f>
        <v>2029</v>
      </c>
      <c r="BF10" s="6">
        <f t="shared" ref="BF10" si="78">BB10+1</f>
        <v>2030</v>
      </c>
      <c r="BG10" s="6">
        <f t="shared" ref="BG10" si="79">BC10+1</f>
        <v>2030</v>
      </c>
      <c r="BH10" s="6">
        <f t="shared" ref="BH10" si="80">BD10+1</f>
        <v>2030</v>
      </c>
      <c r="BI10" s="6">
        <f t="shared" ref="BI10" si="81">BE10+1</f>
        <v>2030</v>
      </c>
      <c r="BJ10" s="6">
        <f t="shared" ref="BJ10" si="82">BF10+1</f>
        <v>2031</v>
      </c>
      <c r="BK10" s="6">
        <f t="shared" ref="BK10" si="83">BG10+1</f>
        <v>2031</v>
      </c>
      <c r="BL10" s="6">
        <f t="shared" ref="BL10" si="84">BH10+1</f>
        <v>2031</v>
      </c>
      <c r="BM10" s="6">
        <f t="shared" ref="BM10" si="85">BI10+1</f>
        <v>2031</v>
      </c>
      <c r="BN10" s="6">
        <f t="shared" ref="BN10" si="86">BJ10+1</f>
        <v>2032</v>
      </c>
      <c r="BO10" s="6">
        <f t="shared" ref="BO10" si="87">BK10+1</f>
        <v>2032</v>
      </c>
      <c r="BP10" s="6">
        <f t="shared" ref="BP10" si="88">BL10+1</f>
        <v>2032</v>
      </c>
      <c r="BQ10" s="6">
        <f t="shared" ref="BQ10" si="89">BM10+1</f>
        <v>2032</v>
      </c>
    </row>
    <row r="11" spans="2:69" x14ac:dyDescent="0.25"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</row>
    <row r="12" spans="2:69" x14ac:dyDescent="0.25">
      <c r="B12" s="22" t="s">
        <v>57</v>
      </c>
      <c r="C12" s="22"/>
      <c r="D12" s="22" t="s">
        <v>58</v>
      </c>
      <c r="E12" s="22" t="s">
        <v>59</v>
      </c>
      <c r="J12" s="13">
        <v>43100</v>
      </c>
      <c r="K12" s="13">
        <f>EOMONTH(J12, 3)</f>
        <v>43190</v>
      </c>
      <c r="L12" s="13">
        <f t="shared" ref="L12:BQ12" si="90">EOMONTH(K12, 3)</f>
        <v>43281</v>
      </c>
      <c r="M12" s="13">
        <f t="shared" si="90"/>
        <v>43373</v>
      </c>
      <c r="N12" s="13">
        <f t="shared" si="90"/>
        <v>43465</v>
      </c>
      <c r="O12" s="13">
        <f t="shared" si="90"/>
        <v>43555</v>
      </c>
      <c r="P12" s="13">
        <f t="shared" si="90"/>
        <v>43646</v>
      </c>
      <c r="Q12" s="13">
        <f t="shared" si="90"/>
        <v>43738</v>
      </c>
      <c r="R12" s="13">
        <f t="shared" si="90"/>
        <v>43830</v>
      </c>
      <c r="S12" s="13">
        <f t="shared" si="90"/>
        <v>43921</v>
      </c>
      <c r="T12" s="13">
        <f t="shared" si="90"/>
        <v>44012</v>
      </c>
      <c r="U12" s="13">
        <f t="shared" si="90"/>
        <v>44104</v>
      </c>
      <c r="V12" s="13">
        <f t="shared" si="90"/>
        <v>44196</v>
      </c>
      <c r="W12" s="13">
        <f t="shared" si="90"/>
        <v>44286</v>
      </c>
      <c r="X12" s="13">
        <f t="shared" si="90"/>
        <v>44377</v>
      </c>
      <c r="Y12" s="13">
        <f t="shared" si="90"/>
        <v>44469</v>
      </c>
      <c r="Z12" s="13">
        <f t="shared" si="90"/>
        <v>44561</v>
      </c>
      <c r="AA12" s="13">
        <f t="shared" si="90"/>
        <v>44651</v>
      </c>
      <c r="AB12" s="13">
        <f t="shared" si="90"/>
        <v>44742</v>
      </c>
      <c r="AC12" s="13">
        <f t="shared" si="90"/>
        <v>44834</v>
      </c>
      <c r="AD12" s="13">
        <f t="shared" si="90"/>
        <v>44926</v>
      </c>
      <c r="AE12" s="13">
        <f t="shared" si="90"/>
        <v>45016</v>
      </c>
      <c r="AF12" s="13">
        <f t="shared" si="90"/>
        <v>45107</v>
      </c>
      <c r="AG12" s="13">
        <f t="shared" si="90"/>
        <v>45199</v>
      </c>
      <c r="AH12" s="13">
        <f t="shared" si="90"/>
        <v>45291</v>
      </c>
      <c r="AI12" s="13">
        <f t="shared" si="90"/>
        <v>45382</v>
      </c>
      <c r="AJ12" s="13">
        <f t="shared" si="90"/>
        <v>45473</v>
      </c>
      <c r="AK12" s="13">
        <f t="shared" si="90"/>
        <v>45565</v>
      </c>
      <c r="AL12" s="13">
        <f t="shared" si="90"/>
        <v>45657</v>
      </c>
      <c r="AM12" s="13">
        <f t="shared" si="90"/>
        <v>45747</v>
      </c>
      <c r="AN12" s="13">
        <f t="shared" si="90"/>
        <v>45838</v>
      </c>
      <c r="AO12" s="13">
        <f t="shared" si="90"/>
        <v>45930</v>
      </c>
      <c r="AP12" s="13">
        <f t="shared" si="90"/>
        <v>46022</v>
      </c>
      <c r="AQ12" s="13">
        <f t="shared" si="90"/>
        <v>46112</v>
      </c>
      <c r="AR12" s="13">
        <f t="shared" si="90"/>
        <v>46203</v>
      </c>
      <c r="AS12" s="13">
        <f t="shared" si="90"/>
        <v>46295</v>
      </c>
      <c r="AT12" s="13">
        <f t="shared" si="90"/>
        <v>46387</v>
      </c>
      <c r="AU12" s="13">
        <f t="shared" si="90"/>
        <v>46477</v>
      </c>
      <c r="AV12" s="13">
        <f t="shared" si="90"/>
        <v>46568</v>
      </c>
      <c r="AW12" s="13">
        <f t="shared" si="90"/>
        <v>46660</v>
      </c>
      <c r="AX12" s="13">
        <f t="shared" si="90"/>
        <v>46752</v>
      </c>
      <c r="AY12" s="13">
        <f t="shared" si="90"/>
        <v>46843</v>
      </c>
      <c r="AZ12" s="13">
        <f t="shared" si="90"/>
        <v>46934</v>
      </c>
      <c r="BA12" s="13">
        <f t="shared" si="90"/>
        <v>47026</v>
      </c>
      <c r="BB12" s="13">
        <f t="shared" si="90"/>
        <v>47118</v>
      </c>
      <c r="BC12" s="13">
        <f t="shared" si="90"/>
        <v>47208</v>
      </c>
      <c r="BD12" s="13">
        <f t="shared" si="90"/>
        <v>47299</v>
      </c>
      <c r="BE12" s="13">
        <f t="shared" si="90"/>
        <v>47391</v>
      </c>
      <c r="BF12" s="13">
        <f t="shared" si="90"/>
        <v>47483</v>
      </c>
      <c r="BG12" s="13">
        <f t="shared" si="90"/>
        <v>47573</v>
      </c>
      <c r="BH12" s="13">
        <f t="shared" si="90"/>
        <v>47664</v>
      </c>
      <c r="BI12" s="13">
        <f t="shared" si="90"/>
        <v>47756</v>
      </c>
      <c r="BJ12" s="13">
        <f t="shared" si="90"/>
        <v>47848</v>
      </c>
      <c r="BK12" s="13">
        <f t="shared" si="90"/>
        <v>47938</v>
      </c>
      <c r="BL12" s="13">
        <f t="shared" si="90"/>
        <v>48029</v>
      </c>
      <c r="BM12" s="13">
        <f t="shared" si="90"/>
        <v>48121</v>
      </c>
      <c r="BN12" s="13">
        <f t="shared" si="90"/>
        <v>48213</v>
      </c>
      <c r="BO12" s="13">
        <f t="shared" si="90"/>
        <v>48304</v>
      </c>
      <c r="BP12" s="13">
        <f t="shared" si="90"/>
        <v>48395</v>
      </c>
      <c r="BQ12" s="13">
        <f t="shared" si="90"/>
        <v>48487</v>
      </c>
    </row>
    <row r="14" spans="2:69" x14ac:dyDescent="0.25">
      <c r="B14" s="1" t="s">
        <v>11</v>
      </c>
    </row>
    <row r="15" spans="2:69" x14ac:dyDescent="0.25">
      <c r="B15" s="2" t="s">
        <v>0</v>
      </c>
      <c r="C15" s="2"/>
      <c r="D15" s="2"/>
      <c r="E15" s="2"/>
      <c r="F15" s="2"/>
      <c r="G15" s="2"/>
      <c r="H15" s="2"/>
      <c r="I15" s="2"/>
      <c r="J15" s="24">
        <f>3087.984-1038.847</f>
        <v>2049.1369999999997</v>
      </c>
      <c r="K15" s="24">
        <f>3685.702-1185.46</f>
        <v>2500.2420000000002</v>
      </c>
      <c r="L15" s="24">
        <f>3201.325-1000.436</f>
        <v>2200.8889999999997</v>
      </c>
      <c r="M15" s="24">
        <f>13450.803-SUM(J15:L15,J16:M16)</f>
        <v>2653.2700000000004</v>
      </c>
      <c r="N15" s="24">
        <f>3775.509-662.094</f>
        <v>3113.415</v>
      </c>
      <c r="O15" s="24">
        <f>3706.91-813.955</f>
        <v>2892.9549999999999</v>
      </c>
      <c r="P15" s="24">
        <f>4458.446-P16</f>
        <v>3398.9179999999997</v>
      </c>
      <c r="Q15" s="24">
        <f>16165.333-SUM(N15:P15,N16:Q16)</f>
        <v>3206.1259999999984</v>
      </c>
      <c r="R15" s="24">
        <f>4458.694-R16</f>
        <v>3269.6540000000005</v>
      </c>
      <c r="S15" s="24">
        <f>4645.682-1206.644</f>
        <v>3439.0379999999996</v>
      </c>
      <c r="T15" s="24">
        <f>5445.748-T16</f>
        <v>4539.0859999999993</v>
      </c>
      <c r="U15" s="24">
        <f>20806.121-SUM(R15:T15,R16:U16)</f>
        <v>5293.2569999999996</v>
      </c>
      <c r="V15" s="24">
        <f>4802.835-815.503</f>
        <v>3987.3319999999999</v>
      </c>
      <c r="W15" s="24">
        <f>5102.67-1214.372</f>
        <v>3888.2979999999998</v>
      </c>
      <c r="X15" s="24">
        <f>5981.462-980.845</f>
        <v>5000.6170000000002</v>
      </c>
      <c r="Y15" s="24">
        <f>6873.116-1023.574</f>
        <v>5849.5420000000004</v>
      </c>
      <c r="Z15" s="24">
        <f>6695.778-1085.445</f>
        <v>5610.3330000000005</v>
      </c>
      <c r="AA15" s="24">
        <f>6647.617-1360.155</f>
        <v>5287.4620000000004</v>
      </c>
      <c r="AB15" s="24">
        <f>6935.976-1338.893</f>
        <v>5597.0829999999996</v>
      </c>
      <c r="AC15" s="24">
        <f>7000.379-1095.098</f>
        <v>5905.2809999999999</v>
      </c>
      <c r="AD15" s="24">
        <v>5088.2079999999996</v>
      </c>
      <c r="AE15" s="24">
        <v>5945.1509999999998</v>
      </c>
      <c r="AF15" s="24">
        <f>7893.625-1318.214</f>
        <v>6575.4110000000001</v>
      </c>
      <c r="AG15" s="24">
        <f>22589.657-SUM(AD15:AF15)</f>
        <v>4980.8869999999988</v>
      </c>
      <c r="AH15" s="24">
        <v>4424.1080000000002</v>
      </c>
      <c r="AI15" s="24">
        <v>4895.5889999999999</v>
      </c>
    </row>
    <row r="16" spans="2:69" x14ac:dyDescent="0.25">
      <c r="B16" s="2" t="s">
        <v>1</v>
      </c>
      <c r="C16" s="2"/>
      <c r="D16" s="2"/>
      <c r="E16" s="2"/>
      <c r="F16" s="2"/>
      <c r="G16" s="2"/>
      <c r="H16" s="2"/>
      <c r="I16" s="2"/>
      <c r="J16" s="24">
        <v>1038.847</v>
      </c>
      <c r="K16" s="24">
        <v>1185.46</v>
      </c>
      <c r="L16" s="24">
        <v>1000.436</v>
      </c>
      <c r="M16" s="24">
        <f>4047.265-SUM(J16:L16)</f>
        <v>822.52199999999993</v>
      </c>
      <c r="N16" s="24">
        <v>662.09400000000005</v>
      </c>
      <c r="O16" s="24">
        <v>813.95500000000004</v>
      </c>
      <c r="P16" s="24">
        <v>1059.528</v>
      </c>
      <c r="Q16" s="24">
        <f>3553.919-SUM(N16:P16)</f>
        <v>1018.3419999999996</v>
      </c>
      <c r="R16" s="24">
        <v>1189.04</v>
      </c>
      <c r="S16" s="24">
        <v>1206.644</v>
      </c>
      <c r="T16" s="24">
        <v>906.66200000000003</v>
      </c>
      <c r="U16" s="24">
        <f>4265.086-SUM(R16:T16)</f>
        <v>962.73999999999978</v>
      </c>
      <c r="V16" s="24">
        <v>815.50300000000004</v>
      </c>
      <c r="W16" s="24">
        <v>1214.3720000000001</v>
      </c>
      <c r="X16" s="24">
        <v>980.84500000000003</v>
      </c>
      <c r="Y16" s="24">
        <f>4034.294-SUM(V16:X16)</f>
        <v>1023.5739999999996</v>
      </c>
      <c r="Z16" s="24">
        <v>1085.4449999999999</v>
      </c>
      <c r="AA16" s="24">
        <v>1360.155</v>
      </c>
      <c r="AB16" s="24">
        <v>1338.893</v>
      </c>
      <c r="AC16" s="24">
        <f>4879.591-SUM(Z16:AB16)</f>
        <v>1095.0980000000004</v>
      </c>
      <c r="AD16" s="24">
        <v>1061.1489999999999</v>
      </c>
      <c r="AE16" s="24">
        <v>1395.3030000000001</v>
      </c>
      <c r="AF16" s="24">
        <v>1318.2139999999999</v>
      </c>
      <c r="AG16" s="24">
        <f>11086.062-SUM(AD16:AF16)</f>
        <v>7311.3959999999997</v>
      </c>
      <c r="AH16" s="24">
        <v>4227.2470000000003</v>
      </c>
      <c r="AI16" s="24">
        <v>5098.2219999999998</v>
      </c>
    </row>
    <row r="17" spans="2:69" x14ac:dyDescent="0.25">
      <c r="B17" s="2" t="s">
        <v>2</v>
      </c>
      <c r="C17" s="2"/>
      <c r="D17" s="2"/>
      <c r="E17" s="2"/>
      <c r="F17" s="2"/>
      <c r="G17" s="2"/>
      <c r="H17" s="2"/>
      <c r="I17" s="2"/>
      <c r="J17" s="24">
        <v>0</v>
      </c>
      <c r="K17" s="24">
        <v>41.502000000000002</v>
      </c>
      <c r="L17" s="24">
        <v>188.33799999999999</v>
      </c>
      <c r="M17" s="24">
        <f>399.569-SUM(J17:L17)</f>
        <v>169.72900000000001</v>
      </c>
      <c r="N17" s="24">
        <v>202.14099999999999</v>
      </c>
      <c r="O17" s="24">
        <v>496.21699999999998</v>
      </c>
      <c r="P17" s="24">
        <v>131.37799999999999</v>
      </c>
      <c r="Q17" s="24">
        <f>1407.256-SUM(N17:P17)</f>
        <v>577.52000000000021</v>
      </c>
      <c r="R17" s="24">
        <v>52.734000000000002</v>
      </c>
      <c r="S17" s="24">
        <v>189.38300000000001</v>
      </c>
      <c r="T17" s="24">
        <v>507.94099999999997</v>
      </c>
      <c r="U17" s="24">
        <f>789.078-SUM(R17:T17)</f>
        <v>39.019999999999982</v>
      </c>
      <c r="V17" s="24">
        <v>66.816999999999993</v>
      </c>
      <c r="W17" s="24">
        <v>19.175000000000001</v>
      </c>
      <c r="X17" s="24">
        <v>198.721</v>
      </c>
      <c r="Y17" s="24">
        <v>0</v>
      </c>
      <c r="Z17" s="24">
        <v>0</v>
      </c>
      <c r="AA17" s="24">
        <v>198.203</v>
      </c>
      <c r="AB17" s="24">
        <v>0</v>
      </c>
      <c r="AC17" s="24">
        <v>262.74200000000002</v>
      </c>
      <c r="AD17" s="24">
        <v>366.899</v>
      </c>
      <c r="AE17" s="24">
        <v>0</v>
      </c>
      <c r="AF17" s="24">
        <v>65.582999999999998</v>
      </c>
      <c r="AG17" s="24">
        <f>1132.794-SUM(AD17:AF17)</f>
        <v>700.31200000000013</v>
      </c>
      <c r="AH17" s="24">
        <v>656.70799999999997</v>
      </c>
      <c r="AI17" s="24">
        <v>745.70500000000004</v>
      </c>
    </row>
    <row r="18" spans="2:69" x14ac:dyDescent="0.25">
      <c r="B18" s="12" t="s">
        <v>3</v>
      </c>
      <c r="C18" s="12"/>
      <c r="D18" s="12"/>
      <c r="E18" s="12"/>
      <c r="F18" s="12"/>
      <c r="G18" s="12"/>
      <c r="H18" s="12"/>
      <c r="I18" s="12"/>
      <c r="J18" s="18">
        <f>SUM(J15:J17)</f>
        <v>3087.9839999999995</v>
      </c>
      <c r="K18" s="18">
        <f t="shared" ref="K18:BQ18" si="91">SUM(K15:K17)</f>
        <v>3727.2040000000002</v>
      </c>
      <c r="L18" s="18">
        <f t="shared" si="91"/>
        <v>3389.663</v>
      </c>
      <c r="M18" s="18">
        <f t="shared" si="91"/>
        <v>3645.5210000000002</v>
      </c>
      <c r="N18" s="18">
        <f t="shared" si="91"/>
        <v>3977.65</v>
      </c>
      <c r="O18" s="18">
        <f t="shared" si="91"/>
        <v>4203.1269999999995</v>
      </c>
      <c r="P18" s="18">
        <f t="shared" si="91"/>
        <v>4589.8239999999996</v>
      </c>
      <c r="Q18" s="18">
        <f t="shared" si="91"/>
        <v>4801.9879999999985</v>
      </c>
      <c r="R18" s="18">
        <f t="shared" si="91"/>
        <v>4511.4280000000008</v>
      </c>
      <c r="S18" s="18">
        <f t="shared" si="91"/>
        <v>4835.0649999999996</v>
      </c>
      <c r="T18" s="18">
        <f t="shared" si="91"/>
        <v>5953.6889999999994</v>
      </c>
      <c r="U18" s="18">
        <f t="shared" si="91"/>
        <v>6295.0169999999998</v>
      </c>
      <c r="V18" s="18">
        <f t="shared" si="91"/>
        <v>4869.652</v>
      </c>
      <c r="W18" s="18">
        <f t="shared" si="91"/>
        <v>5121.8450000000003</v>
      </c>
      <c r="X18" s="18">
        <f t="shared" si="91"/>
        <v>6180.1830000000009</v>
      </c>
      <c r="Y18" s="18">
        <f t="shared" si="91"/>
        <v>6873.116</v>
      </c>
      <c r="Z18" s="18">
        <f t="shared" si="91"/>
        <v>6695.7780000000002</v>
      </c>
      <c r="AA18" s="18">
        <f t="shared" si="91"/>
        <v>6845.8200000000006</v>
      </c>
      <c r="AB18" s="18">
        <f t="shared" si="91"/>
        <v>6935.9759999999997</v>
      </c>
      <c r="AC18" s="18">
        <f t="shared" si="91"/>
        <v>7263.121000000001</v>
      </c>
      <c r="AD18" s="18">
        <f t="shared" si="91"/>
        <v>6516.2560000000003</v>
      </c>
      <c r="AE18" s="18">
        <f t="shared" si="91"/>
        <v>7340.4539999999997</v>
      </c>
      <c r="AF18" s="18">
        <f t="shared" si="91"/>
        <v>7959.2079999999996</v>
      </c>
      <c r="AG18" s="18">
        <f t="shared" si="91"/>
        <v>12992.594999999999</v>
      </c>
      <c r="AH18" s="18">
        <f t="shared" si="91"/>
        <v>9308.0630000000001</v>
      </c>
      <c r="AI18" s="18">
        <f t="shared" si="91"/>
        <v>10739.516</v>
      </c>
      <c r="AJ18" s="18">
        <f t="shared" si="91"/>
        <v>0</v>
      </c>
      <c r="AK18" s="18">
        <f t="shared" si="91"/>
        <v>0</v>
      </c>
      <c r="AL18" s="18">
        <f t="shared" si="91"/>
        <v>0</v>
      </c>
      <c r="AM18" s="18">
        <f t="shared" si="91"/>
        <v>0</v>
      </c>
      <c r="AN18" s="18">
        <f t="shared" si="91"/>
        <v>0</v>
      </c>
      <c r="AO18" s="18">
        <f t="shared" si="91"/>
        <v>0</v>
      </c>
      <c r="AP18" s="18">
        <f t="shared" si="91"/>
        <v>0</v>
      </c>
      <c r="AQ18" s="18">
        <f t="shared" si="91"/>
        <v>0</v>
      </c>
      <c r="AR18" s="18">
        <f t="shared" si="91"/>
        <v>0</v>
      </c>
      <c r="AS18" s="18">
        <f t="shared" si="91"/>
        <v>0</v>
      </c>
      <c r="AT18" s="18">
        <f t="shared" si="91"/>
        <v>0</v>
      </c>
      <c r="AU18" s="18">
        <f t="shared" si="91"/>
        <v>0</v>
      </c>
      <c r="AV18" s="18">
        <f t="shared" si="91"/>
        <v>0</v>
      </c>
      <c r="AW18" s="18">
        <f t="shared" si="91"/>
        <v>0</v>
      </c>
      <c r="AX18" s="18">
        <f t="shared" si="91"/>
        <v>0</v>
      </c>
      <c r="AY18" s="18">
        <f t="shared" si="91"/>
        <v>0</v>
      </c>
      <c r="AZ18" s="18">
        <f t="shared" si="91"/>
        <v>0</v>
      </c>
      <c r="BA18" s="18">
        <f t="shared" si="91"/>
        <v>0</v>
      </c>
      <c r="BB18" s="18">
        <f t="shared" si="91"/>
        <v>0</v>
      </c>
      <c r="BC18" s="18">
        <f t="shared" si="91"/>
        <v>0</v>
      </c>
      <c r="BD18" s="18">
        <f t="shared" si="91"/>
        <v>0</v>
      </c>
      <c r="BE18" s="18">
        <f t="shared" si="91"/>
        <v>0</v>
      </c>
      <c r="BF18" s="18">
        <f t="shared" si="91"/>
        <v>0</v>
      </c>
      <c r="BG18" s="18">
        <f t="shared" si="91"/>
        <v>0</v>
      </c>
      <c r="BH18" s="18">
        <f t="shared" si="91"/>
        <v>0</v>
      </c>
      <c r="BI18" s="18">
        <f t="shared" si="91"/>
        <v>0</v>
      </c>
      <c r="BJ18" s="18">
        <f t="shared" si="91"/>
        <v>0</v>
      </c>
      <c r="BK18" s="18">
        <f t="shared" si="91"/>
        <v>0</v>
      </c>
      <c r="BL18" s="18">
        <f t="shared" si="91"/>
        <v>0</v>
      </c>
      <c r="BM18" s="18">
        <f t="shared" si="91"/>
        <v>0</v>
      </c>
      <c r="BN18" s="18">
        <f t="shared" si="91"/>
        <v>0</v>
      </c>
      <c r="BO18" s="18">
        <f t="shared" si="91"/>
        <v>0</v>
      </c>
      <c r="BP18" s="18">
        <f t="shared" si="91"/>
        <v>0</v>
      </c>
      <c r="BQ18" s="18">
        <f t="shared" si="91"/>
        <v>0</v>
      </c>
    </row>
    <row r="19" spans="2:69" x14ac:dyDescent="0.25"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2:69" x14ac:dyDescent="0.25">
      <c r="B20" s="1" t="s">
        <v>10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2:69" s="17" customFormat="1" x14ac:dyDescent="0.25">
      <c r="B21" s="2" t="s">
        <v>0</v>
      </c>
      <c r="C21" s="2"/>
      <c r="D21" s="2"/>
      <c r="E21" s="2"/>
      <c r="F21" s="2"/>
      <c r="G21" s="2"/>
      <c r="H21" s="2"/>
      <c r="I21" s="2"/>
      <c r="J21" s="24">
        <f>1593.268-513.357</f>
        <v>1079.9110000000001</v>
      </c>
      <c r="K21" s="24">
        <f>2072.124-488.221</f>
        <v>1583.9029999999998</v>
      </c>
      <c r="L21" s="24">
        <f>1714.701-463.513</f>
        <v>1251.1880000000001</v>
      </c>
      <c r="M21" s="24">
        <f>7120.731-SUM(J21:L21,J22:M22)</f>
        <v>1481.5619999999999</v>
      </c>
      <c r="N21" s="24">
        <f>1723.281-325.152</f>
        <v>1398.1289999999999</v>
      </c>
      <c r="O21" s="24">
        <f>1567.861-303.813</f>
        <v>1264.0480000000002</v>
      </c>
      <c r="P21" s="24">
        <f>2009.799-353.348</f>
        <v>1656.451</v>
      </c>
      <c r="Q21" s="24">
        <f>7038.717-SUM(N21:P21,N22:Q22)</f>
        <v>1345.8619999999983</v>
      </c>
      <c r="R21" s="24">
        <f>1844.48-349.615</f>
        <v>1494.865</v>
      </c>
      <c r="S21" s="24">
        <f>2464.697-402.354</f>
        <v>2062.3430000000003</v>
      </c>
      <c r="T21" s="24">
        <f>2486.353-T22</f>
        <v>2165.9250000000002</v>
      </c>
      <c r="U21" s="24">
        <f>9568.553-SUM(R21:T21,R22:U22)</f>
        <v>2387.4249999999993</v>
      </c>
      <c r="V21" s="24">
        <f>2294.294-316.637</f>
        <v>1977.6569999999999</v>
      </c>
      <c r="W21" s="24">
        <f>2211.649-354.664</f>
        <v>1856.9849999999999</v>
      </c>
      <c r="X21" s="24">
        <f>2764.765-408.161</f>
        <v>2356.6039999999998</v>
      </c>
      <c r="Y21" s="24">
        <f>2914.802-423.437</f>
        <v>2491.3650000000002</v>
      </c>
      <c r="Z21" s="24">
        <f>2728.057-343.65</f>
        <v>2384.4069999999997</v>
      </c>
      <c r="AA21" s="24">
        <f>2646.462-399.086</f>
        <v>2247.3760000000002</v>
      </c>
      <c r="AB21" s="24">
        <f>2879.462-369.562</f>
        <v>2509.9</v>
      </c>
      <c r="AC21" s="24">
        <f>2651.817-390.601</f>
        <v>2261.2159999999999</v>
      </c>
      <c r="AD21" s="24">
        <v>2415.944</v>
      </c>
      <c r="AE21" s="24">
        <v>2202.75</v>
      </c>
      <c r="AF21" s="24">
        <f>3202.87-371.359</f>
        <v>2831.511</v>
      </c>
      <c r="AG21" s="24">
        <f>9715.517-SUM(AD21:AF21)</f>
        <v>2265.3119999999999</v>
      </c>
      <c r="AH21" s="24">
        <v>1781.345</v>
      </c>
      <c r="AI21" s="24">
        <v>2347.6950000000002</v>
      </c>
    </row>
    <row r="22" spans="2:69" s="17" customFormat="1" x14ac:dyDescent="0.25">
      <c r="B22" s="2" t="s">
        <v>1</v>
      </c>
      <c r="C22" s="2"/>
      <c r="D22" s="2"/>
      <c r="E22" s="2"/>
      <c r="F22" s="2"/>
      <c r="G22" s="2"/>
      <c r="H22" s="2"/>
      <c r="I22" s="2"/>
      <c r="J22" s="24">
        <v>513.35699999999997</v>
      </c>
      <c r="K22" s="24">
        <v>488.221</v>
      </c>
      <c r="L22" s="24">
        <v>463.51299999999998</v>
      </c>
      <c r="M22" s="24">
        <f>1724.167-SUM(J22:L22)</f>
        <v>259.07600000000002</v>
      </c>
      <c r="N22" s="24">
        <v>325.15199999999999</v>
      </c>
      <c r="O22" s="24">
        <v>303.81299999999999</v>
      </c>
      <c r="P22" s="24">
        <v>353.34800000000001</v>
      </c>
      <c r="Q22" s="24">
        <f>1374.227-SUM(N22:P22)</f>
        <v>391.91400000000021</v>
      </c>
      <c r="R22" s="24">
        <v>349.61500000000001</v>
      </c>
      <c r="S22" s="24">
        <v>402.35399999999998</v>
      </c>
      <c r="T22" s="24">
        <v>320.428</v>
      </c>
      <c r="U22" s="24">
        <f>1457.995-SUM(R22:T22)</f>
        <v>385.59799999999996</v>
      </c>
      <c r="V22" s="24">
        <v>316.637</v>
      </c>
      <c r="W22" s="24">
        <v>354.66399999999999</v>
      </c>
      <c r="X22" s="24">
        <v>408.161</v>
      </c>
      <c r="Y22" s="24">
        <f>1502.899-SUM(V22:X22)</f>
        <v>423.4369999999999</v>
      </c>
      <c r="Z22" s="24">
        <v>343.65</v>
      </c>
      <c r="AA22" s="24">
        <v>399.08600000000001</v>
      </c>
      <c r="AB22" s="24">
        <v>369.56200000000001</v>
      </c>
      <c r="AC22" s="24">
        <f>1502.899-SUM(Z22:AB22)</f>
        <v>390.60099999999989</v>
      </c>
      <c r="AD22" s="24">
        <v>319.10199999999998</v>
      </c>
      <c r="AE22" s="24">
        <v>397.553</v>
      </c>
      <c r="AF22" s="24">
        <v>371.35899999999998</v>
      </c>
      <c r="AG22" s="24">
        <f>3386.122-SUM(AD22:AF22)</f>
        <v>2298.1080000000002</v>
      </c>
      <c r="AH22" s="24">
        <v>1726.961</v>
      </c>
      <c r="AI22" s="24">
        <v>2462.2600000000002</v>
      </c>
    </row>
    <row r="23" spans="2:69" s="17" customFormat="1" x14ac:dyDescent="0.25">
      <c r="B23" s="2" t="s">
        <v>2</v>
      </c>
      <c r="C23" s="2"/>
      <c r="D23" s="2"/>
      <c r="E23" s="2"/>
      <c r="F23" s="2"/>
      <c r="G23" s="2"/>
      <c r="H23" s="2"/>
      <c r="I23" s="2"/>
      <c r="J23" s="24">
        <v>0</v>
      </c>
      <c r="K23" s="24">
        <v>10.223000000000001</v>
      </c>
      <c r="L23" s="24">
        <v>92.278999999999996</v>
      </c>
      <c r="M23" s="24">
        <f>191.192-SUM(J23:L23)</f>
        <v>88.690000000000012</v>
      </c>
      <c r="N23" s="24">
        <v>88.566000000000003</v>
      </c>
      <c r="O23" s="24">
        <v>289.06</v>
      </c>
      <c r="P23" s="24">
        <v>54.817999999999998</v>
      </c>
      <c r="Q23" s="24">
        <f>637.402-SUM(N23:P23)</f>
        <v>204.95800000000008</v>
      </c>
      <c r="R23" s="24">
        <v>65.301000000000002</v>
      </c>
      <c r="S23" s="24">
        <f>75.197</f>
        <v>75.197000000000003</v>
      </c>
      <c r="T23" s="24">
        <v>72.662999999999997</v>
      </c>
      <c r="U23" s="24">
        <f>224.671-SUM(R23:T23)</f>
        <v>11.509999999999991</v>
      </c>
      <c r="V23" s="24">
        <v>9.5350000000000001</v>
      </c>
      <c r="W23" s="24">
        <v>7.2050000000000001</v>
      </c>
      <c r="X23" s="24">
        <v>60.915999999999997</v>
      </c>
      <c r="Y23" s="24">
        <v>0</v>
      </c>
      <c r="Z23" s="24">
        <v>0</v>
      </c>
      <c r="AA23" s="24">
        <v>16.748000000000001</v>
      </c>
      <c r="AB23" s="24">
        <v>0</v>
      </c>
      <c r="AC23" s="24">
        <v>143.768</v>
      </c>
      <c r="AD23" s="24">
        <v>57.405999999999999</v>
      </c>
      <c r="AE23" s="24">
        <v>0</v>
      </c>
      <c r="AF23" s="24">
        <v>21.692</v>
      </c>
      <c r="AG23" s="24">
        <f>395.803-SUM(AD23:AF23)</f>
        <v>316.70499999999998</v>
      </c>
      <c r="AH23" s="24">
        <v>276.59500000000003</v>
      </c>
      <c r="AI23" s="24">
        <v>347.19900000000001</v>
      </c>
    </row>
    <row r="24" spans="2:69" s="17" customFormat="1" x14ac:dyDescent="0.25">
      <c r="B24" s="1" t="s">
        <v>12</v>
      </c>
      <c r="C24" s="1"/>
      <c r="D24" s="1"/>
      <c r="E24" s="1"/>
      <c r="F24" s="1"/>
      <c r="G24" s="1"/>
      <c r="H24" s="1"/>
      <c r="I24" s="1"/>
      <c r="J24" s="19">
        <f>SUM(J21:J23)</f>
        <v>1593.268</v>
      </c>
      <c r="K24" s="19">
        <f t="shared" ref="K24:BQ24" si="92">SUM(K21:K23)</f>
        <v>2082.3469999999998</v>
      </c>
      <c r="L24" s="19">
        <f t="shared" si="92"/>
        <v>1806.98</v>
      </c>
      <c r="M24" s="19">
        <f t="shared" si="92"/>
        <v>1829.328</v>
      </c>
      <c r="N24" s="19">
        <f t="shared" si="92"/>
        <v>1811.847</v>
      </c>
      <c r="O24" s="19">
        <f t="shared" si="92"/>
        <v>1856.9210000000003</v>
      </c>
      <c r="P24" s="19">
        <f t="shared" si="92"/>
        <v>2064.6170000000002</v>
      </c>
      <c r="Q24" s="19">
        <f t="shared" si="92"/>
        <v>1942.7339999999986</v>
      </c>
      <c r="R24" s="19">
        <f t="shared" si="92"/>
        <v>1909.7809999999999</v>
      </c>
      <c r="S24" s="19">
        <f t="shared" si="92"/>
        <v>2539.8940000000002</v>
      </c>
      <c r="T24" s="19">
        <f t="shared" si="92"/>
        <v>2559.0160000000001</v>
      </c>
      <c r="U24" s="19">
        <f t="shared" si="92"/>
        <v>2784.5329999999994</v>
      </c>
      <c r="V24" s="19">
        <f t="shared" si="92"/>
        <v>2303.8289999999997</v>
      </c>
      <c r="W24" s="19">
        <f t="shared" si="92"/>
        <v>2218.8539999999998</v>
      </c>
      <c r="X24" s="19">
        <f t="shared" si="92"/>
        <v>2825.681</v>
      </c>
      <c r="Y24" s="19">
        <f t="shared" si="92"/>
        <v>2914.8020000000001</v>
      </c>
      <c r="Z24" s="19">
        <f t="shared" si="92"/>
        <v>2728.0569999999998</v>
      </c>
      <c r="AA24" s="19">
        <f t="shared" si="92"/>
        <v>2663.2100000000005</v>
      </c>
      <c r="AB24" s="19">
        <f t="shared" si="92"/>
        <v>2879.462</v>
      </c>
      <c r="AC24" s="19">
        <f t="shared" si="92"/>
        <v>2795.585</v>
      </c>
      <c r="AD24" s="19">
        <f t="shared" si="92"/>
        <v>2792.4519999999998</v>
      </c>
      <c r="AE24" s="19">
        <f t="shared" si="92"/>
        <v>2600.3029999999999</v>
      </c>
      <c r="AF24" s="19">
        <f t="shared" si="92"/>
        <v>3224.5619999999999</v>
      </c>
      <c r="AG24" s="19">
        <f t="shared" si="92"/>
        <v>4880.125</v>
      </c>
      <c r="AH24" s="19">
        <f t="shared" si="92"/>
        <v>3784.9009999999998</v>
      </c>
      <c r="AI24" s="19">
        <f t="shared" si="92"/>
        <v>5157.1539999999995</v>
      </c>
      <c r="AJ24" s="19">
        <f t="shared" si="92"/>
        <v>0</v>
      </c>
      <c r="AK24" s="19">
        <f t="shared" si="92"/>
        <v>0</v>
      </c>
      <c r="AL24" s="19">
        <f t="shared" si="92"/>
        <v>0</v>
      </c>
      <c r="AM24" s="19">
        <f t="shared" si="92"/>
        <v>0</v>
      </c>
      <c r="AN24" s="19">
        <f t="shared" si="92"/>
        <v>0</v>
      </c>
      <c r="AO24" s="19">
        <f t="shared" si="92"/>
        <v>0</v>
      </c>
      <c r="AP24" s="19">
        <f t="shared" si="92"/>
        <v>0</v>
      </c>
      <c r="AQ24" s="19">
        <f t="shared" si="92"/>
        <v>0</v>
      </c>
      <c r="AR24" s="19">
        <f t="shared" si="92"/>
        <v>0</v>
      </c>
      <c r="AS24" s="19">
        <f t="shared" si="92"/>
        <v>0</v>
      </c>
      <c r="AT24" s="19">
        <f t="shared" si="92"/>
        <v>0</v>
      </c>
      <c r="AU24" s="19">
        <f t="shared" si="92"/>
        <v>0</v>
      </c>
      <c r="AV24" s="19">
        <f t="shared" si="92"/>
        <v>0</v>
      </c>
      <c r="AW24" s="19">
        <f t="shared" si="92"/>
        <v>0</v>
      </c>
      <c r="AX24" s="19">
        <f t="shared" si="92"/>
        <v>0</v>
      </c>
      <c r="AY24" s="19">
        <f t="shared" si="92"/>
        <v>0</v>
      </c>
      <c r="AZ24" s="19">
        <f t="shared" si="92"/>
        <v>0</v>
      </c>
      <c r="BA24" s="19">
        <f t="shared" si="92"/>
        <v>0</v>
      </c>
      <c r="BB24" s="19">
        <f t="shared" si="92"/>
        <v>0</v>
      </c>
      <c r="BC24" s="19">
        <f t="shared" si="92"/>
        <v>0</v>
      </c>
      <c r="BD24" s="19">
        <f t="shared" si="92"/>
        <v>0</v>
      </c>
      <c r="BE24" s="19">
        <f t="shared" si="92"/>
        <v>0</v>
      </c>
      <c r="BF24" s="19">
        <f t="shared" si="92"/>
        <v>0</v>
      </c>
      <c r="BG24" s="19">
        <f t="shared" si="92"/>
        <v>0</v>
      </c>
      <c r="BH24" s="19">
        <f t="shared" si="92"/>
        <v>0</v>
      </c>
      <c r="BI24" s="19">
        <f t="shared" si="92"/>
        <v>0</v>
      </c>
      <c r="BJ24" s="19">
        <f t="shared" si="92"/>
        <v>0</v>
      </c>
      <c r="BK24" s="19">
        <f t="shared" si="92"/>
        <v>0</v>
      </c>
      <c r="BL24" s="19">
        <f t="shared" si="92"/>
        <v>0</v>
      </c>
      <c r="BM24" s="19">
        <f t="shared" si="92"/>
        <v>0</v>
      </c>
      <c r="BN24" s="19">
        <f t="shared" si="92"/>
        <v>0</v>
      </c>
      <c r="BO24" s="19">
        <f t="shared" si="92"/>
        <v>0</v>
      </c>
      <c r="BP24" s="19">
        <f t="shared" si="92"/>
        <v>0</v>
      </c>
      <c r="BQ24" s="19">
        <f t="shared" si="92"/>
        <v>0</v>
      </c>
    </row>
    <row r="25" spans="2:69" x14ac:dyDescent="0.25"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69" x14ac:dyDescent="0.25">
      <c r="B26" s="12" t="s">
        <v>13</v>
      </c>
      <c r="C26" s="12"/>
      <c r="D26" s="12"/>
      <c r="E26" s="12"/>
      <c r="F26" s="12"/>
      <c r="G26" s="12"/>
      <c r="H26" s="12"/>
      <c r="I26" s="12"/>
      <c r="J26" s="20">
        <f>J18-J24</f>
        <v>1494.7159999999994</v>
      </c>
      <c r="K26" s="20">
        <f t="shared" ref="K26:BQ26" si="93">K18-K24</f>
        <v>1644.8570000000004</v>
      </c>
      <c r="L26" s="20">
        <f t="shared" si="93"/>
        <v>1582.683</v>
      </c>
      <c r="M26" s="20">
        <f t="shared" si="93"/>
        <v>1816.1930000000002</v>
      </c>
      <c r="N26" s="20">
        <f t="shared" si="93"/>
        <v>2165.8029999999999</v>
      </c>
      <c r="O26" s="20">
        <f t="shared" si="93"/>
        <v>2346.2059999999992</v>
      </c>
      <c r="P26" s="20">
        <f t="shared" si="93"/>
        <v>2525.2069999999994</v>
      </c>
      <c r="Q26" s="20">
        <f t="shared" si="93"/>
        <v>2859.2539999999999</v>
      </c>
      <c r="R26" s="20">
        <f t="shared" si="93"/>
        <v>2601.6470000000008</v>
      </c>
      <c r="S26" s="20">
        <f t="shared" si="93"/>
        <v>2295.1709999999994</v>
      </c>
      <c r="T26" s="20">
        <f t="shared" si="93"/>
        <v>3394.6729999999993</v>
      </c>
      <c r="U26" s="20">
        <f t="shared" si="93"/>
        <v>3510.4840000000004</v>
      </c>
      <c r="V26" s="20">
        <f t="shared" si="93"/>
        <v>2565.8230000000003</v>
      </c>
      <c r="W26" s="20">
        <f t="shared" si="93"/>
        <v>2902.9910000000004</v>
      </c>
      <c r="X26" s="20">
        <f t="shared" si="93"/>
        <v>3354.5020000000009</v>
      </c>
      <c r="Y26" s="20">
        <f t="shared" si="93"/>
        <v>3958.3139999999999</v>
      </c>
      <c r="Z26" s="20">
        <f t="shared" si="93"/>
        <v>3967.7210000000005</v>
      </c>
      <c r="AA26" s="20">
        <f t="shared" si="93"/>
        <v>4182.6100000000006</v>
      </c>
      <c r="AB26" s="20">
        <f t="shared" si="93"/>
        <v>4056.5139999999997</v>
      </c>
      <c r="AC26" s="20">
        <f t="shared" si="93"/>
        <v>4467.536000000001</v>
      </c>
      <c r="AD26" s="20">
        <f t="shared" si="93"/>
        <v>3723.8040000000005</v>
      </c>
      <c r="AE26" s="20">
        <f t="shared" si="93"/>
        <v>4740.1509999999998</v>
      </c>
      <c r="AF26" s="20">
        <f t="shared" si="93"/>
        <v>4734.6459999999997</v>
      </c>
      <c r="AG26" s="20">
        <f t="shared" si="93"/>
        <v>8112.4699999999993</v>
      </c>
      <c r="AH26" s="20">
        <f t="shared" si="93"/>
        <v>5523.1620000000003</v>
      </c>
      <c r="AI26" s="20">
        <f t="shared" si="93"/>
        <v>5582.3620000000001</v>
      </c>
      <c r="AJ26" s="20">
        <f t="shared" si="93"/>
        <v>0</v>
      </c>
      <c r="AK26" s="20">
        <f t="shared" si="93"/>
        <v>0</v>
      </c>
      <c r="AL26" s="20">
        <f t="shared" si="93"/>
        <v>0</v>
      </c>
      <c r="AM26" s="20">
        <f t="shared" si="93"/>
        <v>0</v>
      </c>
      <c r="AN26" s="20">
        <f t="shared" si="93"/>
        <v>0</v>
      </c>
      <c r="AO26" s="20">
        <f t="shared" si="93"/>
        <v>0</v>
      </c>
      <c r="AP26" s="20">
        <f t="shared" si="93"/>
        <v>0</v>
      </c>
      <c r="AQ26" s="20">
        <f t="shared" si="93"/>
        <v>0</v>
      </c>
      <c r="AR26" s="20">
        <f t="shared" si="93"/>
        <v>0</v>
      </c>
      <c r="AS26" s="20">
        <f t="shared" si="93"/>
        <v>0</v>
      </c>
      <c r="AT26" s="20">
        <f t="shared" si="93"/>
        <v>0</v>
      </c>
      <c r="AU26" s="20">
        <f t="shared" si="93"/>
        <v>0</v>
      </c>
      <c r="AV26" s="20">
        <f t="shared" si="93"/>
        <v>0</v>
      </c>
      <c r="AW26" s="20">
        <f t="shared" si="93"/>
        <v>0</v>
      </c>
      <c r="AX26" s="20">
        <f t="shared" si="93"/>
        <v>0</v>
      </c>
      <c r="AY26" s="20">
        <f t="shared" si="93"/>
        <v>0</v>
      </c>
      <c r="AZ26" s="20">
        <f t="shared" si="93"/>
        <v>0</v>
      </c>
      <c r="BA26" s="20">
        <f t="shared" si="93"/>
        <v>0</v>
      </c>
      <c r="BB26" s="20">
        <f t="shared" si="93"/>
        <v>0</v>
      </c>
      <c r="BC26" s="20">
        <f t="shared" si="93"/>
        <v>0</v>
      </c>
      <c r="BD26" s="20">
        <f t="shared" si="93"/>
        <v>0</v>
      </c>
      <c r="BE26" s="20">
        <f t="shared" si="93"/>
        <v>0</v>
      </c>
      <c r="BF26" s="20">
        <f t="shared" si="93"/>
        <v>0</v>
      </c>
      <c r="BG26" s="20">
        <f t="shared" si="93"/>
        <v>0</v>
      </c>
      <c r="BH26" s="20">
        <f t="shared" si="93"/>
        <v>0</v>
      </c>
      <c r="BI26" s="20">
        <f t="shared" si="93"/>
        <v>0</v>
      </c>
      <c r="BJ26" s="20">
        <f t="shared" si="93"/>
        <v>0</v>
      </c>
      <c r="BK26" s="20">
        <f t="shared" si="93"/>
        <v>0</v>
      </c>
      <c r="BL26" s="20">
        <f t="shared" si="93"/>
        <v>0</v>
      </c>
      <c r="BM26" s="20">
        <f t="shared" si="93"/>
        <v>0</v>
      </c>
      <c r="BN26" s="20">
        <f t="shared" si="93"/>
        <v>0</v>
      </c>
      <c r="BO26" s="20">
        <f t="shared" si="93"/>
        <v>0</v>
      </c>
      <c r="BP26" s="20">
        <f t="shared" si="93"/>
        <v>0</v>
      </c>
      <c r="BQ26" s="20">
        <f t="shared" si="93"/>
        <v>0</v>
      </c>
    </row>
    <row r="27" spans="2:69" x14ac:dyDescent="0.25">
      <c r="B27" s="9" t="s">
        <v>14</v>
      </c>
      <c r="C27" s="9"/>
      <c r="D27" s="9"/>
      <c r="E27" s="9"/>
      <c r="F27" s="9"/>
      <c r="G27" s="9"/>
      <c r="H27" s="9"/>
      <c r="I27" s="9"/>
      <c r="J27" s="11">
        <f>J26/J18</f>
        <v>0.48404266343348917</v>
      </c>
      <c r="K27" s="11">
        <f t="shared" ref="K27:BQ27" si="94">K26/K18</f>
        <v>0.44131123490959989</v>
      </c>
      <c r="L27" s="11">
        <f t="shared" si="94"/>
        <v>0.46691455758286293</v>
      </c>
      <c r="M27" s="11">
        <f t="shared" si="94"/>
        <v>0.49819847423729013</v>
      </c>
      <c r="N27" s="11">
        <f t="shared" si="94"/>
        <v>0.54449310522544714</v>
      </c>
      <c r="O27" s="11">
        <f t="shared" si="94"/>
        <v>0.55820487936719487</v>
      </c>
      <c r="P27" s="11">
        <f t="shared" si="94"/>
        <v>0.5501751265407997</v>
      </c>
      <c r="Q27" s="11">
        <f t="shared" si="94"/>
        <v>0.59543130886624474</v>
      </c>
      <c r="R27" s="11">
        <f t="shared" si="94"/>
        <v>0.57667926873708286</v>
      </c>
      <c r="S27" s="11">
        <f t="shared" si="94"/>
        <v>0.47469289451124225</v>
      </c>
      <c r="T27" s="11">
        <f t="shared" si="94"/>
        <v>0.57017976585609353</v>
      </c>
      <c r="U27" s="11">
        <f t="shared" si="94"/>
        <v>0.55766076565003719</v>
      </c>
      <c r="V27" s="11">
        <f t="shared" si="94"/>
        <v>0.52690069023412767</v>
      </c>
      <c r="W27" s="11">
        <f t="shared" si="94"/>
        <v>0.56678618739926734</v>
      </c>
      <c r="X27" s="11">
        <f t="shared" si="94"/>
        <v>0.54278360365704392</v>
      </c>
      <c r="Y27" s="11">
        <f t="shared" si="94"/>
        <v>0.57591258462682715</v>
      </c>
      <c r="Z27" s="11">
        <f t="shared" si="94"/>
        <v>0.59257057208288566</v>
      </c>
      <c r="AA27" s="11">
        <f t="shared" si="94"/>
        <v>0.61097282721427093</v>
      </c>
      <c r="AB27" s="11">
        <f t="shared" si="94"/>
        <v>0.58485121632485459</v>
      </c>
      <c r="AC27" s="11">
        <f t="shared" si="94"/>
        <v>0.61509866075479125</v>
      </c>
      <c r="AD27" s="11">
        <f t="shared" si="94"/>
        <v>0.57146373623135749</v>
      </c>
      <c r="AE27" s="11">
        <f t="shared" si="94"/>
        <v>0.64575719703440682</v>
      </c>
      <c r="AF27" s="11">
        <f t="shared" si="94"/>
        <v>0.59486396133886688</v>
      </c>
      <c r="AG27" s="11">
        <f t="shared" si="94"/>
        <v>0.62439181703116275</v>
      </c>
      <c r="AH27" s="11">
        <f t="shared" si="94"/>
        <v>0.59337393827265672</v>
      </c>
      <c r="AI27" s="11">
        <f t="shared" si="94"/>
        <v>0.51979642285555516</v>
      </c>
      <c r="AJ27" s="11" t="e">
        <f t="shared" si="94"/>
        <v>#DIV/0!</v>
      </c>
      <c r="AK27" s="11" t="e">
        <f t="shared" si="94"/>
        <v>#DIV/0!</v>
      </c>
      <c r="AL27" s="11" t="e">
        <f t="shared" si="94"/>
        <v>#DIV/0!</v>
      </c>
      <c r="AM27" s="11" t="e">
        <f t="shared" si="94"/>
        <v>#DIV/0!</v>
      </c>
      <c r="AN27" s="11" t="e">
        <f t="shared" si="94"/>
        <v>#DIV/0!</v>
      </c>
      <c r="AO27" s="11" t="e">
        <f t="shared" si="94"/>
        <v>#DIV/0!</v>
      </c>
      <c r="AP27" s="11" t="e">
        <f t="shared" si="94"/>
        <v>#DIV/0!</v>
      </c>
      <c r="AQ27" s="11" t="e">
        <f t="shared" si="94"/>
        <v>#DIV/0!</v>
      </c>
      <c r="AR27" s="11" t="e">
        <f t="shared" si="94"/>
        <v>#DIV/0!</v>
      </c>
      <c r="AS27" s="11" t="e">
        <f t="shared" si="94"/>
        <v>#DIV/0!</v>
      </c>
      <c r="AT27" s="11" t="e">
        <f t="shared" si="94"/>
        <v>#DIV/0!</v>
      </c>
      <c r="AU27" s="11" t="e">
        <f t="shared" si="94"/>
        <v>#DIV/0!</v>
      </c>
      <c r="AV27" s="11" t="e">
        <f t="shared" si="94"/>
        <v>#DIV/0!</v>
      </c>
      <c r="AW27" s="11" t="e">
        <f t="shared" si="94"/>
        <v>#DIV/0!</v>
      </c>
      <c r="AX27" s="11" t="e">
        <f t="shared" si="94"/>
        <v>#DIV/0!</v>
      </c>
      <c r="AY27" s="11" t="e">
        <f t="shared" si="94"/>
        <v>#DIV/0!</v>
      </c>
      <c r="AZ27" s="11" t="e">
        <f t="shared" si="94"/>
        <v>#DIV/0!</v>
      </c>
      <c r="BA27" s="11" t="e">
        <f t="shared" si="94"/>
        <v>#DIV/0!</v>
      </c>
      <c r="BB27" s="11" t="e">
        <f t="shared" si="94"/>
        <v>#DIV/0!</v>
      </c>
      <c r="BC27" s="11" t="e">
        <f t="shared" si="94"/>
        <v>#DIV/0!</v>
      </c>
      <c r="BD27" s="11" t="e">
        <f t="shared" si="94"/>
        <v>#DIV/0!</v>
      </c>
      <c r="BE27" s="11" t="e">
        <f t="shared" si="94"/>
        <v>#DIV/0!</v>
      </c>
      <c r="BF27" s="11" t="e">
        <f t="shared" si="94"/>
        <v>#DIV/0!</v>
      </c>
      <c r="BG27" s="11" t="e">
        <f t="shared" si="94"/>
        <v>#DIV/0!</v>
      </c>
      <c r="BH27" s="11" t="e">
        <f t="shared" si="94"/>
        <v>#DIV/0!</v>
      </c>
      <c r="BI27" s="11" t="e">
        <f t="shared" si="94"/>
        <v>#DIV/0!</v>
      </c>
      <c r="BJ27" s="11" t="e">
        <f t="shared" si="94"/>
        <v>#DIV/0!</v>
      </c>
      <c r="BK27" s="11" t="e">
        <f t="shared" si="94"/>
        <v>#DIV/0!</v>
      </c>
      <c r="BL27" s="11" t="e">
        <f t="shared" si="94"/>
        <v>#DIV/0!</v>
      </c>
      <c r="BM27" s="11" t="e">
        <f t="shared" si="94"/>
        <v>#DIV/0!</v>
      </c>
      <c r="BN27" s="11" t="e">
        <f t="shared" si="94"/>
        <v>#DIV/0!</v>
      </c>
      <c r="BO27" s="11" t="e">
        <f t="shared" si="94"/>
        <v>#DIV/0!</v>
      </c>
      <c r="BP27" s="11" t="e">
        <f t="shared" si="94"/>
        <v>#DIV/0!</v>
      </c>
      <c r="BQ27" s="11" t="e">
        <f t="shared" si="94"/>
        <v>#DIV/0!</v>
      </c>
    </row>
    <row r="28" spans="2:69" x14ac:dyDescent="0.25">
      <c r="B28" s="10" t="s">
        <v>15</v>
      </c>
      <c r="C28" s="10"/>
      <c r="D28" s="10"/>
      <c r="E28" s="10"/>
      <c r="F28" s="10"/>
      <c r="G28" s="10"/>
      <c r="H28" s="10"/>
      <c r="I28" s="10"/>
      <c r="J28" s="14">
        <f>(J15-J21)/J15</f>
        <v>0.47299228894895745</v>
      </c>
      <c r="K28" s="14">
        <f t="shared" ref="K28:BQ30" si="95">(K15-K21)/K15</f>
        <v>0.36650012278811422</v>
      </c>
      <c r="L28" s="14">
        <f t="shared" si="95"/>
        <v>0.43150790430594171</v>
      </c>
      <c r="M28" s="14">
        <f t="shared" si="95"/>
        <v>0.44160903338145019</v>
      </c>
      <c r="N28" s="14">
        <f t="shared" si="95"/>
        <v>0.55093394231093518</v>
      </c>
      <c r="O28" s="14">
        <f t="shared" si="95"/>
        <v>0.56305991624480844</v>
      </c>
      <c r="P28" s="14">
        <f t="shared" si="95"/>
        <v>0.51265343853543976</v>
      </c>
      <c r="Q28" s="14">
        <f t="shared" si="95"/>
        <v>0.58022173801029686</v>
      </c>
      <c r="R28" s="14">
        <f t="shared" si="95"/>
        <v>0.54280636422080142</v>
      </c>
      <c r="S28" s="14">
        <f t="shared" si="95"/>
        <v>0.40031398315459132</v>
      </c>
      <c r="T28" s="14">
        <f t="shared" si="95"/>
        <v>0.52282794377546482</v>
      </c>
      <c r="U28" s="14">
        <f t="shared" si="95"/>
        <v>0.54896862177672467</v>
      </c>
      <c r="V28" s="14">
        <f t="shared" si="95"/>
        <v>0.50401496539540724</v>
      </c>
      <c r="W28" s="14">
        <f t="shared" si="95"/>
        <v>0.52241700610395603</v>
      </c>
      <c r="X28" s="14">
        <f t="shared" si="95"/>
        <v>0.52873735381053988</v>
      </c>
      <c r="Y28" s="14">
        <f t="shared" si="95"/>
        <v>0.574092296456714</v>
      </c>
      <c r="Z28" s="14">
        <f t="shared" si="95"/>
        <v>0.57499724169670507</v>
      </c>
      <c r="AA28" s="14">
        <f t="shared" si="95"/>
        <v>0.5749612952301123</v>
      </c>
      <c r="AB28" s="14">
        <f t="shared" si="95"/>
        <v>0.55156998743809937</v>
      </c>
      <c r="AC28" s="14">
        <f t="shared" si="95"/>
        <v>0.6170857915144089</v>
      </c>
      <c r="AD28" s="14">
        <f t="shared" si="95"/>
        <v>0.52518764956149588</v>
      </c>
      <c r="AE28" s="14">
        <f t="shared" si="95"/>
        <v>0.62948796422496245</v>
      </c>
      <c r="AF28" s="14">
        <f t="shared" si="95"/>
        <v>0.56937885707828761</v>
      </c>
      <c r="AG28" s="14">
        <f t="shared" si="95"/>
        <v>0.54519907799554568</v>
      </c>
      <c r="AH28" s="14">
        <f t="shared" si="95"/>
        <v>0.59735499223798327</v>
      </c>
      <c r="AI28" s="14">
        <f t="shared" si="95"/>
        <v>0.5204468757487607</v>
      </c>
      <c r="AJ28" s="14" t="e">
        <f t="shared" si="95"/>
        <v>#DIV/0!</v>
      </c>
      <c r="AK28" s="14" t="e">
        <f t="shared" si="95"/>
        <v>#DIV/0!</v>
      </c>
      <c r="AL28" s="14" t="e">
        <f t="shared" si="95"/>
        <v>#DIV/0!</v>
      </c>
      <c r="AM28" s="14" t="e">
        <f t="shared" si="95"/>
        <v>#DIV/0!</v>
      </c>
      <c r="AN28" s="14" t="e">
        <f t="shared" si="95"/>
        <v>#DIV/0!</v>
      </c>
      <c r="AO28" s="14" t="e">
        <f t="shared" si="95"/>
        <v>#DIV/0!</v>
      </c>
      <c r="AP28" s="14" t="e">
        <f t="shared" si="95"/>
        <v>#DIV/0!</v>
      </c>
      <c r="AQ28" s="14" t="e">
        <f t="shared" si="95"/>
        <v>#DIV/0!</v>
      </c>
      <c r="AR28" s="14" t="e">
        <f t="shared" si="95"/>
        <v>#DIV/0!</v>
      </c>
      <c r="AS28" s="14" t="e">
        <f t="shared" si="95"/>
        <v>#DIV/0!</v>
      </c>
      <c r="AT28" s="14" t="e">
        <f t="shared" si="95"/>
        <v>#DIV/0!</v>
      </c>
      <c r="AU28" s="14" t="e">
        <f t="shared" si="95"/>
        <v>#DIV/0!</v>
      </c>
      <c r="AV28" s="14" t="e">
        <f t="shared" si="95"/>
        <v>#DIV/0!</v>
      </c>
      <c r="AW28" s="14" t="e">
        <f t="shared" si="95"/>
        <v>#DIV/0!</v>
      </c>
      <c r="AX28" s="14" t="e">
        <f t="shared" si="95"/>
        <v>#DIV/0!</v>
      </c>
      <c r="AY28" s="14" t="e">
        <f t="shared" si="95"/>
        <v>#DIV/0!</v>
      </c>
      <c r="AZ28" s="14" t="e">
        <f t="shared" si="95"/>
        <v>#DIV/0!</v>
      </c>
      <c r="BA28" s="14" t="e">
        <f t="shared" si="95"/>
        <v>#DIV/0!</v>
      </c>
      <c r="BB28" s="14" t="e">
        <f t="shared" si="95"/>
        <v>#DIV/0!</v>
      </c>
      <c r="BC28" s="14" t="e">
        <f t="shared" si="95"/>
        <v>#DIV/0!</v>
      </c>
      <c r="BD28" s="14" t="e">
        <f t="shared" si="95"/>
        <v>#DIV/0!</v>
      </c>
      <c r="BE28" s="14" t="e">
        <f t="shared" si="95"/>
        <v>#DIV/0!</v>
      </c>
      <c r="BF28" s="14" t="e">
        <f t="shared" si="95"/>
        <v>#DIV/0!</v>
      </c>
      <c r="BG28" s="14" t="e">
        <f t="shared" si="95"/>
        <v>#DIV/0!</v>
      </c>
      <c r="BH28" s="14" t="e">
        <f t="shared" si="95"/>
        <v>#DIV/0!</v>
      </c>
      <c r="BI28" s="14" t="e">
        <f t="shared" si="95"/>
        <v>#DIV/0!</v>
      </c>
      <c r="BJ28" s="14" t="e">
        <f t="shared" si="95"/>
        <v>#DIV/0!</v>
      </c>
      <c r="BK28" s="14" t="e">
        <f t="shared" si="95"/>
        <v>#DIV/0!</v>
      </c>
      <c r="BL28" s="14" t="e">
        <f t="shared" si="95"/>
        <v>#DIV/0!</v>
      </c>
      <c r="BM28" s="14" t="e">
        <f t="shared" si="95"/>
        <v>#DIV/0!</v>
      </c>
      <c r="BN28" s="14" t="e">
        <f t="shared" si="95"/>
        <v>#DIV/0!</v>
      </c>
      <c r="BO28" s="14" t="e">
        <f t="shared" si="95"/>
        <v>#DIV/0!</v>
      </c>
      <c r="BP28" s="14" t="e">
        <f t="shared" si="95"/>
        <v>#DIV/0!</v>
      </c>
      <c r="BQ28" s="14" t="e">
        <f t="shared" si="95"/>
        <v>#DIV/0!</v>
      </c>
    </row>
    <row r="29" spans="2:69" x14ac:dyDescent="0.25">
      <c r="B29" s="10" t="s">
        <v>16</v>
      </c>
      <c r="C29" s="10"/>
      <c r="D29" s="10"/>
      <c r="E29" s="10"/>
      <c r="F29" s="10"/>
      <c r="G29" s="10"/>
      <c r="H29" s="10"/>
      <c r="I29" s="10"/>
      <c r="J29" s="15">
        <f t="shared" ref="J29:Y30" si="96">(J16-J22)/J16</f>
        <v>0.50583964722427843</v>
      </c>
      <c r="K29" s="15">
        <f t="shared" si="96"/>
        <v>0.58815902687564325</v>
      </c>
      <c r="L29" s="15">
        <f t="shared" si="96"/>
        <v>0.53668900359443283</v>
      </c>
      <c r="M29" s="15">
        <f t="shared" si="96"/>
        <v>0.68502240669550474</v>
      </c>
      <c r="N29" s="15">
        <f t="shared" si="96"/>
        <v>0.50890356958377514</v>
      </c>
      <c r="O29" s="15">
        <f t="shared" si="96"/>
        <v>0.62674472175980245</v>
      </c>
      <c r="P29" s="15">
        <f t="shared" si="96"/>
        <v>0.66650433023006472</v>
      </c>
      <c r="Q29" s="15">
        <f t="shared" si="96"/>
        <v>0.61514501022249857</v>
      </c>
      <c r="R29" s="15">
        <f t="shared" si="96"/>
        <v>0.70596868061629547</v>
      </c>
      <c r="S29" s="15">
        <f t="shared" si="96"/>
        <v>0.66655119488432379</v>
      </c>
      <c r="T29" s="15">
        <f t="shared" si="96"/>
        <v>0.64658494565780855</v>
      </c>
      <c r="U29" s="15">
        <f t="shared" si="96"/>
        <v>0.59947857157695739</v>
      </c>
      <c r="V29" s="15">
        <f t="shared" si="96"/>
        <v>0.6117279764758683</v>
      </c>
      <c r="W29" s="15">
        <f t="shared" si="96"/>
        <v>0.70794451782485102</v>
      </c>
      <c r="X29" s="15">
        <f t="shared" si="96"/>
        <v>0.58386799137478396</v>
      </c>
      <c r="Y29" s="15">
        <f t="shared" si="96"/>
        <v>0.5863152053491002</v>
      </c>
      <c r="Z29" s="15">
        <f t="shared" si="95"/>
        <v>0.68340173845749896</v>
      </c>
      <c r="AA29" s="15">
        <f t="shared" si="95"/>
        <v>0.70658785211979513</v>
      </c>
      <c r="AB29" s="15">
        <f t="shared" si="95"/>
        <v>0.72397943674363818</v>
      </c>
      <c r="AC29" s="15">
        <f t="shared" si="95"/>
        <v>0.6433186801546531</v>
      </c>
      <c r="AD29" s="15">
        <f t="shared" si="95"/>
        <v>0.6992863396186586</v>
      </c>
      <c r="AE29" s="15">
        <f t="shared" si="95"/>
        <v>0.71507765696769809</v>
      </c>
      <c r="AF29" s="15">
        <f t="shared" si="95"/>
        <v>0.7182862570113806</v>
      </c>
      <c r="AG29" s="15">
        <f t="shared" si="95"/>
        <v>0.68568136645860789</v>
      </c>
      <c r="AH29" s="15">
        <f t="shared" si="95"/>
        <v>0.59146910507003725</v>
      </c>
      <c r="AI29" s="15">
        <f t="shared" si="95"/>
        <v>0.51703554690242981</v>
      </c>
      <c r="AJ29" s="15" t="e">
        <f t="shared" si="95"/>
        <v>#DIV/0!</v>
      </c>
      <c r="AK29" s="15" t="e">
        <f t="shared" si="95"/>
        <v>#DIV/0!</v>
      </c>
      <c r="AL29" s="15" t="e">
        <f t="shared" si="95"/>
        <v>#DIV/0!</v>
      </c>
      <c r="AM29" s="15" t="e">
        <f t="shared" si="95"/>
        <v>#DIV/0!</v>
      </c>
      <c r="AN29" s="15" t="e">
        <f t="shared" si="95"/>
        <v>#DIV/0!</v>
      </c>
      <c r="AO29" s="15" t="e">
        <f t="shared" si="95"/>
        <v>#DIV/0!</v>
      </c>
      <c r="AP29" s="15" t="e">
        <f t="shared" si="95"/>
        <v>#DIV/0!</v>
      </c>
      <c r="AQ29" s="15" t="e">
        <f t="shared" si="95"/>
        <v>#DIV/0!</v>
      </c>
      <c r="AR29" s="15" t="e">
        <f t="shared" si="95"/>
        <v>#DIV/0!</v>
      </c>
      <c r="AS29" s="15" t="e">
        <f t="shared" si="95"/>
        <v>#DIV/0!</v>
      </c>
      <c r="AT29" s="15" t="e">
        <f t="shared" si="95"/>
        <v>#DIV/0!</v>
      </c>
      <c r="AU29" s="15" t="e">
        <f t="shared" si="95"/>
        <v>#DIV/0!</v>
      </c>
      <c r="AV29" s="15" t="e">
        <f t="shared" si="95"/>
        <v>#DIV/0!</v>
      </c>
      <c r="AW29" s="15" t="e">
        <f t="shared" si="95"/>
        <v>#DIV/0!</v>
      </c>
      <c r="AX29" s="15" t="e">
        <f t="shared" si="95"/>
        <v>#DIV/0!</v>
      </c>
      <c r="AY29" s="15" t="e">
        <f t="shared" si="95"/>
        <v>#DIV/0!</v>
      </c>
      <c r="AZ29" s="15" t="e">
        <f t="shared" si="95"/>
        <v>#DIV/0!</v>
      </c>
      <c r="BA29" s="15" t="e">
        <f t="shared" si="95"/>
        <v>#DIV/0!</v>
      </c>
      <c r="BB29" s="15" t="e">
        <f t="shared" si="95"/>
        <v>#DIV/0!</v>
      </c>
      <c r="BC29" s="15" t="e">
        <f t="shared" si="95"/>
        <v>#DIV/0!</v>
      </c>
      <c r="BD29" s="15" t="e">
        <f t="shared" si="95"/>
        <v>#DIV/0!</v>
      </c>
      <c r="BE29" s="15" t="e">
        <f t="shared" si="95"/>
        <v>#DIV/0!</v>
      </c>
      <c r="BF29" s="15" t="e">
        <f t="shared" si="95"/>
        <v>#DIV/0!</v>
      </c>
      <c r="BG29" s="15" t="e">
        <f t="shared" si="95"/>
        <v>#DIV/0!</v>
      </c>
      <c r="BH29" s="15" t="e">
        <f t="shared" si="95"/>
        <v>#DIV/0!</v>
      </c>
      <c r="BI29" s="15" t="e">
        <f t="shared" si="95"/>
        <v>#DIV/0!</v>
      </c>
      <c r="BJ29" s="15" t="e">
        <f t="shared" si="95"/>
        <v>#DIV/0!</v>
      </c>
      <c r="BK29" s="15" t="e">
        <f t="shared" si="95"/>
        <v>#DIV/0!</v>
      </c>
      <c r="BL29" s="15" t="e">
        <f t="shared" si="95"/>
        <v>#DIV/0!</v>
      </c>
      <c r="BM29" s="15" t="e">
        <f t="shared" si="95"/>
        <v>#DIV/0!</v>
      </c>
      <c r="BN29" s="15" t="e">
        <f t="shared" si="95"/>
        <v>#DIV/0!</v>
      </c>
      <c r="BO29" s="15" t="e">
        <f t="shared" si="95"/>
        <v>#DIV/0!</v>
      </c>
      <c r="BP29" s="15" t="e">
        <f t="shared" si="95"/>
        <v>#DIV/0!</v>
      </c>
      <c r="BQ29" s="15" t="e">
        <f t="shared" si="95"/>
        <v>#DIV/0!</v>
      </c>
    </row>
    <row r="30" spans="2:69" x14ac:dyDescent="0.25">
      <c r="B30" s="10" t="s">
        <v>17</v>
      </c>
      <c r="C30" s="10"/>
      <c r="D30" s="10"/>
      <c r="E30" s="10"/>
      <c r="F30" s="10"/>
      <c r="G30" s="10"/>
      <c r="H30" s="10"/>
      <c r="I30" s="10"/>
      <c r="J30" s="15" t="e">
        <f t="shared" si="96"/>
        <v>#DIV/0!</v>
      </c>
      <c r="K30" s="15">
        <f t="shared" si="95"/>
        <v>0.75367452170979721</v>
      </c>
      <c r="L30" s="15">
        <f t="shared" si="95"/>
        <v>0.51003514957151508</v>
      </c>
      <c r="M30" s="15">
        <f t="shared" si="95"/>
        <v>0.47746112921186123</v>
      </c>
      <c r="N30" s="15">
        <f t="shared" si="95"/>
        <v>0.56186028564220025</v>
      </c>
      <c r="O30" s="15">
        <f t="shared" si="95"/>
        <v>0.41747259767400147</v>
      </c>
      <c r="P30" s="15">
        <f t="shared" si="95"/>
        <v>0.5827459696448416</v>
      </c>
      <c r="Q30" s="15">
        <f t="shared" si="95"/>
        <v>0.64510666297271091</v>
      </c>
      <c r="R30" s="15">
        <f t="shared" si="95"/>
        <v>-0.23830925019911253</v>
      </c>
      <c r="S30" s="15">
        <f t="shared" si="95"/>
        <v>0.60293690563566948</v>
      </c>
      <c r="T30" s="15">
        <f t="shared" si="95"/>
        <v>0.85694598388395504</v>
      </c>
      <c r="U30" s="15">
        <f t="shared" si="95"/>
        <v>0.70502306509482326</v>
      </c>
      <c r="V30" s="15">
        <f t="shared" si="95"/>
        <v>0.85729679572563877</v>
      </c>
      <c r="W30" s="15">
        <f t="shared" si="95"/>
        <v>0.62425032594524121</v>
      </c>
      <c r="X30" s="15">
        <f t="shared" si="95"/>
        <v>0.69345967461918978</v>
      </c>
      <c r="Y30" s="15" t="e">
        <f t="shared" si="95"/>
        <v>#DIV/0!</v>
      </c>
      <c r="Z30" s="15" t="e">
        <f t="shared" si="95"/>
        <v>#DIV/0!</v>
      </c>
      <c r="AA30" s="15">
        <f t="shared" si="95"/>
        <v>0.91550077445850975</v>
      </c>
      <c r="AB30" s="15" t="e">
        <f t="shared" si="95"/>
        <v>#DIV/0!</v>
      </c>
      <c r="AC30" s="15">
        <f t="shared" si="95"/>
        <v>0.45281683172085169</v>
      </c>
      <c r="AD30" s="15">
        <f t="shared" si="95"/>
        <v>0.84353732226034961</v>
      </c>
      <c r="AE30" s="15" t="e">
        <f t="shared" si="95"/>
        <v>#DIV/0!</v>
      </c>
      <c r="AF30" s="15">
        <f t="shared" si="95"/>
        <v>0.66924355396977875</v>
      </c>
      <c r="AG30" s="15">
        <f t="shared" si="95"/>
        <v>0.54776585293412094</v>
      </c>
      <c r="AH30" s="15">
        <f t="shared" si="95"/>
        <v>0.57881585118500145</v>
      </c>
      <c r="AI30" s="15">
        <f t="shared" si="95"/>
        <v>0.5344016735840581</v>
      </c>
      <c r="AJ30" s="15" t="e">
        <f t="shared" si="95"/>
        <v>#DIV/0!</v>
      </c>
      <c r="AK30" s="15" t="e">
        <f t="shared" si="95"/>
        <v>#DIV/0!</v>
      </c>
      <c r="AL30" s="15" t="e">
        <f t="shared" si="95"/>
        <v>#DIV/0!</v>
      </c>
      <c r="AM30" s="15" t="e">
        <f t="shared" si="95"/>
        <v>#DIV/0!</v>
      </c>
      <c r="AN30" s="15" t="e">
        <f t="shared" si="95"/>
        <v>#DIV/0!</v>
      </c>
      <c r="AO30" s="15" t="e">
        <f t="shared" si="95"/>
        <v>#DIV/0!</v>
      </c>
      <c r="AP30" s="15" t="e">
        <f t="shared" si="95"/>
        <v>#DIV/0!</v>
      </c>
      <c r="AQ30" s="15" t="e">
        <f t="shared" si="95"/>
        <v>#DIV/0!</v>
      </c>
      <c r="AR30" s="15" t="e">
        <f t="shared" si="95"/>
        <v>#DIV/0!</v>
      </c>
      <c r="AS30" s="15" t="e">
        <f t="shared" si="95"/>
        <v>#DIV/0!</v>
      </c>
      <c r="AT30" s="15" t="e">
        <f t="shared" si="95"/>
        <v>#DIV/0!</v>
      </c>
      <c r="AU30" s="15" t="e">
        <f t="shared" si="95"/>
        <v>#DIV/0!</v>
      </c>
      <c r="AV30" s="15" t="e">
        <f t="shared" si="95"/>
        <v>#DIV/0!</v>
      </c>
      <c r="AW30" s="15" t="e">
        <f t="shared" si="95"/>
        <v>#DIV/0!</v>
      </c>
      <c r="AX30" s="15" t="e">
        <f t="shared" si="95"/>
        <v>#DIV/0!</v>
      </c>
      <c r="AY30" s="15" t="e">
        <f t="shared" si="95"/>
        <v>#DIV/0!</v>
      </c>
      <c r="AZ30" s="15" t="e">
        <f t="shared" si="95"/>
        <v>#DIV/0!</v>
      </c>
      <c r="BA30" s="15" t="e">
        <f t="shared" si="95"/>
        <v>#DIV/0!</v>
      </c>
      <c r="BB30" s="15" t="e">
        <f t="shared" si="95"/>
        <v>#DIV/0!</v>
      </c>
      <c r="BC30" s="15" t="e">
        <f t="shared" si="95"/>
        <v>#DIV/0!</v>
      </c>
      <c r="BD30" s="15" t="e">
        <f t="shared" si="95"/>
        <v>#DIV/0!</v>
      </c>
      <c r="BE30" s="15" t="e">
        <f t="shared" si="95"/>
        <v>#DIV/0!</v>
      </c>
      <c r="BF30" s="15" t="e">
        <f t="shared" si="95"/>
        <v>#DIV/0!</v>
      </c>
      <c r="BG30" s="15" t="e">
        <f t="shared" si="95"/>
        <v>#DIV/0!</v>
      </c>
      <c r="BH30" s="15" t="e">
        <f t="shared" si="95"/>
        <v>#DIV/0!</v>
      </c>
      <c r="BI30" s="15" t="e">
        <f t="shared" si="95"/>
        <v>#DIV/0!</v>
      </c>
      <c r="BJ30" s="15" t="e">
        <f t="shared" si="95"/>
        <v>#DIV/0!</v>
      </c>
      <c r="BK30" s="15" t="e">
        <f t="shared" si="95"/>
        <v>#DIV/0!</v>
      </c>
      <c r="BL30" s="15" t="e">
        <f t="shared" si="95"/>
        <v>#DIV/0!</v>
      </c>
      <c r="BM30" s="15" t="e">
        <f t="shared" si="95"/>
        <v>#DIV/0!</v>
      </c>
      <c r="BN30" s="15" t="e">
        <f t="shared" si="95"/>
        <v>#DIV/0!</v>
      </c>
      <c r="BO30" s="15" t="e">
        <f t="shared" si="95"/>
        <v>#DIV/0!</v>
      </c>
      <c r="BP30" s="15" t="e">
        <f t="shared" si="95"/>
        <v>#DIV/0!</v>
      </c>
      <c r="BQ30" s="15" t="e">
        <f t="shared" si="95"/>
        <v>#DIV/0!</v>
      </c>
    </row>
    <row r="32" spans="2:69" x14ac:dyDescent="0.25">
      <c r="B32" s="1" t="s">
        <v>18</v>
      </c>
    </row>
    <row r="33" spans="2:69" s="17" customFormat="1" x14ac:dyDescent="0.25">
      <c r="B33" s="2" t="s">
        <v>19</v>
      </c>
      <c r="C33" s="2"/>
      <c r="D33" s="2"/>
      <c r="E33" s="2"/>
      <c r="F33" s="2"/>
      <c r="G33" s="2"/>
      <c r="H33" s="2"/>
      <c r="I33" s="2"/>
      <c r="J33" s="24">
        <v>923.721</v>
      </c>
      <c r="K33" s="24">
        <v>1031.6220000000001</v>
      </c>
      <c r="L33" s="24">
        <v>1028.271</v>
      </c>
      <c r="M33" s="24">
        <v>592.18700000000001</v>
      </c>
      <c r="N33" s="24">
        <v>596.37199999999996</v>
      </c>
      <c r="O33" s="24">
        <v>648.48199999999997</v>
      </c>
      <c r="P33" s="24">
        <v>722.52499999999998</v>
      </c>
      <c r="Q33" s="24">
        <v>522.42700000000002</v>
      </c>
      <c r="R33" s="24">
        <v>666.61500000000001</v>
      </c>
      <c r="S33" s="24">
        <v>712.01900000000001</v>
      </c>
      <c r="T33" s="24">
        <v>870.80499999999995</v>
      </c>
      <c r="U33" s="24">
        <v>706.53700000000003</v>
      </c>
      <c r="V33" s="24">
        <v>600.298</v>
      </c>
      <c r="W33" s="24">
        <v>689.654</v>
      </c>
      <c r="X33" s="24">
        <v>646.79499999999996</v>
      </c>
      <c r="Y33" s="24">
        <v>686.17200000000003</v>
      </c>
      <c r="Z33" s="24">
        <v>736.52499999999998</v>
      </c>
      <c r="AA33" s="24">
        <v>650.03099999999995</v>
      </c>
      <c r="AB33" s="24">
        <v>676.38099999999997</v>
      </c>
      <c r="AC33" s="24">
        <v>642.20299999999997</v>
      </c>
      <c r="AD33" s="24">
        <v>670.44500000000005</v>
      </c>
      <c r="AE33" s="24">
        <v>866.19799999999998</v>
      </c>
      <c r="AF33" s="24">
        <v>851.29600000000005</v>
      </c>
      <c r="AG33" s="24">
        <v>741.57899999999995</v>
      </c>
      <c r="AH33" s="24">
        <v>901.14400000000001</v>
      </c>
      <c r="AI33" s="24">
        <v>1031.1189999999999</v>
      </c>
    </row>
    <row r="34" spans="2:69" s="17" customFormat="1" x14ac:dyDescent="0.25">
      <c r="B34" s="2" t="s">
        <v>20</v>
      </c>
      <c r="C34" s="2"/>
      <c r="D34" s="2"/>
      <c r="E34" s="2"/>
      <c r="F34" s="2"/>
      <c r="G34" s="2"/>
      <c r="H34" s="2"/>
      <c r="I34" s="2"/>
      <c r="J34" s="24">
        <v>1622.5550000000001</v>
      </c>
      <c r="K34" s="24">
        <v>1756.7460000000001</v>
      </c>
      <c r="L34" s="24">
        <v>1626.64</v>
      </c>
      <c r="M34" s="24">
        <v>1668.2449999999999</v>
      </c>
      <c r="N34" s="24">
        <v>1473.4159999999999</v>
      </c>
      <c r="O34" s="24">
        <v>1524.6569999999999</v>
      </c>
      <c r="P34" s="24">
        <v>1416.0530000000001</v>
      </c>
      <c r="Q34" s="24">
        <v>1463.7940000000001</v>
      </c>
      <c r="R34" s="24">
        <v>1703.2739999999999</v>
      </c>
      <c r="S34" s="24">
        <v>1531.3889999999999</v>
      </c>
      <c r="T34" s="24">
        <v>1279.422</v>
      </c>
      <c r="U34" s="24">
        <v>1586.461</v>
      </c>
      <c r="V34" s="24">
        <v>1733.154</v>
      </c>
      <c r="W34" s="24">
        <v>1602.1179999999999</v>
      </c>
      <c r="X34" s="24">
        <v>1512.1379999999999</v>
      </c>
      <c r="Y34" s="24">
        <v>1410.3219999999999</v>
      </c>
      <c r="Z34" s="24">
        <v>1806.982</v>
      </c>
      <c r="AA34" s="24">
        <v>1724.8</v>
      </c>
      <c r="AB34" s="24">
        <v>1694.2329999999999</v>
      </c>
      <c r="AC34" s="24">
        <v>1527.9</v>
      </c>
      <c r="AD34" s="24">
        <v>2261.8629999999998</v>
      </c>
      <c r="AE34" s="24">
        <v>2446.6350000000002</v>
      </c>
      <c r="AF34" s="24">
        <v>2395.7139999999999</v>
      </c>
      <c r="AG34" s="24">
        <v>3718.2930000000001</v>
      </c>
      <c r="AH34" s="24">
        <v>3006.819</v>
      </c>
      <c r="AI34" s="24">
        <v>2908.1930000000002</v>
      </c>
    </row>
    <row r="35" spans="2:69" s="17" customFormat="1" x14ac:dyDescent="0.25">
      <c r="B35" s="1" t="s">
        <v>21</v>
      </c>
      <c r="C35" s="1"/>
      <c r="D35" s="1"/>
      <c r="E35" s="1"/>
      <c r="F35" s="1"/>
      <c r="G35" s="1"/>
      <c r="H35" s="1"/>
      <c r="I35" s="1"/>
      <c r="J35" s="19">
        <f>SUM(J33:J34)</f>
        <v>2546.2759999999998</v>
      </c>
      <c r="K35" s="19">
        <f t="shared" ref="K35:BQ35" si="97">SUM(K33:K34)</f>
        <v>2788.3680000000004</v>
      </c>
      <c r="L35" s="19">
        <f t="shared" si="97"/>
        <v>2654.9110000000001</v>
      </c>
      <c r="M35" s="19">
        <f t="shared" si="97"/>
        <v>2260.4319999999998</v>
      </c>
      <c r="N35" s="19">
        <f t="shared" si="97"/>
        <v>2069.788</v>
      </c>
      <c r="O35" s="19">
        <f t="shared" si="97"/>
        <v>2173.1390000000001</v>
      </c>
      <c r="P35" s="19">
        <f t="shared" si="97"/>
        <v>2138.578</v>
      </c>
      <c r="Q35" s="19">
        <f t="shared" si="97"/>
        <v>1986.221</v>
      </c>
      <c r="R35" s="19">
        <f t="shared" si="97"/>
        <v>2369.8890000000001</v>
      </c>
      <c r="S35" s="19">
        <f t="shared" si="97"/>
        <v>2243.4079999999999</v>
      </c>
      <c r="T35" s="19">
        <f t="shared" si="97"/>
        <v>2150.2269999999999</v>
      </c>
      <c r="U35" s="19">
        <f t="shared" si="97"/>
        <v>2292.998</v>
      </c>
      <c r="V35" s="19">
        <f t="shared" si="97"/>
        <v>2333.4520000000002</v>
      </c>
      <c r="W35" s="19">
        <f t="shared" si="97"/>
        <v>2291.7719999999999</v>
      </c>
      <c r="X35" s="19">
        <f t="shared" si="97"/>
        <v>2158.933</v>
      </c>
      <c r="Y35" s="19">
        <f t="shared" si="97"/>
        <v>2096.4939999999997</v>
      </c>
      <c r="Z35" s="19">
        <f t="shared" si="97"/>
        <v>2543.5070000000001</v>
      </c>
      <c r="AA35" s="19">
        <f t="shared" si="97"/>
        <v>2374.8310000000001</v>
      </c>
      <c r="AB35" s="19">
        <f t="shared" si="97"/>
        <v>2370.614</v>
      </c>
      <c r="AC35" s="19">
        <f t="shared" si="97"/>
        <v>2170.1030000000001</v>
      </c>
      <c r="AD35" s="19">
        <f t="shared" si="97"/>
        <v>2932.308</v>
      </c>
      <c r="AE35" s="19">
        <f t="shared" si="97"/>
        <v>3312.8330000000001</v>
      </c>
      <c r="AF35" s="19">
        <f t="shared" si="97"/>
        <v>3247.01</v>
      </c>
      <c r="AG35" s="19">
        <f t="shared" si="97"/>
        <v>4459.8720000000003</v>
      </c>
      <c r="AH35" s="19">
        <f t="shared" si="97"/>
        <v>3907.9629999999997</v>
      </c>
      <c r="AI35" s="19">
        <f t="shared" si="97"/>
        <v>3939.3119999999999</v>
      </c>
      <c r="AJ35" s="19">
        <f t="shared" si="97"/>
        <v>0</v>
      </c>
      <c r="AK35" s="19">
        <f t="shared" si="97"/>
        <v>0</v>
      </c>
      <c r="AL35" s="19">
        <f t="shared" si="97"/>
        <v>0</v>
      </c>
      <c r="AM35" s="19">
        <f t="shared" si="97"/>
        <v>0</v>
      </c>
      <c r="AN35" s="19">
        <f t="shared" si="97"/>
        <v>0</v>
      </c>
      <c r="AO35" s="19">
        <f t="shared" si="97"/>
        <v>0</v>
      </c>
      <c r="AP35" s="19">
        <f t="shared" si="97"/>
        <v>0</v>
      </c>
      <c r="AQ35" s="19">
        <f t="shared" si="97"/>
        <v>0</v>
      </c>
      <c r="AR35" s="19">
        <f t="shared" si="97"/>
        <v>0</v>
      </c>
      <c r="AS35" s="19">
        <f t="shared" si="97"/>
        <v>0</v>
      </c>
      <c r="AT35" s="19">
        <f t="shared" si="97"/>
        <v>0</v>
      </c>
      <c r="AU35" s="19">
        <f t="shared" si="97"/>
        <v>0</v>
      </c>
      <c r="AV35" s="19">
        <f t="shared" si="97"/>
        <v>0</v>
      </c>
      <c r="AW35" s="19">
        <f t="shared" si="97"/>
        <v>0</v>
      </c>
      <c r="AX35" s="19">
        <f t="shared" si="97"/>
        <v>0</v>
      </c>
      <c r="AY35" s="19">
        <f t="shared" si="97"/>
        <v>0</v>
      </c>
      <c r="AZ35" s="19">
        <f t="shared" si="97"/>
        <v>0</v>
      </c>
      <c r="BA35" s="19">
        <f t="shared" si="97"/>
        <v>0</v>
      </c>
      <c r="BB35" s="19">
        <f t="shared" si="97"/>
        <v>0</v>
      </c>
      <c r="BC35" s="19">
        <f t="shared" si="97"/>
        <v>0</v>
      </c>
      <c r="BD35" s="19">
        <f t="shared" si="97"/>
        <v>0</v>
      </c>
      <c r="BE35" s="19">
        <f t="shared" si="97"/>
        <v>0</v>
      </c>
      <c r="BF35" s="19">
        <f t="shared" si="97"/>
        <v>0</v>
      </c>
      <c r="BG35" s="19">
        <f t="shared" si="97"/>
        <v>0</v>
      </c>
      <c r="BH35" s="19">
        <f t="shared" si="97"/>
        <v>0</v>
      </c>
      <c r="BI35" s="19">
        <f t="shared" si="97"/>
        <v>0</v>
      </c>
      <c r="BJ35" s="19">
        <f t="shared" si="97"/>
        <v>0</v>
      </c>
      <c r="BK35" s="19">
        <f t="shared" si="97"/>
        <v>0</v>
      </c>
      <c r="BL35" s="19">
        <f t="shared" si="97"/>
        <v>0</v>
      </c>
      <c r="BM35" s="19">
        <f t="shared" si="97"/>
        <v>0</v>
      </c>
      <c r="BN35" s="19">
        <f t="shared" si="97"/>
        <v>0</v>
      </c>
      <c r="BO35" s="19">
        <f t="shared" si="97"/>
        <v>0</v>
      </c>
      <c r="BP35" s="19">
        <f t="shared" si="97"/>
        <v>0</v>
      </c>
      <c r="BQ35" s="19">
        <f t="shared" si="97"/>
        <v>0</v>
      </c>
    </row>
    <row r="37" spans="2:69" x14ac:dyDescent="0.25">
      <c r="B37" s="12" t="s">
        <v>22</v>
      </c>
      <c r="C37" s="12"/>
      <c r="D37" s="12"/>
      <c r="E37" s="12"/>
      <c r="F37" s="12"/>
      <c r="G37" s="12"/>
      <c r="H37" s="12"/>
      <c r="I37" s="12"/>
      <c r="J37" s="20">
        <f>J26-J35</f>
        <v>-1051.5600000000004</v>
      </c>
      <c r="K37" s="20">
        <f t="shared" ref="K37:BQ37" si="98">K26-K35</f>
        <v>-1143.511</v>
      </c>
      <c r="L37" s="20">
        <f t="shared" si="98"/>
        <v>-1072.2280000000001</v>
      </c>
      <c r="M37" s="20">
        <f t="shared" si="98"/>
        <v>-444.23899999999958</v>
      </c>
      <c r="N37" s="20">
        <f t="shared" si="98"/>
        <v>96.014999999999873</v>
      </c>
      <c r="O37" s="20">
        <f t="shared" si="98"/>
        <v>173.0669999999991</v>
      </c>
      <c r="P37" s="20">
        <f t="shared" si="98"/>
        <v>386.62899999999945</v>
      </c>
      <c r="Q37" s="20">
        <f t="shared" si="98"/>
        <v>873.0329999999999</v>
      </c>
      <c r="R37" s="20">
        <f t="shared" si="98"/>
        <v>231.75800000000072</v>
      </c>
      <c r="S37" s="20">
        <f t="shared" si="98"/>
        <v>51.762999999999465</v>
      </c>
      <c r="T37" s="20">
        <f t="shared" si="98"/>
        <v>1244.4459999999995</v>
      </c>
      <c r="U37" s="20">
        <f t="shared" si="98"/>
        <v>1217.4860000000003</v>
      </c>
      <c r="V37" s="20">
        <f t="shared" si="98"/>
        <v>232.37100000000009</v>
      </c>
      <c r="W37" s="20">
        <f t="shared" si="98"/>
        <v>611.21900000000051</v>
      </c>
      <c r="X37" s="20">
        <f t="shared" si="98"/>
        <v>1195.5690000000009</v>
      </c>
      <c r="Y37" s="20">
        <f t="shared" si="98"/>
        <v>1861.8200000000002</v>
      </c>
      <c r="Z37" s="20">
        <f t="shared" si="98"/>
        <v>1424.2140000000004</v>
      </c>
      <c r="AA37" s="20">
        <f t="shared" si="98"/>
        <v>1807.7790000000005</v>
      </c>
      <c r="AB37" s="20">
        <f t="shared" si="98"/>
        <v>1685.8999999999996</v>
      </c>
      <c r="AC37" s="20">
        <f t="shared" si="98"/>
        <v>2297.4330000000009</v>
      </c>
      <c r="AD37" s="20">
        <f t="shared" si="98"/>
        <v>791.49600000000055</v>
      </c>
      <c r="AE37" s="20">
        <f t="shared" si="98"/>
        <v>1427.3179999999998</v>
      </c>
      <c r="AF37" s="20">
        <f t="shared" si="98"/>
        <v>1487.6359999999995</v>
      </c>
      <c r="AG37" s="20">
        <f t="shared" si="98"/>
        <v>3652.597999999999</v>
      </c>
      <c r="AH37" s="20">
        <f t="shared" si="98"/>
        <v>1615.1990000000005</v>
      </c>
      <c r="AI37" s="20">
        <f t="shared" si="98"/>
        <v>1643.0500000000002</v>
      </c>
      <c r="AJ37" s="20">
        <f t="shared" si="98"/>
        <v>0</v>
      </c>
      <c r="AK37" s="20">
        <f t="shared" si="98"/>
        <v>0</v>
      </c>
      <c r="AL37" s="20">
        <f t="shared" si="98"/>
        <v>0</v>
      </c>
      <c r="AM37" s="20">
        <f t="shared" si="98"/>
        <v>0</v>
      </c>
      <c r="AN37" s="20">
        <f t="shared" si="98"/>
        <v>0</v>
      </c>
      <c r="AO37" s="20">
        <f t="shared" si="98"/>
        <v>0</v>
      </c>
      <c r="AP37" s="20">
        <f t="shared" si="98"/>
        <v>0</v>
      </c>
      <c r="AQ37" s="20">
        <f t="shared" si="98"/>
        <v>0</v>
      </c>
      <c r="AR37" s="20">
        <f t="shared" si="98"/>
        <v>0</v>
      </c>
      <c r="AS37" s="20">
        <f t="shared" si="98"/>
        <v>0</v>
      </c>
      <c r="AT37" s="20">
        <f t="shared" si="98"/>
        <v>0</v>
      </c>
      <c r="AU37" s="20">
        <f t="shared" si="98"/>
        <v>0</v>
      </c>
      <c r="AV37" s="20">
        <f t="shared" si="98"/>
        <v>0</v>
      </c>
      <c r="AW37" s="20">
        <f t="shared" si="98"/>
        <v>0</v>
      </c>
      <c r="AX37" s="20">
        <f t="shared" si="98"/>
        <v>0</v>
      </c>
      <c r="AY37" s="20">
        <f t="shared" si="98"/>
        <v>0</v>
      </c>
      <c r="AZ37" s="20">
        <f t="shared" si="98"/>
        <v>0</v>
      </c>
      <c r="BA37" s="20">
        <f t="shared" si="98"/>
        <v>0</v>
      </c>
      <c r="BB37" s="20">
        <f t="shared" si="98"/>
        <v>0</v>
      </c>
      <c r="BC37" s="20">
        <f t="shared" si="98"/>
        <v>0</v>
      </c>
      <c r="BD37" s="20">
        <f t="shared" si="98"/>
        <v>0</v>
      </c>
      <c r="BE37" s="20">
        <f t="shared" si="98"/>
        <v>0</v>
      </c>
      <c r="BF37" s="20">
        <f t="shared" si="98"/>
        <v>0</v>
      </c>
      <c r="BG37" s="20">
        <f t="shared" si="98"/>
        <v>0</v>
      </c>
      <c r="BH37" s="20">
        <f t="shared" si="98"/>
        <v>0</v>
      </c>
      <c r="BI37" s="20">
        <f t="shared" si="98"/>
        <v>0</v>
      </c>
      <c r="BJ37" s="20">
        <f t="shared" si="98"/>
        <v>0</v>
      </c>
      <c r="BK37" s="20">
        <f t="shared" si="98"/>
        <v>0</v>
      </c>
      <c r="BL37" s="20">
        <f t="shared" si="98"/>
        <v>0</v>
      </c>
      <c r="BM37" s="20">
        <f t="shared" si="98"/>
        <v>0</v>
      </c>
      <c r="BN37" s="20">
        <f t="shared" si="98"/>
        <v>0</v>
      </c>
      <c r="BO37" s="20">
        <f t="shared" si="98"/>
        <v>0</v>
      </c>
      <c r="BP37" s="20">
        <f t="shared" si="98"/>
        <v>0</v>
      </c>
      <c r="BQ37" s="20">
        <f t="shared" si="98"/>
        <v>0</v>
      </c>
    </row>
    <row r="38" spans="2:69" x14ac:dyDescent="0.25">
      <c r="B38" s="9" t="s">
        <v>23</v>
      </c>
      <c r="C38" s="9"/>
      <c r="D38" s="9"/>
      <c r="E38" s="9"/>
      <c r="F38" s="9"/>
      <c r="G38" s="9"/>
      <c r="H38" s="9"/>
      <c r="I38" s="9"/>
      <c r="J38" s="11">
        <f>J37/J18</f>
        <v>-0.34053285250182663</v>
      </c>
      <c r="K38" s="11">
        <f t="shared" ref="K38:BQ38" si="99">K37/K18</f>
        <v>-0.30680129126283401</v>
      </c>
      <c r="L38" s="11">
        <f t="shared" si="99"/>
        <v>-0.31632289109566353</v>
      </c>
      <c r="M38" s="11">
        <f t="shared" si="99"/>
        <v>-0.12185885090224403</v>
      </c>
      <c r="N38" s="11">
        <f t="shared" si="99"/>
        <v>2.4138624564755538E-2</v>
      </c>
      <c r="O38" s="11">
        <f t="shared" si="99"/>
        <v>4.1175772228628615E-2</v>
      </c>
      <c r="P38" s="11">
        <f t="shared" si="99"/>
        <v>8.4236127572647548E-2</v>
      </c>
      <c r="Q38" s="11">
        <f t="shared" si="99"/>
        <v>0.18180657677611858</v>
      </c>
      <c r="R38" s="11">
        <f t="shared" si="99"/>
        <v>5.1371317463118259E-2</v>
      </c>
      <c r="S38" s="11">
        <f t="shared" si="99"/>
        <v>1.0705750594872969E-2</v>
      </c>
      <c r="T38" s="11">
        <f t="shared" si="99"/>
        <v>0.20902099521825873</v>
      </c>
      <c r="U38" s="11">
        <f t="shared" si="99"/>
        <v>0.19340471995548231</v>
      </c>
      <c r="V38" s="11">
        <f t="shared" si="99"/>
        <v>4.7718194236467018E-2</v>
      </c>
      <c r="W38" s="11">
        <f t="shared" si="99"/>
        <v>0.1193357081286139</v>
      </c>
      <c r="X38" s="11">
        <f t="shared" si="99"/>
        <v>0.19345203855613996</v>
      </c>
      <c r="Y38" s="11">
        <f t="shared" si="99"/>
        <v>0.27088441399795959</v>
      </c>
      <c r="Z38" s="11">
        <f t="shared" si="99"/>
        <v>0.21270328854988926</v>
      </c>
      <c r="AA38" s="11">
        <f t="shared" si="99"/>
        <v>0.26407048388651766</v>
      </c>
      <c r="AB38" s="11">
        <f t="shared" si="99"/>
        <v>0.24306600830222017</v>
      </c>
      <c r="AC38" s="11">
        <f t="shared" si="99"/>
        <v>0.31631484591816666</v>
      </c>
      <c r="AD38" s="11">
        <f t="shared" si="99"/>
        <v>0.12146484116032281</v>
      </c>
      <c r="AE38" s="11">
        <f t="shared" si="99"/>
        <v>0.19444546617961231</v>
      </c>
      <c r="AF38" s="11">
        <f t="shared" si="99"/>
        <v>0.18690754155438577</v>
      </c>
      <c r="AG38" s="11">
        <f t="shared" si="99"/>
        <v>0.28112921244755179</v>
      </c>
      <c r="AH38" s="11">
        <f t="shared" si="99"/>
        <v>0.17352686590110106</v>
      </c>
      <c r="AI38" s="11">
        <f t="shared" si="99"/>
        <v>0.15299106589161005</v>
      </c>
      <c r="AJ38" s="11" t="e">
        <f t="shared" si="99"/>
        <v>#DIV/0!</v>
      </c>
      <c r="AK38" s="11" t="e">
        <f t="shared" si="99"/>
        <v>#DIV/0!</v>
      </c>
      <c r="AL38" s="11" t="e">
        <f t="shared" si="99"/>
        <v>#DIV/0!</v>
      </c>
      <c r="AM38" s="11" t="e">
        <f t="shared" si="99"/>
        <v>#DIV/0!</v>
      </c>
      <c r="AN38" s="11" t="e">
        <f t="shared" si="99"/>
        <v>#DIV/0!</v>
      </c>
      <c r="AO38" s="11" t="e">
        <f t="shared" si="99"/>
        <v>#DIV/0!</v>
      </c>
      <c r="AP38" s="11" t="e">
        <f t="shared" si="99"/>
        <v>#DIV/0!</v>
      </c>
      <c r="AQ38" s="11" t="e">
        <f t="shared" si="99"/>
        <v>#DIV/0!</v>
      </c>
      <c r="AR38" s="11" t="e">
        <f t="shared" si="99"/>
        <v>#DIV/0!</v>
      </c>
      <c r="AS38" s="11" t="e">
        <f t="shared" si="99"/>
        <v>#DIV/0!</v>
      </c>
      <c r="AT38" s="11" t="e">
        <f t="shared" si="99"/>
        <v>#DIV/0!</v>
      </c>
      <c r="AU38" s="11" t="e">
        <f t="shared" si="99"/>
        <v>#DIV/0!</v>
      </c>
      <c r="AV38" s="11" t="e">
        <f t="shared" si="99"/>
        <v>#DIV/0!</v>
      </c>
      <c r="AW38" s="11" t="e">
        <f t="shared" si="99"/>
        <v>#DIV/0!</v>
      </c>
      <c r="AX38" s="11" t="e">
        <f t="shared" si="99"/>
        <v>#DIV/0!</v>
      </c>
      <c r="AY38" s="11" t="e">
        <f t="shared" si="99"/>
        <v>#DIV/0!</v>
      </c>
      <c r="AZ38" s="11" t="e">
        <f t="shared" si="99"/>
        <v>#DIV/0!</v>
      </c>
      <c r="BA38" s="11" t="e">
        <f t="shared" si="99"/>
        <v>#DIV/0!</v>
      </c>
      <c r="BB38" s="11" t="e">
        <f t="shared" si="99"/>
        <v>#DIV/0!</v>
      </c>
      <c r="BC38" s="11" t="e">
        <f t="shared" si="99"/>
        <v>#DIV/0!</v>
      </c>
      <c r="BD38" s="11" t="e">
        <f t="shared" si="99"/>
        <v>#DIV/0!</v>
      </c>
      <c r="BE38" s="11" t="e">
        <f t="shared" si="99"/>
        <v>#DIV/0!</v>
      </c>
      <c r="BF38" s="11" t="e">
        <f t="shared" si="99"/>
        <v>#DIV/0!</v>
      </c>
      <c r="BG38" s="11" t="e">
        <f t="shared" si="99"/>
        <v>#DIV/0!</v>
      </c>
      <c r="BH38" s="11" t="e">
        <f t="shared" si="99"/>
        <v>#DIV/0!</v>
      </c>
      <c r="BI38" s="11" t="e">
        <f t="shared" si="99"/>
        <v>#DIV/0!</v>
      </c>
      <c r="BJ38" s="11" t="e">
        <f t="shared" si="99"/>
        <v>#DIV/0!</v>
      </c>
      <c r="BK38" s="11" t="e">
        <f t="shared" si="99"/>
        <v>#DIV/0!</v>
      </c>
      <c r="BL38" s="11" t="e">
        <f t="shared" si="99"/>
        <v>#DIV/0!</v>
      </c>
      <c r="BM38" s="11" t="e">
        <f t="shared" si="99"/>
        <v>#DIV/0!</v>
      </c>
      <c r="BN38" s="11" t="e">
        <f t="shared" si="99"/>
        <v>#DIV/0!</v>
      </c>
      <c r="BO38" s="11" t="e">
        <f t="shared" si="99"/>
        <v>#DIV/0!</v>
      </c>
      <c r="BP38" s="11" t="e">
        <f t="shared" si="99"/>
        <v>#DIV/0!</v>
      </c>
      <c r="BQ38" s="11" t="e">
        <f t="shared" si="99"/>
        <v>#DIV/0!</v>
      </c>
    </row>
    <row r="40" spans="2:69" s="17" customFormat="1" x14ac:dyDescent="0.25">
      <c r="B40" s="2" t="s">
        <v>24</v>
      </c>
      <c r="C40" s="2"/>
      <c r="D40" s="2"/>
      <c r="E40" s="2"/>
      <c r="F40" s="2"/>
      <c r="G40" s="2"/>
      <c r="H40" s="2"/>
      <c r="I40" s="2"/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-393.28100000000001</v>
      </c>
      <c r="AH40" s="24">
        <v>-360.01299999999998</v>
      </c>
      <c r="AI40" s="24">
        <v>-171.47</v>
      </c>
    </row>
    <row r="41" spans="2:69" s="17" customFormat="1" x14ac:dyDescent="0.25">
      <c r="B41" s="2" t="s">
        <v>25</v>
      </c>
      <c r="C41" s="2"/>
      <c r="D41" s="2"/>
      <c r="E41" s="2"/>
      <c r="F41" s="2"/>
      <c r="G41" s="2"/>
      <c r="H41" s="2"/>
      <c r="I41" s="2"/>
      <c r="J41" s="24">
        <v>9.6240000000000006</v>
      </c>
      <c r="K41" s="24">
        <v>11.680999999999999</v>
      </c>
      <c r="L41" s="24">
        <v>15.164</v>
      </c>
      <c r="M41" s="24">
        <v>17.091999999999999</v>
      </c>
      <c r="N41" s="24">
        <v>21.552</v>
      </c>
      <c r="O41" s="24">
        <v>26.48</v>
      </c>
      <c r="P41" s="24">
        <v>99.915999999999997</v>
      </c>
      <c r="Q41" s="24">
        <v>101.672</v>
      </c>
      <c r="R41" s="24">
        <v>78.87</v>
      </c>
      <c r="S41" s="24">
        <v>65.721000000000004</v>
      </c>
      <c r="T41" s="24">
        <v>7.7670000000000003</v>
      </c>
      <c r="U41" s="24">
        <v>2.5920000000000001</v>
      </c>
      <c r="V41" s="24">
        <v>0.879</v>
      </c>
      <c r="W41" s="24">
        <v>0.152</v>
      </c>
      <c r="X41" s="24">
        <v>0.107</v>
      </c>
      <c r="Y41" s="24">
        <v>23.911999999999999</v>
      </c>
      <c r="Z41" s="24">
        <v>9.6000000000000002E-2</v>
      </c>
      <c r="AA41" s="24">
        <v>0.34599999999999997</v>
      </c>
      <c r="AB41" s="24">
        <v>10.429</v>
      </c>
      <c r="AC41" s="24">
        <v>65.231999999999999</v>
      </c>
      <c r="AD41" s="24">
        <v>115.892</v>
      </c>
      <c r="AE41" s="24">
        <v>130.95099999999999</v>
      </c>
      <c r="AF41" s="24">
        <v>185.65199999999999</v>
      </c>
      <c r="AG41" s="24">
        <v>85.692999999999998</v>
      </c>
      <c r="AH41" s="24">
        <v>79.478999999999999</v>
      </c>
      <c r="AI41" s="24">
        <v>36.200000000000003</v>
      </c>
    </row>
    <row r="42" spans="2:69" s="17" customFormat="1" x14ac:dyDescent="0.25">
      <c r="B42" s="2" t="s">
        <v>26</v>
      </c>
      <c r="C42" s="2"/>
      <c r="D42" s="2"/>
      <c r="E42" s="2"/>
      <c r="F42" s="2"/>
      <c r="G42" s="2"/>
      <c r="H42" s="2"/>
      <c r="I42" s="2"/>
      <c r="J42" s="24">
        <v>21.431000000000001</v>
      </c>
      <c r="K42" s="24">
        <v>15.664</v>
      </c>
      <c r="L42" s="24">
        <v>16.128</v>
      </c>
      <c r="M42" s="24">
        <v>14.5</v>
      </c>
      <c r="N42" s="24">
        <v>21.853999999999999</v>
      </c>
      <c r="O42" s="24">
        <v>10.746</v>
      </c>
      <c r="P42" s="24">
        <v>24.713999999999999</v>
      </c>
      <c r="Q42" s="24">
        <v>16.422999999999998</v>
      </c>
      <c r="R42" s="24">
        <v>17.28</v>
      </c>
      <c r="S42" s="24">
        <v>11.218999999999999</v>
      </c>
      <c r="T42" s="24">
        <v>16.260999999999999</v>
      </c>
      <c r="U42" s="24">
        <v>15.737</v>
      </c>
      <c r="V42" s="24">
        <v>16.391999999999999</v>
      </c>
      <c r="W42" s="24">
        <v>17.370999999999999</v>
      </c>
      <c r="X42" s="24">
        <v>17.231000000000002</v>
      </c>
      <c r="Y42" s="24">
        <v>9.6000000000000002E-2</v>
      </c>
      <c r="Z42" s="24">
        <v>16.238</v>
      </c>
      <c r="AA42" s="24">
        <v>11.555</v>
      </c>
      <c r="AB42" s="24">
        <v>21.608000000000001</v>
      </c>
      <c r="AC42" s="24">
        <v>50.179000000000002</v>
      </c>
      <c r="AD42" s="24">
        <v>18.196000000000002</v>
      </c>
      <c r="AE42" s="24">
        <v>23.257999999999999</v>
      </c>
      <c r="AF42" s="24">
        <v>90.049000000000007</v>
      </c>
      <c r="AG42" s="24">
        <v>19.812999999999999</v>
      </c>
      <c r="AH42" s="24">
        <v>17.699000000000002</v>
      </c>
      <c r="AI42" s="24">
        <v>26.472000000000001</v>
      </c>
    </row>
    <row r="43" spans="2:69" s="17" customFormat="1" x14ac:dyDescent="0.25">
      <c r="B43" s="1" t="s">
        <v>27</v>
      </c>
      <c r="C43" s="1"/>
      <c r="D43" s="1"/>
      <c r="E43" s="1"/>
      <c r="F43" s="1"/>
      <c r="G43" s="1"/>
      <c r="H43" s="1"/>
      <c r="I43" s="1"/>
      <c r="J43" s="19">
        <f>J37+SUM(J40:J42)</f>
        <v>-1020.5050000000005</v>
      </c>
      <c r="K43" s="19">
        <f t="shared" ref="K43:BQ43" si="100">K37+SUM(K40:K42)</f>
        <v>-1116.1659999999999</v>
      </c>
      <c r="L43" s="19">
        <f t="shared" si="100"/>
        <v>-1040.9360000000001</v>
      </c>
      <c r="M43" s="19">
        <f t="shared" si="100"/>
        <v>-412.64699999999959</v>
      </c>
      <c r="N43" s="19">
        <f t="shared" si="100"/>
        <v>139.42099999999988</v>
      </c>
      <c r="O43" s="19">
        <f t="shared" si="100"/>
        <v>210.2929999999991</v>
      </c>
      <c r="P43" s="19">
        <f t="shared" si="100"/>
        <v>511.25899999999945</v>
      </c>
      <c r="Q43" s="19">
        <f t="shared" si="100"/>
        <v>991.12799999999993</v>
      </c>
      <c r="R43" s="19">
        <f t="shared" si="100"/>
        <v>327.9080000000007</v>
      </c>
      <c r="S43" s="19">
        <f t="shared" si="100"/>
        <v>128.70299999999946</v>
      </c>
      <c r="T43" s="19">
        <f t="shared" si="100"/>
        <v>1268.4739999999995</v>
      </c>
      <c r="U43" s="19">
        <f t="shared" si="100"/>
        <v>1235.8150000000003</v>
      </c>
      <c r="V43" s="19">
        <f t="shared" si="100"/>
        <v>249.64200000000011</v>
      </c>
      <c r="W43" s="19">
        <f t="shared" si="100"/>
        <v>628.74200000000053</v>
      </c>
      <c r="X43" s="19">
        <f t="shared" si="100"/>
        <v>1212.9070000000008</v>
      </c>
      <c r="Y43" s="19">
        <f t="shared" si="100"/>
        <v>1885.8280000000002</v>
      </c>
      <c r="Z43" s="19">
        <f t="shared" si="100"/>
        <v>1440.5480000000005</v>
      </c>
      <c r="AA43" s="19">
        <f t="shared" si="100"/>
        <v>1819.6800000000005</v>
      </c>
      <c r="AB43" s="19">
        <f t="shared" si="100"/>
        <v>1717.9369999999997</v>
      </c>
      <c r="AC43" s="19">
        <f t="shared" si="100"/>
        <v>2412.844000000001</v>
      </c>
      <c r="AD43" s="19">
        <f t="shared" si="100"/>
        <v>925.58400000000051</v>
      </c>
      <c r="AE43" s="19">
        <f t="shared" si="100"/>
        <v>1581.5269999999998</v>
      </c>
      <c r="AF43" s="19">
        <f t="shared" si="100"/>
        <v>1763.3369999999995</v>
      </c>
      <c r="AG43" s="19">
        <f t="shared" si="100"/>
        <v>3364.822999999999</v>
      </c>
      <c r="AH43" s="19">
        <f t="shared" si="100"/>
        <v>1352.3640000000005</v>
      </c>
      <c r="AI43" s="19">
        <f t="shared" si="100"/>
        <v>1534.2520000000002</v>
      </c>
      <c r="AJ43" s="19">
        <f t="shared" si="100"/>
        <v>0</v>
      </c>
      <c r="AK43" s="19">
        <f t="shared" si="100"/>
        <v>0</v>
      </c>
      <c r="AL43" s="19">
        <f t="shared" si="100"/>
        <v>0</v>
      </c>
      <c r="AM43" s="19">
        <f t="shared" si="100"/>
        <v>0</v>
      </c>
      <c r="AN43" s="19">
        <f t="shared" si="100"/>
        <v>0</v>
      </c>
      <c r="AO43" s="19">
        <f t="shared" si="100"/>
        <v>0</v>
      </c>
      <c r="AP43" s="19">
        <f t="shared" si="100"/>
        <v>0</v>
      </c>
      <c r="AQ43" s="19">
        <f t="shared" si="100"/>
        <v>0</v>
      </c>
      <c r="AR43" s="19">
        <f t="shared" si="100"/>
        <v>0</v>
      </c>
      <c r="AS43" s="19">
        <f t="shared" si="100"/>
        <v>0</v>
      </c>
      <c r="AT43" s="19">
        <f t="shared" si="100"/>
        <v>0</v>
      </c>
      <c r="AU43" s="19">
        <f t="shared" si="100"/>
        <v>0</v>
      </c>
      <c r="AV43" s="19">
        <f t="shared" si="100"/>
        <v>0</v>
      </c>
      <c r="AW43" s="19">
        <f t="shared" si="100"/>
        <v>0</v>
      </c>
      <c r="AX43" s="19">
        <f t="shared" si="100"/>
        <v>0</v>
      </c>
      <c r="AY43" s="19">
        <f t="shared" si="100"/>
        <v>0</v>
      </c>
      <c r="AZ43" s="19">
        <f t="shared" si="100"/>
        <v>0</v>
      </c>
      <c r="BA43" s="19">
        <f t="shared" si="100"/>
        <v>0</v>
      </c>
      <c r="BB43" s="19">
        <f t="shared" si="100"/>
        <v>0</v>
      </c>
      <c r="BC43" s="19">
        <f t="shared" si="100"/>
        <v>0</v>
      </c>
      <c r="BD43" s="19">
        <f t="shared" si="100"/>
        <v>0</v>
      </c>
      <c r="BE43" s="19">
        <f t="shared" si="100"/>
        <v>0</v>
      </c>
      <c r="BF43" s="19">
        <f t="shared" si="100"/>
        <v>0</v>
      </c>
      <c r="BG43" s="19">
        <f t="shared" si="100"/>
        <v>0</v>
      </c>
      <c r="BH43" s="19">
        <f t="shared" si="100"/>
        <v>0</v>
      </c>
      <c r="BI43" s="19">
        <f t="shared" si="100"/>
        <v>0</v>
      </c>
      <c r="BJ43" s="19">
        <f t="shared" si="100"/>
        <v>0</v>
      </c>
      <c r="BK43" s="19">
        <f t="shared" si="100"/>
        <v>0</v>
      </c>
      <c r="BL43" s="19">
        <f t="shared" si="100"/>
        <v>0</v>
      </c>
      <c r="BM43" s="19">
        <f t="shared" si="100"/>
        <v>0</v>
      </c>
      <c r="BN43" s="19">
        <f t="shared" si="100"/>
        <v>0</v>
      </c>
      <c r="BO43" s="19">
        <f t="shared" si="100"/>
        <v>0</v>
      </c>
      <c r="BP43" s="19">
        <f t="shared" si="100"/>
        <v>0</v>
      </c>
      <c r="BQ43" s="19">
        <f t="shared" si="100"/>
        <v>0</v>
      </c>
    </row>
    <row r="45" spans="2:69" s="17" customFormat="1" x14ac:dyDescent="0.25">
      <c r="B45" s="2" t="s">
        <v>28</v>
      </c>
      <c r="C45" s="2"/>
      <c r="D45" s="2"/>
      <c r="E45" s="2"/>
      <c r="F45" s="2"/>
      <c r="G45" s="2"/>
      <c r="H45" s="2"/>
      <c r="I45" s="2"/>
      <c r="J45" s="17">
        <v>-138.886</v>
      </c>
      <c r="K45" s="17">
        <v>200.70500000000001</v>
      </c>
      <c r="L45" s="17">
        <v>0.10100000000000001</v>
      </c>
      <c r="M45" s="17">
        <v>1.7310000000000001</v>
      </c>
      <c r="N45" s="17">
        <v>0</v>
      </c>
      <c r="O45" s="17">
        <v>7.7939999999999996</v>
      </c>
      <c r="P45" s="17">
        <v>0</v>
      </c>
      <c r="Q45" s="17">
        <v>-5.9889999999999999</v>
      </c>
      <c r="R45" s="17">
        <v>0</v>
      </c>
      <c r="S45" s="17">
        <v>-309.40199999999999</v>
      </c>
      <c r="T45" s="17">
        <v>8.6159999999999997</v>
      </c>
      <c r="U45" s="17">
        <f>-8.096</f>
        <v>-8.0960000000000001</v>
      </c>
      <c r="V45" s="17">
        <v>9.4969999999999999</v>
      </c>
      <c r="W45" s="17">
        <v>20.164999999999999</v>
      </c>
      <c r="X45" s="17">
        <v>-1473.0139999999999</v>
      </c>
      <c r="Y45" s="17">
        <v>355.56900000000002</v>
      </c>
      <c r="Z45" s="17">
        <v>307.49</v>
      </c>
      <c r="AA45" s="17">
        <v>390.11</v>
      </c>
      <c r="AB45" s="17">
        <v>358.76299999999998</v>
      </c>
      <c r="AC45" s="17">
        <v>761.46799999999996</v>
      </c>
      <c r="AD45" s="17">
        <v>226.93299999999999</v>
      </c>
      <c r="AE45" s="17">
        <v>310.42399999999998</v>
      </c>
      <c r="AF45" s="17">
        <v>339.95800000000003</v>
      </c>
      <c r="AG45" s="17">
        <v>730.202</v>
      </c>
      <c r="AH45" s="17">
        <v>295.01400000000001</v>
      </c>
      <c r="AI45" s="17">
        <v>325.93599999999998</v>
      </c>
    </row>
    <row r="46" spans="2:69" s="17" customFormat="1" x14ac:dyDescent="0.25">
      <c r="B46" s="12" t="s">
        <v>29</v>
      </c>
      <c r="C46" s="12"/>
      <c r="D46" s="12"/>
      <c r="E46" s="12"/>
      <c r="F46" s="12"/>
      <c r="G46" s="12"/>
      <c r="H46" s="12"/>
      <c r="I46" s="12"/>
      <c r="J46" s="18">
        <f>J43-J45</f>
        <v>-881.61900000000048</v>
      </c>
      <c r="K46" s="18">
        <f t="shared" ref="K46:BQ46" si="101">K43-K45</f>
        <v>-1316.8709999999999</v>
      </c>
      <c r="L46" s="18">
        <f t="shared" si="101"/>
        <v>-1041.0370000000003</v>
      </c>
      <c r="M46" s="18">
        <f t="shared" si="101"/>
        <v>-414.37799999999959</v>
      </c>
      <c r="N46" s="18">
        <f t="shared" si="101"/>
        <v>139.42099999999988</v>
      </c>
      <c r="O46" s="18">
        <f t="shared" si="101"/>
        <v>202.49899999999909</v>
      </c>
      <c r="P46" s="18">
        <f t="shared" si="101"/>
        <v>511.25899999999945</v>
      </c>
      <c r="Q46" s="18">
        <f t="shared" si="101"/>
        <v>997.11699999999996</v>
      </c>
      <c r="R46" s="18">
        <f t="shared" si="101"/>
        <v>327.9080000000007</v>
      </c>
      <c r="S46" s="18">
        <f t="shared" si="101"/>
        <v>438.10499999999945</v>
      </c>
      <c r="T46" s="18">
        <f t="shared" si="101"/>
        <v>1259.8579999999995</v>
      </c>
      <c r="U46" s="18">
        <f t="shared" si="101"/>
        <v>1243.9110000000003</v>
      </c>
      <c r="V46" s="18">
        <f t="shared" si="101"/>
        <v>240.1450000000001</v>
      </c>
      <c r="W46" s="18">
        <f t="shared" si="101"/>
        <v>608.57700000000057</v>
      </c>
      <c r="X46" s="18">
        <f t="shared" si="101"/>
        <v>2685.9210000000007</v>
      </c>
      <c r="Y46" s="18">
        <f t="shared" si="101"/>
        <v>1530.2590000000002</v>
      </c>
      <c r="Z46" s="18">
        <f t="shared" si="101"/>
        <v>1133.0580000000004</v>
      </c>
      <c r="AA46" s="18">
        <f t="shared" si="101"/>
        <v>1429.5700000000006</v>
      </c>
      <c r="AB46" s="18">
        <f t="shared" si="101"/>
        <v>1359.1739999999998</v>
      </c>
      <c r="AC46" s="18">
        <f t="shared" si="101"/>
        <v>1651.3760000000011</v>
      </c>
      <c r="AD46" s="18">
        <f t="shared" si="101"/>
        <v>698.65100000000052</v>
      </c>
      <c r="AE46" s="18">
        <f t="shared" si="101"/>
        <v>1271.1029999999998</v>
      </c>
      <c r="AF46" s="18">
        <f t="shared" si="101"/>
        <v>1423.3789999999995</v>
      </c>
      <c r="AG46" s="18">
        <f t="shared" si="101"/>
        <v>2634.6209999999992</v>
      </c>
      <c r="AH46" s="18">
        <f t="shared" si="101"/>
        <v>1057.3500000000004</v>
      </c>
      <c r="AI46" s="18">
        <f t="shared" si="101"/>
        <v>1208.3160000000003</v>
      </c>
      <c r="AJ46" s="18">
        <f t="shared" si="101"/>
        <v>0</v>
      </c>
      <c r="AK46" s="18">
        <f t="shared" si="101"/>
        <v>0</v>
      </c>
      <c r="AL46" s="18">
        <f t="shared" si="101"/>
        <v>0</v>
      </c>
      <c r="AM46" s="18">
        <f t="shared" si="101"/>
        <v>0</v>
      </c>
      <c r="AN46" s="18">
        <f t="shared" si="101"/>
        <v>0</v>
      </c>
      <c r="AO46" s="18">
        <f t="shared" si="101"/>
        <v>0</v>
      </c>
      <c r="AP46" s="18">
        <f t="shared" si="101"/>
        <v>0</v>
      </c>
      <c r="AQ46" s="18">
        <f t="shared" si="101"/>
        <v>0</v>
      </c>
      <c r="AR46" s="18">
        <f t="shared" si="101"/>
        <v>0</v>
      </c>
      <c r="AS46" s="18">
        <f t="shared" si="101"/>
        <v>0</v>
      </c>
      <c r="AT46" s="18">
        <f t="shared" si="101"/>
        <v>0</v>
      </c>
      <c r="AU46" s="18">
        <f t="shared" si="101"/>
        <v>0</v>
      </c>
      <c r="AV46" s="18">
        <f t="shared" si="101"/>
        <v>0</v>
      </c>
      <c r="AW46" s="18">
        <f t="shared" si="101"/>
        <v>0</v>
      </c>
      <c r="AX46" s="18">
        <f t="shared" si="101"/>
        <v>0</v>
      </c>
      <c r="AY46" s="18">
        <f t="shared" si="101"/>
        <v>0</v>
      </c>
      <c r="AZ46" s="18">
        <f t="shared" si="101"/>
        <v>0</v>
      </c>
      <c r="BA46" s="18">
        <f t="shared" si="101"/>
        <v>0</v>
      </c>
      <c r="BB46" s="18">
        <f t="shared" si="101"/>
        <v>0</v>
      </c>
      <c r="BC46" s="18">
        <f t="shared" si="101"/>
        <v>0</v>
      </c>
      <c r="BD46" s="18">
        <f t="shared" si="101"/>
        <v>0</v>
      </c>
      <c r="BE46" s="18">
        <f t="shared" si="101"/>
        <v>0</v>
      </c>
      <c r="BF46" s="18">
        <f t="shared" si="101"/>
        <v>0</v>
      </c>
      <c r="BG46" s="18">
        <f t="shared" si="101"/>
        <v>0</v>
      </c>
      <c r="BH46" s="18">
        <f t="shared" si="101"/>
        <v>0</v>
      </c>
      <c r="BI46" s="18">
        <f t="shared" si="101"/>
        <v>0</v>
      </c>
      <c r="BJ46" s="18">
        <f t="shared" si="101"/>
        <v>0</v>
      </c>
      <c r="BK46" s="18">
        <f t="shared" si="101"/>
        <v>0</v>
      </c>
      <c r="BL46" s="18">
        <f t="shared" si="101"/>
        <v>0</v>
      </c>
      <c r="BM46" s="18">
        <f t="shared" si="101"/>
        <v>0</v>
      </c>
      <c r="BN46" s="18">
        <f t="shared" si="101"/>
        <v>0</v>
      </c>
      <c r="BO46" s="18">
        <f t="shared" si="101"/>
        <v>0</v>
      </c>
      <c r="BP46" s="18">
        <f t="shared" si="101"/>
        <v>0</v>
      </c>
      <c r="BQ46" s="18">
        <f t="shared" si="101"/>
        <v>0</v>
      </c>
    </row>
    <row r="47" spans="2:69" s="17" customFormat="1" x14ac:dyDescent="0.25">
      <c r="B47" s="22"/>
      <c r="C47" s="22"/>
      <c r="D47" s="22"/>
      <c r="E47" s="22"/>
      <c r="F47" s="22"/>
      <c r="G47" s="22"/>
      <c r="H47" s="22"/>
      <c r="I47" s="22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</row>
    <row r="48" spans="2:69" s="17" customFormat="1" x14ac:dyDescent="0.25">
      <c r="B48" s="2" t="s">
        <v>34</v>
      </c>
      <c r="C48" s="2"/>
      <c r="D48" s="2"/>
      <c r="E48" s="2"/>
      <c r="F48" s="2"/>
      <c r="G48" s="2"/>
      <c r="H48" s="2"/>
      <c r="I48" s="2"/>
      <c r="J48" s="17">
        <f>J40-J41</f>
        <v>-9.6240000000000006</v>
      </c>
      <c r="K48" s="17">
        <f t="shared" ref="K48:AI48" si="102">K40-K41</f>
        <v>-11.680999999999999</v>
      </c>
      <c r="L48" s="17">
        <f t="shared" si="102"/>
        <v>-15.164</v>
      </c>
      <c r="M48" s="17">
        <f t="shared" si="102"/>
        <v>-17.091999999999999</v>
      </c>
      <c r="N48" s="17">
        <f t="shared" si="102"/>
        <v>-21.552</v>
      </c>
      <c r="O48" s="17">
        <f t="shared" si="102"/>
        <v>-26.48</v>
      </c>
      <c r="P48" s="17">
        <f t="shared" si="102"/>
        <v>-99.915999999999997</v>
      </c>
      <c r="Q48" s="17">
        <f t="shared" si="102"/>
        <v>-101.672</v>
      </c>
      <c r="R48" s="17">
        <f t="shared" si="102"/>
        <v>-78.87</v>
      </c>
      <c r="S48" s="17">
        <f t="shared" si="102"/>
        <v>-65.721000000000004</v>
      </c>
      <c r="T48" s="17">
        <f t="shared" si="102"/>
        <v>-7.7670000000000003</v>
      </c>
      <c r="U48" s="17">
        <f t="shared" si="102"/>
        <v>-2.5920000000000001</v>
      </c>
      <c r="V48" s="17">
        <f t="shared" si="102"/>
        <v>-0.879</v>
      </c>
      <c r="W48" s="17">
        <f t="shared" si="102"/>
        <v>-0.152</v>
      </c>
      <c r="X48" s="17">
        <f t="shared" si="102"/>
        <v>-0.107</v>
      </c>
      <c r="Y48" s="17">
        <f t="shared" si="102"/>
        <v>-23.911999999999999</v>
      </c>
      <c r="Z48" s="17">
        <f t="shared" si="102"/>
        <v>-9.6000000000000002E-2</v>
      </c>
      <c r="AA48" s="17">
        <f t="shared" si="102"/>
        <v>-0.34599999999999997</v>
      </c>
      <c r="AB48" s="17">
        <f t="shared" si="102"/>
        <v>-10.429</v>
      </c>
      <c r="AC48" s="17">
        <f t="shared" si="102"/>
        <v>-65.231999999999999</v>
      </c>
      <c r="AD48" s="17">
        <f t="shared" si="102"/>
        <v>-115.892</v>
      </c>
      <c r="AE48" s="17">
        <f t="shared" si="102"/>
        <v>-130.95099999999999</v>
      </c>
      <c r="AF48" s="17">
        <f t="shared" si="102"/>
        <v>-185.65199999999999</v>
      </c>
      <c r="AG48" s="17">
        <f t="shared" si="102"/>
        <v>-478.97399999999999</v>
      </c>
      <c r="AH48" s="17">
        <f t="shared" si="102"/>
        <v>-439.49199999999996</v>
      </c>
      <c r="AI48" s="17">
        <f t="shared" si="102"/>
        <v>-207.67000000000002</v>
      </c>
    </row>
    <row r="49" spans="2:69" s="17" customFormat="1" x14ac:dyDescent="0.25">
      <c r="B49" s="2" t="s">
        <v>35</v>
      </c>
      <c r="C49" s="2"/>
      <c r="D49" s="2"/>
      <c r="E49" s="2"/>
      <c r="F49" s="2"/>
      <c r="G49" s="2"/>
      <c r="H49" s="2"/>
      <c r="I49" s="2"/>
      <c r="J49" s="17">
        <f>J45</f>
        <v>-138.886</v>
      </c>
      <c r="K49" s="17">
        <f t="shared" ref="K49:AI49" si="103">K45</f>
        <v>200.70500000000001</v>
      </c>
      <c r="L49" s="17">
        <f t="shared" si="103"/>
        <v>0.10100000000000001</v>
      </c>
      <c r="M49" s="17">
        <f t="shared" si="103"/>
        <v>1.7310000000000001</v>
      </c>
      <c r="N49" s="17">
        <f t="shared" si="103"/>
        <v>0</v>
      </c>
      <c r="O49" s="17">
        <f t="shared" si="103"/>
        <v>7.7939999999999996</v>
      </c>
      <c r="P49" s="17">
        <f t="shared" si="103"/>
        <v>0</v>
      </c>
      <c r="Q49" s="17">
        <f t="shared" si="103"/>
        <v>-5.9889999999999999</v>
      </c>
      <c r="R49" s="17">
        <f t="shared" si="103"/>
        <v>0</v>
      </c>
      <c r="S49" s="17">
        <f t="shared" si="103"/>
        <v>-309.40199999999999</v>
      </c>
      <c r="T49" s="17">
        <f t="shared" si="103"/>
        <v>8.6159999999999997</v>
      </c>
      <c r="U49" s="17">
        <f t="shared" si="103"/>
        <v>-8.0960000000000001</v>
      </c>
      <c r="V49" s="17">
        <f t="shared" si="103"/>
        <v>9.4969999999999999</v>
      </c>
      <c r="W49" s="17">
        <f t="shared" si="103"/>
        <v>20.164999999999999</v>
      </c>
      <c r="X49" s="17">
        <f t="shared" si="103"/>
        <v>-1473.0139999999999</v>
      </c>
      <c r="Y49" s="17">
        <f t="shared" si="103"/>
        <v>355.56900000000002</v>
      </c>
      <c r="Z49" s="17">
        <f t="shared" si="103"/>
        <v>307.49</v>
      </c>
      <c r="AA49" s="17">
        <f t="shared" si="103"/>
        <v>390.11</v>
      </c>
      <c r="AB49" s="17">
        <f t="shared" si="103"/>
        <v>358.76299999999998</v>
      </c>
      <c r="AC49" s="17">
        <f t="shared" si="103"/>
        <v>761.46799999999996</v>
      </c>
      <c r="AD49" s="17">
        <f t="shared" si="103"/>
        <v>226.93299999999999</v>
      </c>
      <c r="AE49" s="17">
        <f t="shared" si="103"/>
        <v>310.42399999999998</v>
      </c>
      <c r="AF49" s="17">
        <f t="shared" si="103"/>
        <v>339.95800000000003</v>
      </c>
      <c r="AG49" s="17">
        <f t="shared" si="103"/>
        <v>730.202</v>
      </c>
      <c r="AH49" s="17">
        <f t="shared" si="103"/>
        <v>295.01400000000001</v>
      </c>
      <c r="AI49" s="17">
        <f t="shared" si="103"/>
        <v>325.93599999999998</v>
      </c>
    </row>
    <row r="50" spans="2:69" s="17" customFormat="1" x14ac:dyDescent="0.25">
      <c r="B50" s="2" t="s">
        <v>36</v>
      </c>
      <c r="C50" s="2"/>
      <c r="D50" s="2"/>
      <c r="E50" s="2"/>
      <c r="F50" s="2"/>
      <c r="G50" s="2"/>
      <c r="H50" s="2"/>
      <c r="I50" s="2"/>
      <c r="J50" s="25">
        <v>103.36799999999999</v>
      </c>
      <c r="K50" s="25">
        <f>210.549-J50</f>
        <v>107.18100000000001</v>
      </c>
      <c r="L50" s="25">
        <f>316.855-SUM(J50:K50)</f>
        <v>106.30600000000001</v>
      </c>
      <c r="M50" s="25">
        <f>436.208-SUM(J50:L50)</f>
        <v>119.35300000000001</v>
      </c>
      <c r="N50" s="25">
        <v>116.078</v>
      </c>
      <c r="O50" s="25">
        <f>234.846-N50</f>
        <v>118.768</v>
      </c>
      <c r="P50" s="25">
        <f>342.359-SUM(N50:O50)</f>
        <v>107.51299999999998</v>
      </c>
      <c r="Q50" s="25">
        <f>451.278-SUM(N50:P50)</f>
        <v>108.91900000000004</v>
      </c>
      <c r="R50" s="25">
        <f>104.135</f>
        <v>104.13500000000001</v>
      </c>
      <c r="S50" s="25">
        <f>205.154-R50</f>
        <v>101.01899999999999</v>
      </c>
      <c r="T50" s="25">
        <f>301.55-SUM(R50:S50)</f>
        <v>96.396000000000015</v>
      </c>
      <c r="U50" s="25">
        <f>433.51-SUM(R50:T50)</f>
        <v>131.95999999999998</v>
      </c>
      <c r="V50" s="25">
        <v>113.682</v>
      </c>
      <c r="W50" s="25">
        <f>224.478-V50</f>
        <v>110.79600000000001</v>
      </c>
      <c r="X50" s="25">
        <f>334.25-SUM(V50:W50)</f>
        <v>109.77199999999999</v>
      </c>
      <c r="Y50" s="25">
        <f>432.176-SUM(V50:X50)</f>
        <v>97.925999999999988</v>
      </c>
      <c r="Z50" s="25">
        <v>92.372</v>
      </c>
      <c r="AA50" s="25">
        <f>188.136-Z50</f>
        <v>95.763999999999996</v>
      </c>
      <c r="AB50" s="25">
        <f>278.164-SUM(Z50:AA50)</f>
        <v>90.027999999999992</v>
      </c>
      <c r="AC50" s="25">
        <f>368.499-SUM(Z50:AB50)</f>
        <v>90.335000000000036</v>
      </c>
      <c r="AD50" s="25">
        <v>85.409000000000006</v>
      </c>
      <c r="AE50" s="25">
        <f>171.389-AD50</f>
        <v>85.98</v>
      </c>
      <c r="AF50" s="25">
        <f>258.892-SUM(AD50:AE50)</f>
        <v>87.502999999999986</v>
      </c>
      <c r="AG50" s="25">
        <f>697.943-SUM(AD50:AF50)</f>
        <v>439.05099999999999</v>
      </c>
      <c r="AH50" s="25">
        <v>411.42099999999999</v>
      </c>
      <c r="AI50" s="25">
        <f>826.077-AH50</f>
        <v>414.65600000000001</v>
      </c>
    </row>
    <row r="51" spans="2:69" s="17" customFormat="1" x14ac:dyDescent="0.25">
      <c r="B51" s="12" t="s">
        <v>37</v>
      </c>
      <c r="C51" s="12"/>
      <c r="D51" s="12"/>
      <c r="E51" s="12"/>
      <c r="F51" s="12"/>
      <c r="G51" s="12"/>
      <c r="H51" s="12"/>
      <c r="I51" s="12"/>
      <c r="J51" s="18">
        <f>J46+SUM(J48:J50)</f>
        <v>-926.76100000000042</v>
      </c>
      <c r="K51" s="18">
        <f t="shared" ref="K51:AI51" si="104">K46+SUM(K48:K50)</f>
        <v>-1020.6659999999998</v>
      </c>
      <c r="L51" s="18">
        <f t="shared" si="104"/>
        <v>-949.79400000000021</v>
      </c>
      <c r="M51" s="18">
        <f t="shared" si="104"/>
        <v>-310.38599999999957</v>
      </c>
      <c r="N51" s="18">
        <f t="shared" si="104"/>
        <v>233.94699999999989</v>
      </c>
      <c r="O51" s="18">
        <f t="shared" si="104"/>
        <v>302.58099999999911</v>
      </c>
      <c r="P51" s="18">
        <f t="shared" si="104"/>
        <v>518.85599999999943</v>
      </c>
      <c r="Q51" s="18">
        <f t="shared" si="104"/>
        <v>998.375</v>
      </c>
      <c r="R51" s="18">
        <f t="shared" si="104"/>
        <v>353.17300000000068</v>
      </c>
      <c r="S51" s="18">
        <f t="shared" si="104"/>
        <v>164.00099999999946</v>
      </c>
      <c r="T51" s="18">
        <f t="shared" si="104"/>
        <v>1357.1029999999996</v>
      </c>
      <c r="U51" s="18">
        <f t="shared" si="104"/>
        <v>1365.1830000000002</v>
      </c>
      <c r="V51" s="18">
        <f t="shared" si="104"/>
        <v>362.44500000000011</v>
      </c>
      <c r="W51" s="18">
        <f t="shared" si="104"/>
        <v>739.38600000000054</v>
      </c>
      <c r="X51" s="18">
        <f t="shared" si="104"/>
        <v>1322.5720000000008</v>
      </c>
      <c r="Y51" s="18">
        <f t="shared" si="104"/>
        <v>1959.8420000000003</v>
      </c>
      <c r="Z51" s="18">
        <f t="shared" si="104"/>
        <v>1532.8240000000005</v>
      </c>
      <c r="AA51" s="18">
        <f t="shared" si="104"/>
        <v>1915.0980000000006</v>
      </c>
      <c r="AB51" s="18">
        <f t="shared" si="104"/>
        <v>1797.5359999999996</v>
      </c>
      <c r="AC51" s="18">
        <f t="shared" si="104"/>
        <v>2437.947000000001</v>
      </c>
      <c r="AD51" s="18">
        <f t="shared" si="104"/>
        <v>895.10100000000057</v>
      </c>
      <c r="AE51" s="18">
        <f t="shared" si="104"/>
        <v>1536.5559999999998</v>
      </c>
      <c r="AF51" s="18">
        <f t="shared" si="104"/>
        <v>1665.1879999999994</v>
      </c>
      <c r="AG51" s="18">
        <f t="shared" si="104"/>
        <v>3324.8999999999992</v>
      </c>
      <c r="AH51" s="18">
        <f t="shared" si="104"/>
        <v>1324.2930000000003</v>
      </c>
      <c r="AI51" s="18">
        <f t="shared" si="104"/>
        <v>1741.2380000000003</v>
      </c>
      <c r="AJ51" s="18">
        <f t="shared" ref="AJ51" si="105">AJ46+SUM(AJ48:AJ50)</f>
        <v>0</v>
      </c>
      <c r="AK51" s="18">
        <f t="shared" ref="AK51" si="106">AK46+SUM(AK48:AK50)</f>
        <v>0</v>
      </c>
      <c r="AL51" s="18">
        <f t="shared" ref="AL51" si="107">AL46+SUM(AL48:AL50)</f>
        <v>0</v>
      </c>
      <c r="AM51" s="18">
        <f t="shared" ref="AM51" si="108">AM46+SUM(AM48:AM50)</f>
        <v>0</v>
      </c>
      <c r="AN51" s="18">
        <f t="shared" ref="AN51" si="109">AN46+SUM(AN48:AN50)</f>
        <v>0</v>
      </c>
      <c r="AO51" s="18">
        <f t="shared" ref="AO51" si="110">AO46+SUM(AO48:AO50)</f>
        <v>0</v>
      </c>
      <c r="AP51" s="18">
        <f t="shared" ref="AP51" si="111">AP46+SUM(AP48:AP50)</f>
        <v>0</v>
      </c>
      <c r="AQ51" s="18">
        <f t="shared" ref="AQ51" si="112">AQ46+SUM(AQ48:AQ50)</f>
        <v>0</v>
      </c>
      <c r="AR51" s="18">
        <f t="shared" ref="AR51" si="113">AR46+SUM(AR48:AR50)</f>
        <v>0</v>
      </c>
      <c r="AS51" s="18">
        <f t="shared" ref="AS51" si="114">AS46+SUM(AS48:AS50)</f>
        <v>0</v>
      </c>
      <c r="AT51" s="18">
        <f t="shared" ref="AT51" si="115">AT46+SUM(AT48:AT50)</f>
        <v>0</v>
      </c>
      <c r="AU51" s="18">
        <f t="shared" ref="AU51" si="116">AU46+SUM(AU48:AU50)</f>
        <v>0</v>
      </c>
      <c r="AV51" s="18">
        <f t="shared" ref="AV51" si="117">AV46+SUM(AV48:AV50)</f>
        <v>0</v>
      </c>
      <c r="AW51" s="18">
        <f t="shared" ref="AW51" si="118">AW46+SUM(AW48:AW50)</f>
        <v>0</v>
      </c>
      <c r="AX51" s="18">
        <f t="shared" ref="AX51" si="119">AX46+SUM(AX48:AX50)</f>
        <v>0</v>
      </c>
      <c r="AY51" s="18">
        <f t="shared" ref="AY51" si="120">AY46+SUM(AY48:AY50)</f>
        <v>0</v>
      </c>
      <c r="AZ51" s="18">
        <f t="shared" ref="AZ51" si="121">AZ46+SUM(AZ48:AZ50)</f>
        <v>0</v>
      </c>
      <c r="BA51" s="18">
        <f t="shared" ref="BA51" si="122">BA46+SUM(BA48:BA50)</f>
        <v>0</v>
      </c>
      <c r="BB51" s="18">
        <f t="shared" ref="BB51" si="123">BB46+SUM(BB48:BB50)</f>
        <v>0</v>
      </c>
      <c r="BC51" s="18">
        <f t="shared" ref="BC51" si="124">BC46+SUM(BC48:BC50)</f>
        <v>0</v>
      </c>
      <c r="BD51" s="18">
        <f t="shared" ref="BD51" si="125">BD46+SUM(BD48:BD50)</f>
        <v>0</v>
      </c>
      <c r="BE51" s="18">
        <f t="shared" ref="BE51" si="126">BE46+SUM(BE48:BE50)</f>
        <v>0</v>
      </c>
      <c r="BF51" s="18">
        <f t="shared" ref="BF51" si="127">BF46+SUM(BF48:BF50)</f>
        <v>0</v>
      </c>
      <c r="BG51" s="18">
        <f t="shared" ref="BG51" si="128">BG46+SUM(BG48:BG50)</f>
        <v>0</v>
      </c>
      <c r="BH51" s="18">
        <f t="shared" ref="BH51" si="129">BH46+SUM(BH48:BH50)</f>
        <v>0</v>
      </c>
      <c r="BI51" s="18">
        <f t="shared" ref="BI51" si="130">BI46+SUM(BI48:BI50)</f>
        <v>0</v>
      </c>
      <c r="BJ51" s="18">
        <f t="shared" ref="BJ51" si="131">BJ46+SUM(BJ48:BJ50)</f>
        <v>0</v>
      </c>
      <c r="BK51" s="18">
        <f t="shared" ref="BK51" si="132">BK46+SUM(BK48:BK50)</f>
        <v>0</v>
      </c>
      <c r="BL51" s="18">
        <f t="shared" ref="BL51" si="133">BL46+SUM(BL48:BL50)</f>
        <v>0</v>
      </c>
      <c r="BM51" s="18">
        <f t="shared" ref="BM51" si="134">BM46+SUM(BM48:BM50)</f>
        <v>0</v>
      </c>
      <c r="BN51" s="18">
        <f t="shared" ref="BN51" si="135">BN46+SUM(BN48:BN50)</f>
        <v>0</v>
      </c>
      <c r="BO51" s="18">
        <f t="shared" ref="BO51" si="136">BO46+SUM(BO48:BO50)</f>
        <v>0</v>
      </c>
      <c r="BP51" s="18">
        <f t="shared" ref="BP51" si="137">BP46+SUM(BP48:BP50)</f>
        <v>0</v>
      </c>
      <c r="BQ51" s="18">
        <f t="shared" ref="BQ51" si="138">BQ46+SUM(BQ48:BQ50)</f>
        <v>0</v>
      </c>
    </row>
    <row r="52" spans="2:69" s="17" customFormat="1" x14ac:dyDescent="0.25">
      <c r="B52" s="9" t="s">
        <v>38</v>
      </c>
      <c r="C52" s="9"/>
      <c r="D52" s="9"/>
      <c r="E52" s="9"/>
      <c r="F52" s="9"/>
      <c r="G52" s="9"/>
      <c r="H52" s="9"/>
      <c r="I52" s="9"/>
      <c r="J52" s="11">
        <f>J51/J18</f>
        <v>-0.30011845916300101</v>
      </c>
      <c r="K52" s="11">
        <f t="shared" ref="K52:AI52" si="139">K51/K18</f>
        <v>-0.27384226889647034</v>
      </c>
      <c r="L52" s="11">
        <f t="shared" si="139"/>
        <v>-0.28020307623501223</v>
      </c>
      <c r="M52" s="11">
        <f t="shared" si="139"/>
        <v>-8.5141739685493392E-2</v>
      </c>
      <c r="N52" s="11">
        <f t="shared" si="139"/>
        <v>5.8815380941007855E-2</v>
      </c>
      <c r="O52" s="11">
        <f t="shared" si="139"/>
        <v>7.1989497343287301E-2</v>
      </c>
      <c r="P52" s="11">
        <f t="shared" si="139"/>
        <v>0.11304485749344625</v>
      </c>
      <c r="Q52" s="11">
        <f t="shared" si="139"/>
        <v>0.2079086828205319</v>
      </c>
      <c r="R52" s="11">
        <f t="shared" si="139"/>
        <v>7.8284082113246764E-2</v>
      </c>
      <c r="S52" s="11">
        <f t="shared" si="139"/>
        <v>3.3919088988462298E-2</v>
      </c>
      <c r="T52" s="11">
        <f t="shared" si="139"/>
        <v>0.22794321302305171</v>
      </c>
      <c r="U52" s="11">
        <f t="shared" si="139"/>
        <v>0.21686724595024925</v>
      </c>
      <c r="V52" s="11">
        <f t="shared" si="139"/>
        <v>7.4429343205633602E-2</v>
      </c>
      <c r="W52" s="11">
        <f t="shared" si="139"/>
        <v>0.14435930802279268</v>
      </c>
      <c r="X52" s="11">
        <f t="shared" si="139"/>
        <v>0.21400207728476658</v>
      </c>
      <c r="Y52" s="11">
        <f t="shared" si="139"/>
        <v>0.28514606766421524</v>
      </c>
      <c r="Z52" s="11">
        <f t="shared" si="139"/>
        <v>0.22892395775367708</v>
      </c>
      <c r="AA52" s="11">
        <f t="shared" si="139"/>
        <v>0.2797470573284136</v>
      </c>
      <c r="AB52" s="11">
        <f t="shared" si="139"/>
        <v>0.2591612197043357</v>
      </c>
      <c r="AC52" s="11">
        <f t="shared" si="139"/>
        <v>0.3356610746261835</v>
      </c>
      <c r="AD52" s="11">
        <f t="shared" si="139"/>
        <v>0.13736430858456153</v>
      </c>
      <c r="AE52" s="11">
        <f t="shared" si="139"/>
        <v>0.20932710701545162</v>
      </c>
      <c r="AF52" s="11">
        <f t="shared" si="139"/>
        <v>0.20921528875737377</v>
      </c>
      <c r="AG52" s="11">
        <f t="shared" si="139"/>
        <v>0.25590730720075544</v>
      </c>
      <c r="AH52" s="11">
        <f t="shared" si="139"/>
        <v>0.14227374696539982</v>
      </c>
      <c r="AI52" s="11">
        <f t="shared" si="139"/>
        <v>0.16213374978909667</v>
      </c>
      <c r="AJ52" s="11" t="e">
        <f t="shared" ref="AJ52" si="140">AJ51/AJ18</f>
        <v>#DIV/0!</v>
      </c>
      <c r="AK52" s="11" t="e">
        <f t="shared" ref="AK52" si="141">AK51/AK18</f>
        <v>#DIV/0!</v>
      </c>
      <c r="AL52" s="11" t="e">
        <f t="shared" ref="AL52" si="142">AL51/AL18</f>
        <v>#DIV/0!</v>
      </c>
      <c r="AM52" s="11" t="e">
        <f t="shared" ref="AM52" si="143">AM51/AM18</f>
        <v>#DIV/0!</v>
      </c>
      <c r="AN52" s="11" t="e">
        <f t="shared" ref="AN52" si="144">AN51/AN18</f>
        <v>#DIV/0!</v>
      </c>
      <c r="AO52" s="11" t="e">
        <f t="shared" ref="AO52" si="145">AO51/AO18</f>
        <v>#DIV/0!</v>
      </c>
      <c r="AP52" s="11" t="e">
        <f t="shared" ref="AP52" si="146">AP51/AP18</f>
        <v>#DIV/0!</v>
      </c>
      <c r="AQ52" s="11" t="e">
        <f t="shared" ref="AQ52" si="147">AQ51/AQ18</f>
        <v>#DIV/0!</v>
      </c>
      <c r="AR52" s="11" t="e">
        <f t="shared" ref="AR52" si="148">AR51/AR18</f>
        <v>#DIV/0!</v>
      </c>
      <c r="AS52" s="11" t="e">
        <f t="shared" ref="AS52" si="149">AS51/AS18</f>
        <v>#DIV/0!</v>
      </c>
      <c r="AT52" s="11" t="e">
        <f t="shared" ref="AT52" si="150">AT51/AT18</f>
        <v>#DIV/0!</v>
      </c>
      <c r="AU52" s="11" t="e">
        <f t="shared" ref="AU52" si="151">AU51/AU18</f>
        <v>#DIV/0!</v>
      </c>
      <c r="AV52" s="11" t="e">
        <f t="shared" ref="AV52" si="152">AV51/AV18</f>
        <v>#DIV/0!</v>
      </c>
      <c r="AW52" s="11" t="e">
        <f t="shared" ref="AW52" si="153">AW51/AW18</f>
        <v>#DIV/0!</v>
      </c>
      <c r="AX52" s="11" t="e">
        <f t="shared" ref="AX52" si="154">AX51/AX18</f>
        <v>#DIV/0!</v>
      </c>
      <c r="AY52" s="11" t="e">
        <f t="shared" ref="AY52" si="155">AY51/AY18</f>
        <v>#DIV/0!</v>
      </c>
      <c r="AZ52" s="11" t="e">
        <f t="shared" ref="AZ52" si="156">AZ51/AZ18</f>
        <v>#DIV/0!</v>
      </c>
      <c r="BA52" s="11" t="e">
        <f t="shared" ref="BA52" si="157">BA51/BA18</f>
        <v>#DIV/0!</v>
      </c>
      <c r="BB52" s="11" t="e">
        <f t="shared" ref="BB52" si="158">BB51/BB18</f>
        <v>#DIV/0!</v>
      </c>
      <c r="BC52" s="11" t="e">
        <f t="shared" ref="BC52" si="159">BC51/BC18</f>
        <v>#DIV/0!</v>
      </c>
      <c r="BD52" s="11" t="e">
        <f t="shared" ref="BD52" si="160">BD51/BD18</f>
        <v>#DIV/0!</v>
      </c>
      <c r="BE52" s="11" t="e">
        <f t="shared" ref="BE52" si="161">BE51/BE18</f>
        <v>#DIV/0!</v>
      </c>
      <c r="BF52" s="11" t="e">
        <f t="shared" ref="BF52" si="162">BF51/BF18</f>
        <v>#DIV/0!</v>
      </c>
      <c r="BG52" s="11" t="e">
        <f t="shared" ref="BG52" si="163">BG51/BG18</f>
        <v>#DIV/0!</v>
      </c>
      <c r="BH52" s="11" t="e">
        <f t="shared" ref="BH52" si="164">BH51/BH18</f>
        <v>#DIV/0!</v>
      </c>
      <c r="BI52" s="11" t="e">
        <f t="shared" ref="BI52" si="165">BI51/BI18</f>
        <v>#DIV/0!</v>
      </c>
      <c r="BJ52" s="11" t="e">
        <f t="shared" ref="BJ52" si="166">BJ51/BJ18</f>
        <v>#DIV/0!</v>
      </c>
      <c r="BK52" s="11" t="e">
        <f t="shared" ref="BK52" si="167">BK51/BK18</f>
        <v>#DIV/0!</v>
      </c>
      <c r="BL52" s="11" t="e">
        <f t="shared" ref="BL52" si="168">BL51/BL18</f>
        <v>#DIV/0!</v>
      </c>
      <c r="BM52" s="11" t="e">
        <f t="shared" ref="BM52" si="169">BM51/BM18</f>
        <v>#DIV/0!</v>
      </c>
      <c r="BN52" s="11" t="e">
        <f t="shared" ref="BN52" si="170">BN51/BN18</f>
        <v>#DIV/0!</v>
      </c>
      <c r="BO52" s="11" t="e">
        <f t="shared" ref="BO52" si="171">BO51/BO18</f>
        <v>#DIV/0!</v>
      </c>
      <c r="BP52" s="11" t="e">
        <f t="shared" ref="BP52" si="172">BP51/BP18</f>
        <v>#DIV/0!</v>
      </c>
      <c r="BQ52" s="11" t="e">
        <f t="shared" ref="BQ52" si="173">BQ51/BQ18</f>
        <v>#DIV/0!</v>
      </c>
    </row>
    <row r="54" spans="2:69" x14ac:dyDescent="0.25">
      <c r="B54" s="1" t="s">
        <v>30</v>
      </c>
    </row>
    <row r="55" spans="2:69" s="21" customFormat="1" x14ac:dyDescent="0.25">
      <c r="B55" s="2" t="s">
        <v>31</v>
      </c>
      <c r="C55" s="2"/>
      <c r="D55" s="2"/>
      <c r="E55" s="2"/>
      <c r="F55" s="2"/>
      <c r="G55" s="2"/>
      <c r="H55" s="2"/>
      <c r="I55" s="2"/>
      <c r="J55" s="29">
        <v>16783.129000000001</v>
      </c>
      <c r="K55" s="29">
        <v>16800.243999999999</v>
      </c>
      <c r="L55" s="29">
        <v>16816.838</v>
      </c>
      <c r="M55" s="29">
        <v>16823.754000000001</v>
      </c>
      <c r="N55" s="29">
        <v>16840.598999999998</v>
      </c>
      <c r="O55" s="29">
        <v>16860.567999999999</v>
      </c>
      <c r="P55" s="29">
        <v>16880.341</v>
      </c>
      <c r="Q55" s="29">
        <v>16888.691999999999</v>
      </c>
      <c r="R55" s="29">
        <v>16909.036</v>
      </c>
      <c r="S55" s="29">
        <v>16931.137999999999</v>
      </c>
      <c r="T55" s="29">
        <v>16952.973000000002</v>
      </c>
      <c r="U55" s="29">
        <v>16964.059000000001</v>
      </c>
      <c r="V55" s="29">
        <v>17214.383999999998</v>
      </c>
      <c r="W55" s="29">
        <v>17222.165000000001</v>
      </c>
      <c r="X55" s="29">
        <v>17230.386999999999</v>
      </c>
      <c r="Y55" s="29">
        <v>17225.422999999999</v>
      </c>
      <c r="Z55" s="29">
        <v>17246.371999999999</v>
      </c>
      <c r="AA55" s="29">
        <v>17253.745999999999</v>
      </c>
      <c r="AB55" s="29">
        <v>17261.348999999998</v>
      </c>
      <c r="AC55" s="29">
        <v>17256.75</v>
      </c>
      <c r="AD55" s="29">
        <v>17316.766</v>
      </c>
      <c r="AE55" s="29">
        <v>17352.34</v>
      </c>
      <c r="AF55" s="29">
        <v>17576.969000000001</v>
      </c>
      <c r="AG55" s="29">
        <v>17400.659</v>
      </c>
      <c r="AH55" s="29">
        <v>17451.362000000001</v>
      </c>
      <c r="AI55" s="29">
        <v>17456.12</v>
      </c>
    </row>
    <row r="56" spans="2:69" s="21" customFormat="1" x14ac:dyDescent="0.25">
      <c r="B56" s="2" t="s">
        <v>32</v>
      </c>
      <c r="C56" s="2"/>
      <c r="D56" s="2"/>
      <c r="E56" s="2"/>
      <c r="F56" s="2"/>
      <c r="G56" s="2"/>
      <c r="H56" s="2"/>
      <c r="I56" s="2"/>
      <c r="J56" s="29">
        <v>16783.129000000001</v>
      </c>
      <c r="K56" s="29">
        <v>16800.243999999999</v>
      </c>
      <c r="L56" s="29">
        <v>16816.838</v>
      </c>
      <c r="M56" s="29">
        <v>16823.754000000001</v>
      </c>
      <c r="N56" s="29">
        <v>16840.598999999998</v>
      </c>
      <c r="O56" s="29">
        <v>16875.72</v>
      </c>
      <c r="P56" s="29">
        <v>16978.643</v>
      </c>
      <c r="Q56" s="29">
        <v>17074.825000000001</v>
      </c>
      <c r="R56" s="29">
        <v>17081.578000000001</v>
      </c>
      <c r="S56" s="29">
        <v>17123.387999999999</v>
      </c>
      <c r="T56" s="29">
        <v>17087.275000000001</v>
      </c>
      <c r="U56" s="29">
        <v>17164.525000000001</v>
      </c>
      <c r="V56" s="29">
        <v>17216.287</v>
      </c>
      <c r="W56" s="29">
        <v>17223.998</v>
      </c>
      <c r="X56" s="29">
        <v>17231.437999999998</v>
      </c>
      <c r="Y56" s="29">
        <v>17226.62</v>
      </c>
      <c r="Z56" s="29">
        <v>17246.371999999999</v>
      </c>
      <c r="AA56" s="29">
        <v>17253.745999999999</v>
      </c>
      <c r="AB56" s="29">
        <v>17265.797999999999</v>
      </c>
      <c r="AC56" s="29">
        <v>17257.870999999999</v>
      </c>
      <c r="AD56" s="29">
        <v>17326.177</v>
      </c>
      <c r="AE56" s="29">
        <v>17354.03</v>
      </c>
      <c r="AF56" s="29">
        <v>17577.588</v>
      </c>
      <c r="AG56" s="29">
        <v>17451.313999999998</v>
      </c>
      <c r="AH56" s="29">
        <v>17474.905999999999</v>
      </c>
      <c r="AI56" s="29">
        <v>17487.526999999998</v>
      </c>
    </row>
    <row r="57" spans="2:69" x14ac:dyDescent="0.25">
      <c r="M57" s="29"/>
    </row>
    <row r="58" spans="2:69" x14ac:dyDescent="0.25">
      <c r="B58" s="1" t="s">
        <v>33</v>
      </c>
    </row>
    <row r="59" spans="2:69" x14ac:dyDescent="0.25">
      <c r="B59" s="16" t="s">
        <v>31</v>
      </c>
      <c r="C59" s="16"/>
      <c r="D59" s="16"/>
      <c r="E59" s="16"/>
      <c r="F59" s="16"/>
      <c r="G59" s="16"/>
      <c r="H59" s="16"/>
      <c r="I59" s="16"/>
      <c r="J59" s="20">
        <f>J$46/J55</f>
        <v>-5.2530073504171985E-2</v>
      </c>
      <c r="K59" s="20">
        <f t="shared" ref="K59:BQ59" si="174">K$46/K55</f>
        <v>-7.8384040136559918E-2</v>
      </c>
      <c r="L59" s="20">
        <f t="shared" si="174"/>
        <v>-6.1904443629652632E-2</v>
      </c>
      <c r="M59" s="20">
        <f t="shared" si="174"/>
        <v>-2.4630531330878922E-2</v>
      </c>
      <c r="N59" s="20">
        <f t="shared" si="174"/>
        <v>8.2788622898745997E-3</v>
      </c>
      <c r="O59" s="20">
        <f t="shared" si="174"/>
        <v>1.2010212230098008E-2</v>
      </c>
      <c r="P59" s="20">
        <f t="shared" si="174"/>
        <v>3.0287243604853683E-2</v>
      </c>
      <c r="Q59" s="20">
        <f t="shared" si="174"/>
        <v>5.9040510656479493E-2</v>
      </c>
      <c r="R59" s="20">
        <f t="shared" si="174"/>
        <v>1.9392471575552898E-2</v>
      </c>
      <c r="S59" s="20">
        <f t="shared" si="174"/>
        <v>2.5875697191765815E-2</v>
      </c>
      <c r="T59" s="20">
        <f t="shared" si="174"/>
        <v>7.4314870907893224E-2</v>
      </c>
      <c r="U59" s="20">
        <f t="shared" si="174"/>
        <v>7.3326259947575065E-2</v>
      </c>
      <c r="V59" s="20">
        <f t="shared" si="174"/>
        <v>1.3950252300634174E-2</v>
      </c>
      <c r="W59" s="20">
        <f t="shared" si="174"/>
        <v>3.5336846441780145E-2</v>
      </c>
      <c r="X59" s="20">
        <f t="shared" si="174"/>
        <v>0.15588280170375748</v>
      </c>
      <c r="Y59" s="20">
        <f t="shared" si="174"/>
        <v>8.8837237843157779E-2</v>
      </c>
      <c r="Z59" s="20">
        <f t="shared" si="174"/>
        <v>6.5698339337687983E-2</v>
      </c>
      <c r="AA59" s="20">
        <f t="shared" si="174"/>
        <v>8.2855630307760456E-2</v>
      </c>
      <c r="AB59" s="20">
        <f t="shared" si="174"/>
        <v>7.8740890992934548E-2</v>
      </c>
      <c r="AC59" s="20">
        <f t="shared" si="174"/>
        <v>9.5694496356498251E-2</v>
      </c>
      <c r="AD59" s="20">
        <f t="shared" si="174"/>
        <v>4.034535085823765E-2</v>
      </c>
      <c r="AE59" s="20">
        <f t="shared" si="174"/>
        <v>7.3252541155832573E-2</v>
      </c>
      <c r="AF59" s="20">
        <f t="shared" si="174"/>
        <v>8.0979775295729278E-2</v>
      </c>
      <c r="AG59" s="20">
        <f t="shared" si="174"/>
        <v>0.15140926559160772</v>
      </c>
      <c r="AH59" s="20">
        <f t="shared" si="174"/>
        <v>6.0588394189519439E-2</v>
      </c>
      <c r="AI59" s="20">
        <f t="shared" si="174"/>
        <v>6.9220193261732871E-2</v>
      </c>
      <c r="AJ59" s="20" t="e">
        <f t="shared" si="174"/>
        <v>#DIV/0!</v>
      </c>
      <c r="AK59" s="20" t="e">
        <f t="shared" si="174"/>
        <v>#DIV/0!</v>
      </c>
      <c r="AL59" s="20" t="e">
        <f t="shared" si="174"/>
        <v>#DIV/0!</v>
      </c>
      <c r="AM59" s="20" t="e">
        <f t="shared" si="174"/>
        <v>#DIV/0!</v>
      </c>
      <c r="AN59" s="20" t="e">
        <f t="shared" si="174"/>
        <v>#DIV/0!</v>
      </c>
      <c r="AO59" s="20" t="e">
        <f t="shared" si="174"/>
        <v>#DIV/0!</v>
      </c>
      <c r="AP59" s="20" t="e">
        <f t="shared" si="174"/>
        <v>#DIV/0!</v>
      </c>
      <c r="AQ59" s="20" t="e">
        <f t="shared" si="174"/>
        <v>#DIV/0!</v>
      </c>
      <c r="AR59" s="20" t="e">
        <f t="shared" si="174"/>
        <v>#DIV/0!</v>
      </c>
      <c r="AS59" s="20" t="e">
        <f t="shared" si="174"/>
        <v>#DIV/0!</v>
      </c>
      <c r="AT59" s="20" t="e">
        <f t="shared" si="174"/>
        <v>#DIV/0!</v>
      </c>
      <c r="AU59" s="20" t="e">
        <f t="shared" si="174"/>
        <v>#DIV/0!</v>
      </c>
      <c r="AV59" s="20" t="e">
        <f t="shared" si="174"/>
        <v>#DIV/0!</v>
      </c>
      <c r="AW59" s="20" t="e">
        <f t="shared" si="174"/>
        <v>#DIV/0!</v>
      </c>
      <c r="AX59" s="20" t="e">
        <f t="shared" si="174"/>
        <v>#DIV/0!</v>
      </c>
      <c r="AY59" s="20" t="e">
        <f t="shared" si="174"/>
        <v>#DIV/0!</v>
      </c>
      <c r="AZ59" s="20" t="e">
        <f t="shared" si="174"/>
        <v>#DIV/0!</v>
      </c>
      <c r="BA59" s="20" t="e">
        <f t="shared" si="174"/>
        <v>#DIV/0!</v>
      </c>
      <c r="BB59" s="20" t="e">
        <f t="shared" si="174"/>
        <v>#DIV/0!</v>
      </c>
      <c r="BC59" s="20" t="e">
        <f t="shared" si="174"/>
        <v>#DIV/0!</v>
      </c>
      <c r="BD59" s="20" t="e">
        <f t="shared" si="174"/>
        <v>#DIV/0!</v>
      </c>
      <c r="BE59" s="20" t="e">
        <f t="shared" si="174"/>
        <v>#DIV/0!</v>
      </c>
      <c r="BF59" s="20" t="e">
        <f t="shared" si="174"/>
        <v>#DIV/0!</v>
      </c>
      <c r="BG59" s="20" t="e">
        <f t="shared" si="174"/>
        <v>#DIV/0!</v>
      </c>
      <c r="BH59" s="20" t="e">
        <f t="shared" si="174"/>
        <v>#DIV/0!</v>
      </c>
      <c r="BI59" s="20" t="e">
        <f t="shared" si="174"/>
        <v>#DIV/0!</v>
      </c>
      <c r="BJ59" s="20" t="e">
        <f t="shared" si="174"/>
        <v>#DIV/0!</v>
      </c>
      <c r="BK59" s="20" t="e">
        <f t="shared" si="174"/>
        <v>#DIV/0!</v>
      </c>
      <c r="BL59" s="20" t="e">
        <f t="shared" si="174"/>
        <v>#DIV/0!</v>
      </c>
      <c r="BM59" s="20" t="e">
        <f t="shared" si="174"/>
        <v>#DIV/0!</v>
      </c>
      <c r="BN59" s="20" t="e">
        <f t="shared" si="174"/>
        <v>#DIV/0!</v>
      </c>
      <c r="BO59" s="20" t="e">
        <f t="shared" si="174"/>
        <v>#DIV/0!</v>
      </c>
      <c r="BP59" s="20" t="e">
        <f t="shared" si="174"/>
        <v>#DIV/0!</v>
      </c>
      <c r="BQ59" s="20" t="e">
        <f t="shared" si="174"/>
        <v>#DIV/0!</v>
      </c>
    </row>
    <row r="60" spans="2:69" x14ac:dyDescent="0.25">
      <c r="B60" s="16" t="s">
        <v>32</v>
      </c>
      <c r="C60" s="16"/>
      <c r="D60" s="16"/>
      <c r="E60" s="16"/>
      <c r="F60" s="16"/>
      <c r="G60" s="16"/>
      <c r="H60" s="16"/>
      <c r="I60" s="16"/>
      <c r="J60" s="20">
        <f>J$46/J56</f>
        <v>-5.2530073504171985E-2</v>
      </c>
      <c r="K60" s="20">
        <f t="shared" ref="K60:BQ60" si="175">K$46/K56</f>
        <v>-7.8384040136559918E-2</v>
      </c>
      <c r="L60" s="20">
        <f t="shared" si="175"/>
        <v>-6.1904443629652632E-2</v>
      </c>
      <c r="M60" s="20">
        <f t="shared" si="175"/>
        <v>-2.4630531330878922E-2</v>
      </c>
      <c r="N60" s="20">
        <f t="shared" si="175"/>
        <v>8.2788622898745997E-3</v>
      </c>
      <c r="O60" s="20">
        <f t="shared" si="175"/>
        <v>1.1999428765113375E-2</v>
      </c>
      <c r="P60" s="20">
        <f t="shared" si="175"/>
        <v>3.011188821156081E-2</v>
      </c>
      <c r="Q60" s="20">
        <f t="shared" si="175"/>
        <v>5.8396908899505551E-2</v>
      </c>
      <c r="R60" s="20">
        <f t="shared" si="175"/>
        <v>1.9196587106882084E-2</v>
      </c>
      <c r="S60" s="20">
        <f t="shared" si="175"/>
        <v>2.5585182091301058E-2</v>
      </c>
      <c r="T60" s="20">
        <f t="shared" si="175"/>
        <v>7.3730773338639394E-2</v>
      </c>
      <c r="U60" s="20">
        <f t="shared" si="175"/>
        <v>7.2469876096192598E-2</v>
      </c>
      <c r="V60" s="20">
        <f t="shared" si="175"/>
        <v>1.3948710311346464E-2</v>
      </c>
      <c r="W60" s="20">
        <f t="shared" si="175"/>
        <v>3.5333085849173961E-2</v>
      </c>
      <c r="X60" s="20">
        <f t="shared" si="175"/>
        <v>0.15587329391777988</v>
      </c>
      <c r="Y60" s="20">
        <f t="shared" si="175"/>
        <v>8.8831064944835392E-2</v>
      </c>
      <c r="Z60" s="20">
        <f t="shared" si="175"/>
        <v>6.5698339337687983E-2</v>
      </c>
      <c r="AA60" s="20">
        <f t="shared" si="175"/>
        <v>8.2855630307760456E-2</v>
      </c>
      <c r="AB60" s="20">
        <f t="shared" si="175"/>
        <v>7.8720601271948146E-2</v>
      </c>
      <c r="AC60" s="20">
        <f t="shared" si="175"/>
        <v>9.568828043737268E-2</v>
      </c>
      <c r="AD60" s="20">
        <f t="shared" si="175"/>
        <v>4.0323436612704613E-2</v>
      </c>
      <c r="AE60" s="20">
        <f t="shared" si="175"/>
        <v>7.3245407550868585E-2</v>
      </c>
      <c r="AF60" s="20">
        <f t="shared" si="175"/>
        <v>8.097692356880816E-2</v>
      </c>
      <c r="AG60" s="20">
        <f t="shared" si="175"/>
        <v>0.15096977797774996</v>
      </c>
      <c r="AH60" s="20">
        <f t="shared" si="175"/>
        <v>6.0506763240958231E-2</v>
      </c>
      <c r="AI60" s="20">
        <f t="shared" si="175"/>
        <v>6.9095876163622241E-2</v>
      </c>
      <c r="AJ60" s="20" t="e">
        <f t="shared" si="175"/>
        <v>#DIV/0!</v>
      </c>
      <c r="AK60" s="20" t="e">
        <f t="shared" si="175"/>
        <v>#DIV/0!</v>
      </c>
      <c r="AL60" s="20" t="e">
        <f t="shared" si="175"/>
        <v>#DIV/0!</v>
      </c>
      <c r="AM60" s="20" t="e">
        <f t="shared" si="175"/>
        <v>#DIV/0!</v>
      </c>
      <c r="AN60" s="20" t="e">
        <f t="shared" si="175"/>
        <v>#DIV/0!</v>
      </c>
      <c r="AO60" s="20" t="e">
        <f t="shared" si="175"/>
        <v>#DIV/0!</v>
      </c>
      <c r="AP60" s="20" t="e">
        <f t="shared" si="175"/>
        <v>#DIV/0!</v>
      </c>
      <c r="AQ60" s="20" t="e">
        <f t="shared" si="175"/>
        <v>#DIV/0!</v>
      </c>
      <c r="AR60" s="20" t="e">
        <f t="shared" si="175"/>
        <v>#DIV/0!</v>
      </c>
      <c r="AS60" s="20" t="e">
        <f t="shared" si="175"/>
        <v>#DIV/0!</v>
      </c>
      <c r="AT60" s="20" t="e">
        <f t="shared" si="175"/>
        <v>#DIV/0!</v>
      </c>
      <c r="AU60" s="20" t="e">
        <f t="shared" si="175"/>
        <v>#DIV/0!</v>
      </c>
      <c r="AV60" s="20" t="e">
        <f t="shared" si="175"/>
        <v>#DIV/0!</v>
      </c>
      <c r="AW60" s="20" t="e">
        <f t="shared" si="175"/>
        <v>#DIV/0!</v>
      </c>
      <c r="AX60" s="20" t="e">
        <f t="shared" si="175"/>
        <v>#DIV/0!</v>
      </c>
      <c r="AY60" s="20" t="e">
        <f t="shared" si="175"/>
        <v>#DIV/0!</v>
      </c>
      <c r="AZ60" s="20" t="e">
        <f t="shared" si="175"/>
        <v>#DIV/0!</v>
      </c>
      <c r="BA60" s="20" t="e">
        <f t="shared" si="175"/>
        <v>#DIV/0!</v>
      </c>
      <c r="BB60" s="20" t="e">
        <f t="shared" si="175"/>
        <v>#DIV/0!</v>
      </c>
      <c r="BC60" s="20" t="e">
        <f t="shared" si="175"/>
        <v>#DIV/0!</v>
      </c>
      <c r="BD60" s="20" t="e">
        <f t="shared" si="175"/>
        <v>#DIV/0!</v>
      </c>
      <c r="BE60" s="20" t="e">
        <f t="shared" si="175"/>
        <v>#DIV/0!</v>
      </c>
      <c r="BF60" s="20" t="e">
        <f t="shared" si="175"/>
        <v>#DIV/0!</v>
      </c>
      <c r="BG60" s="20" t="e">
        <f t="shared" si="175"/>
        <v>#DIV/0!</v>
      </c>
      <c r="BH60" s="20" t="e">
        <f t="shared" si="175"/>
        <v>#DIV/0!</v>
      </c>
      <c r="BI60" s="20" t="e">
        <f t="shared" si="175"/>
        <v>#DIV/0!</v>
      </c>
      <c r="BJ60" s="20" t="e">
        <f t="shared" si="175"/>
        <v>#DIV/0!</v>
      </c>
      <c r="BK60" s="20" t="e">
        <f t="shared" si="175"/>
        <v>#DIV/0!</v>
      </c>
      <c r="BL60" s="20" t="e">
        <f t="shared" si="175"/>
        <v>#DIV/0!</v>
      </c>
      <c r="BM60" s="20" t="e">
        <f t="shared" si="175"/>
        <v>#DIV/0!</v>
      </c>
      <c r="BN60" s="20" t="e">
        <f t="shared" si="175"/>
        <v>#DIV/0!</v>
      </c>
      <c r="BO60" s="20" t="e">
        <f t="shared" si="175"/>
        <v>#DIV/0!</v>
      </c>
      <c r="BP60" s="20" t="e">
        <f t="shared" si="175"/>
        <v>#DIV/0!</v>
      </c>
      <c r="BQ60" s="20" t="e">
        <f t="shared" si="175"/>
        <v>#DIV/0!</v>
      </c>
    </row>
    <row r="63" spans="2:69" x14ac:dyDescent="0.25">
      <c r="B63" s="4" t="s">
        <v>40</v>
      </c>
      <c r="C63" s="4"/>
      <c r="D63" s="4"/>
      <c r="E63" s="4"/>
      <c r="F63" s="4"/>
      <c r="G63" s="4"/>
      <c r="H63" s="4"/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</row>
    <row r="64" spans="2:69" x14ac:dyDescent="0.25">
      <c r="B64" s="12" t="s">
        <v>39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</row>
    <row r="65" spans="2:38" x14ac:dyDescent="0.25">
      <c r="B65" s="1" t="s">
        <v>41</v>
      </c>
      <c r="AE65" s="26"/>
      <c r="AH65" s="26"/>
      <c r="AI65" s="26"/>
    </row>
    <row r="66" spans="2:38" x14ac:dyDescent="0.25">
      <c r="AE66" s="26"/>
      <c r="AH66" s="26"/>
      <c r="AI66" s="26"/>
    </row>
    <row r="67" spans="2:38" x14ac:dyDescent="0.25">
      <c r="B67" s="1" t="s">
        <v>42</v>
      </c>
      <c r="AE67" s="26"/>
      <c r="AI67" s="30"/>
      <c r="AL67" s="1" t="s">
        <v>51</v>
      </c>
    </row>
    <row r="68" spans="2:38" x14ac:dyDescent="0.25">
      <c r="AE68" s="26"/>
      <c r="AI68" s="26"/>
    </row>
    <row r="69" spans="2:38" x14ac:dyDescent="0.25">
      <c r="B69" s="1" t="s">
        <v>43</v>
      </c>
      <c r="AE69" s="26"/>
      <c r="AH69" s="26"/>
      <c r="AL69" s="1" t="s">
        <v>52</v>
      </c>
    </row>
    <row r="70" spans="2:38" x14ac:dyDescent="0.25">
      <c r="AE70" s="26"/>
      <c r="AH70" s="26"/>
    </row>
    <row r="71" spans="2:38" x14ac:dyDescent="0.25">
      <c r="B71" s="1" t="s">
        <v>44</v>
      </c>
      <c r="AE71" s="26"/>
      <c r="AL71" s="1" t="s">
        <v>53</v>
      </c>
    </row>
    <row r="72" spans="2:38" x14ac:dyDescent="0.25">
      <c r="AL72" s="1" t="s">
        <v>54</v>
      </c>
    </row>
    <row r="74" spans="2:38" x14ac:dyDescent="0.25">
      <c r="B74" s="1" t="s">
        <v>46</v>
      </c>
      <c r="J74" s="8">
        <f>+(0.12*SUM(J18:K18))-K74</f>
        <v>184.19787999999983</v>
      </c>
      <c r="K74" s="8">
        <f t="shared" ref="K74:AI74" si="176">K75*K18</f>
        <v>633.62468000000013</v>
      </c>
      <c r="L74" s="8">
        <f t="shared" si="176"/>
        <v>881.31238000000008</v>
      </c>
      <c r="M74" s="8">
        <f>+(0.2*SUM(J18:M18))-SUM(J74:L74)</f>
        <v>1070.9394600000005</v>
      </c>
      <c r="N74" s="8">
        <f t="shared" si="176"/>
        <v>835.30650000000003</v>
      </c>
      <c r="O74" s="8">
        <f t="shared" si="176"/>
        <v>1345.00064</v>
      </c>
      <c r="P74" s="8">
        <f t="shared" si="176"/>
        <v>1331.0489599999999</v>
      </c>
      <c r="Q74" s="8">
        <f>(0.25*(SUM(N18:Q18))-SUM(N74:P74))</f>
        <v>881.79114999999911</v>
      </c>
      <c r="R74" s="8">
        <f t="shared" si="176"/>
        <v>1443.6569600000003</v>
      </c>
      <c r="S74" s="8">
        <f t="shared" si="176"/>
        <v>1837.3246999999999</v>
      </c>
      <c r="T74" s="8">
        <f t="shared" si="176"/>
        <v>2179.0501739999995</v>
      </c>
      <c r="U74" s="8">
        <f>+(0.33*SUM(R18:U18))-SUM(R74:T74)</f>
        <v>1666.3838360000009</v>
      </c>
      <c r="V74" s="8">
        <f t="shared" si="176"/>
        <v>0</v>
      </c>
      <c r="W74" s="8">
        <f t="shared" si="176"/>
        <v>1280.4612500000001</v>
      </c>
      <c r="X74" s="8">
        <f t="shared" si="176"/>
        <v>1545.0457500000002</v>
      </c>
      <c r="Y74" s="8">
        <f t="shared" si="176"/>
        <v>0</v>
      </c>
      <c r="Z74" s="8">
        <f t="shared" si="176"/>
        <v>1606.9867200000001</v>
      </c>
      <c r="AA74" s="8">
        <f t="shared" si="176"/>
        <v>1985.2878000000001</v>
      </c>
      <c r="AB74" s="8">
        <f t="shared" si="176"/>
        <v>1872.71352</v>
      </c>
      <c r="AC74" s="8">
        <f>(0.22*(SUM(Z18:AC18))-SUM(Z74:AB74))</f>
        <v>637.96486000000004</v>
      </c>
      <c r="AD74" s="8">
        <f t="shared" si="176"/>
        <v>2476.1772800000003</v>
      </c>
      <c r="AE74" s="8">
        <f t="shared" si="176"/>
        <v>1541.4953399999999</v>
      </c>
      <c r="AF74" s="8">
        <f t="shared" si="176"/>
        <v>1989.8019999999999</v>
      </c>
      <c r="AG74" s="8">
        <f>(0.23*SUM(AD18:AG18))-SUM(AD74:AF74)</f>
        <v>1998.4833699999999</v>
      </c>
      <c r="AH74" s="8">
        <f t="shared" si="176"/>
        <v>2699.3382699999997</v>
      </c>
      <c r="AI74" s="8">
        <f t="shared" si="176"/>
        <v>3007.06448</v>
      </c>
      <c r="AL74" s="1" t="s">
        <v>55</v>
      </c>
    </row>
    <row r="75" spans="2:38" s="27" customFormat="1" x14ac:dyDescent="0.25">
      <c r="B75" s="9" t="s">
        <v>45</v>
      </c>
      <c r="C75" s="9"/>
      <c r="D75" s="9"/>
      <c r="E75" s="9"/>
      <c r="F75" s="9"/>
      <c r="G75" s="9"/>
      <c r="H75" s="9"/>
      <c r="I75" s="9"/>
      <c r="J75" s="11">
        <f>+J74/J18</f>
        <v>5.9649881605604131E-2</v>
      </c>
      <c r="K75" s="28">
        <v>0.17</v>
      </c>
      <c r="L75" s="28">
        <v>0.26</v>
      </c>
      <c r="M75" s="11">
        <f>+M74/M18</f>
        <v>0.29376856147584951</v>
      </c>
      <c r="N75" s="28">
        <v>0.21</v>
      </c>
      <c r="O75" s="28">
        <v>0.32</v>
      </c>
      <c r="P75" s="28">
        <v>0.28999999999999998</v>
      </c>
      <c r="Q75" s="11">
        <f>+Q74/Q18</f>
        <v>0.18363043597776574</v>
      </c>
      <c r="R75" s="28">
        <v>0.32</v>
      </c>
      <c r="S75" s="28">
        <v>0.38</v>
      </c>
      <c r="T75" s="28">
        <v>0.36599999999999999</v>
      </c>
      <c r="U75" s="11">
        <f>+U74/U18</f>
        <v>0.26471474755350161</v>
      </c>
      <c r="W75" s="28">
        <v>0.25</v>
      </c>
      <c r="X75" s="28">
        <v>0.25</v>
      </c>
      <c r="Z75" s="28">
        <v>0.24</v>
      </c>
      <c r="AA75" s="28">
        <v>0.28999999999999998</v>
      </c>
      <c r="AB75" s="28">
        <v>0.27</v>
      </c>
      <c r="AC75" s="28">
        <f>AC74/AC18</f>
        <v>8.7836187776577035E-2</v>
      </c>
      <c r="AD75" s="28">
        <v>0.38</v>
      </c>
      <c r="AE75" s="28">
        <v>0.21</v>
      </c>
      <c r="AF75" s="28">
        <v>0.25</v>
      </c>
      <c r="AG75" s="11">
        <f>AG74/AG18</f>
        <v>0.15381710659033088</v>
      </c>
      <c r="AH75" s="28">
        <v>0.28999999999999998</v>
      </c>
      <c r="AI75" s="28">
        <v>0.28000000000000003</v>
      </c>
    </row>
    <row r="76" spans="2:38" x14ac:dyDescent="0.25">
      <c r="B76" s="1" t="s">
        <v>47</v>
      </c>
      <c r="J76" s="8">
        <f t="shared" ref="J76:AI76" si="177">J77*J18</f>
        <v>0</v>
      </c>
      <c r="K76" s="8">
        <f t="shared" si="177"/>
        <v>0</v>
      </c>
      <c r="L76" s="8">
        <f t="shared" si="177"/>
        <v>0</v>
      </c>
      <c r="M76" s="8">
        <f t="shared" si="177"/>
        <v>0</v>
      </c>
      <c r="N76" s="8">
        <f t="shared" si="177"/>
        <v>0</v>
      </c>
      <c r="O76" s="8">
        <f t="shared" si="177"/>
        <v>0</v>
      </c>
      <c r="P76" s="8">
        <f t="shared" si="177"/>
        <v>0</v>
      </c>
      <c r="Q76" s="8">
        <f t="shared" si="177"/>
        <v>0</v>
      </c>
      <c r="R76" s="8">
        <f t="shared" si="177"/>
        <v>0</v>
      </c>
      <c r="S76" s="8">
        <f t="shared" si="177"/>
        <v>0</v>
      </c>
      <c r="T76" s="8">
        <f t="shared" si="177"/>
        <v>0</v>
      </c>
      <c r="U76" s="8">
        <f t="shared" si="177"/>
        <v>0</v>
      </c>
      <c r="V76" s="8">
        <f t="shared" si="177"/>
        <v>535.66172000000006</v>
      </c>
      <c r="W76" s="8">
        <f t="shared" si="177"/>
        <v>819.49520000000007</v>
      </c>
      <c r="X76" s="8">
        <f t="shared" si="177"/>
        <v>1297.8384300000002</v>
      </c>
      <c r="Y76" s="8">
        <f>+(0.17*SUM(V18:Y18)-SUM(V76:X76))</f>
        <v>1264.6199700000006</v>
      </c>
      <c r="Z76" s="8">
        <f t="shared" si="177"/>
        <v>0</v>
      </c>
      <c r="AA76" s="8">
        <f t="shared" si="177"/>
        <v>684.58200000000011</v>
      </c>
      <c r="AB76" s="8">
        <f t="shared" si="177"/>
        <v>1109.7561599999999</v>
      </c>
      <c r="AC76" s="8">
        <f t="shared" si="177"/>
        <v>0</v>
      </c>
      <c r="AD76" s="8">
        <f t="shared" si="177"/>
        <v>716.78816000000006</v>
      </c>
      <c r="AE76" s="8">
        <f t="shared" si="177"/>
        <v>734.04539999999997</v>
      </c>
      <c r="AF76" s="8">
        <f t="shared" si="177"/>
        <v>795.92079999999999</v>
      </c>
      <c r="AG76" s="8">
        <f>(0.1*SUM(AD18:AG18))-SUM(AD76:AF76)</f>
        <v>1234.0969400000004</v>
      </c>
      <c r="AH76" s="8">
        <f t="shared" si="177"/>
        <v>0</v>
      </c>
      <c r="AI76" s="8">
        <f t="shared" si="177"/>
        <v>1825.7177200000001</v>
      </c>
    </row>
    <row r="77" spans="2:38" s="27" customFormat="1" x14ac:dyDescent="0.25">
      <c r="B77" s="9" t="s">
        <v>45</v>
      </c>
      <c r="C77" s="9"/>
      <c r="D77" s="9"/>
      <c r="E77" s="9"/>
      <c r="F77" s="9"/>
      <c r="G77" s="9"/>
      <c r="H77" s="9"/>
      <c r="I77" s="9"/>
      <c r="V77" s="28">
        <v>0.11</v>
      </c>
      <c r="W77" s="28">
        <v>0.16</v>
      </c>
      <c r="X77" s="28">
        <v>0.21</v>
      </c>
      <c r="Y77" s="11">
        <f>Y76/Y18</f>
        <v>0.18399514426935332</v>
      </c>
      <c r="AA77" s="28">
        <v>0.1</v>
      </c>
      <c r="AB77" s="28">
        <v>0.16</v>
      </c>
      <c r="AC77" s="28"/>
      <c r="AD77" s="28">
        <v>0.11</v>
      </c>
      <c r="AE77" s="28">
        <v>0.1</v>
      </c>
      <c r="AF77" s="28">
        <v>0.1</v>
      </c>
      <c r="AG77" s="11">
        <f>AG76/AG18</f>
        <v>9.498463855757841E-2</v>
      </c>
      <c r="AI77" s="28">
        <v>0.17</v>
      </c>
    </row>
    <row r="78" spans="2:38" x14ac:dyDescent="0.25">
      <c r="B78" s="1" t="s">
        <v>48</v>
      </c>
      <c r="J78" s="8">
        <f t="shared" ref="J78:AI78" si="178">J79*J18</f>
        <v>0</v>
      </c>
      <c r="K78" s="8">
        <f t="shared" si="178"/>
        <v>0</v>
      </c>
      <c r="L78" s="8">
        <f t="shared" si="178"/>
        <v>0</v>
      </c>
      <c r="M78" s="8">
        <f t="shared" si="178"/>
        <v>0</v>
      </c>
      <c r="N78" s="8">
        <f t="shared" si="178"/>
        <v>0</v>
      </c>
      <c r="O78" s="8">
        <f t="shared" si="178"/>
        <v>0</v>
      </c>
      <c r="P78" s="8">
        <f t="shared" si="178"/>
        <v>0</v>
      </c>
      <c r="Q78" s="8">
        <f t="shared" si="178"/>
        <v>0</v>
      </c>
      <c r="R78" s="8">
        <f t="shared" si="178"/>
        <v>0</v>
      </c>
      <c r="S78" s="8">
        <f t="shared" si="178"/>
        <v>0</v>
      </c>
      <c r="T78" s="8">
        <f t="shared" si="178"/>
        <v>0</v>
      </c>
      <c r="U78" s="8">
        <f t="shared" si="178"/>
        <v>0</v>
      </c>
      <c r="V78" s="8">
        <f t="shared" si="178"/>
        <v>0</v>
      </c>
      <c r="W78" s="8">
        <f t="shared" si="178"/>
        <v>0</v>
      </c>
      <c r="X78" s="8">
        <f t="shared" si="178"/>
        <v>0</v>
      </c>
      <c r="Y78" s="8">
        <f t="shared" si="178"/>
        <v>0</v>
      </c>
      <c r="Z78" s="8">
        <f t="shared" si="178"/>
        <v>0</v>
      </c>
      <c r="AA78" s="8">
        <f t="shared" si="178"/>
        <v>0</v>
      </c>
      <c r="AB78" s="8">
        <f t="shared" si="178"/>
        <v>0</v>
      </c>
      <c r="AC78" s="8">
        <f t="shared" si="178"/>
        <v>0</v>
      </c>
      <c r="AD78" s="8">
        <f t="shared" si="178"/>
        <v>0</v>
      </c>
      <c r="AE78" s="8">
        <f t="shared" si="178"/>
        <v>1321.28172</v>
      </c>
      <c r="AF78" s="8">
        <f t="shared" si="178"/>
        <v>0</v>
      </c>
      <c r="AG78" s="8">
        <f t="shared" si="178"/>
        <v>0</v>
      </c>
      <c r="AH78" s="8">
        <f t="shared" si="178"/>
        <v>0</v>
      </c>
      <c r="AI78" s="8">
        <f t="shared" si="178"/>
        <v>0</v>
      </c>
    </row>
    <row r="79" spans="2:38" s="27" customFormat="1" x14ac:dyDescent="0.25">
      <c r="B79" s="9" t="s">
        <v>45</v>
      </c>
      <c r="C79" s="9"/>
      <c r="D79" s="9"/>
      <c r="E79" s="9"/>
      <c r="F79" s="9"/>
      <c r="G79" s="9"/>
      <c r="H79" s="9"/>
      <c r="I79" s="9"/>
      <c r="Q79" s="31"/>
      <c r="AE79" s="28">
        <v>0.18</v>
      </c>
    </row>
    <row r="80" spans="2:38" x14ac:dyDescent="0.25">
      <c r="B80" s="1" t="s">
        <v>49</v>
      </c>
      <c r="J80" s="8">
        <f t="shared" ref="J80:AI80" si="179">J81*J18</f>
        <v>0</v>
      </c>
      <c r="K80" s="8">
        <f t="shared" si="179"/>
        <v>0</v>
      </c>
      <c r="L80" s="8">
        <f t="shared" si="179"/>
        <v>0</v>
      </c>
      <c r="M80" s="8">
        <f t="shared" si="179"/>
        <v>0</v>
      </c>
      <c r="N80" s="8">
        <f t="shared" si="179"/>
        <v>1193.2950000000001</v>
      </c>
      <c r="O80" s="8">
        <f t="shared" si="179"/>
        <v>630.46904999999992</v>
      </c>
      <c r="P80" s="8">
        <f t="shared" si="179"/>
        <v>688.47359999999992</v>
      </c>
      <c r="Q80" s="8">
        <f>+(0.14*SUM(N18:Q18))-SUM(N80:P80)</f>
        <v>-52.075190000000475</v>
      </c>
      <c r="R80" s="8">
        <f t="shared" si="179"/>
        <v>0</v>
      </c>
      <c r="S80" s="8">
        <f t="shared" si="179"/>
        <v>0</v>
      </c>
      <c r="T80" s="8">
        <f t="shared" si="179"/>
        <v>0</v>
      </c>
      <c r="U80" s="8">
        <f t="shared" si="179"/>
        <v>0</v>
      </c>
      <c r="V80" s="8">
        <f t="shared" si="179"/>
        <v>0</v>
      </c>
      <c r="W80" s="8">
        <f t="shared" si="179"/>
        <v>0</v>
      </c>
      <c r="X80" s="8">
        <f t="shared" si="179"/>
        <v>0</v>
      </c>
      <c r="Y80" s="8">
        <f t="shared" si="179"/>
        <v>0</v>
      </c>
      <c r="Z80" s="8">
        <f t="shared" si="179"/>
        <v>1673.9445000000001</v>
      </c>
      <c r="AA80" s="8">
        <f t="shared" si="179"/>
        <v>0</v>
      </c>
      <c r="AB80" s="8">
        <f t="shared" si="179"/>
        <v>0</v>
      </c>
      <c r="AC80" s="8">
        <f t="shared" si="179"/>
        <v>0</v>
      </c>
      <c r="AD80" s="8">
        <f t="shared" si="179"/>
        <v>847.11328000000003</v>
      </c>
      <c r="AE80" s="8">
        <f t="shared" si="179"/>
        <v>1174.47264</v>
      </c>
      <c r="AF80" s="8">
        <f t="shared" si="179"/>
        <v>1910.2099199999998</v>
      </c>
      <c r="AG80" s="8">
        <f>(0.12*SUM(AD18:AG18))-SUM(AD80:AF80)</f>
        <v>245.22572000000036</v>
      </c>
      <c r="AH80" s="8">
        <f t="shared" si="179"/>
        <v>0</v>
      </c>
      <c r="AI80" s="8">
        <f t="shared" si="179"/>
        <v>0</v>
      </c>
    </row>
    <row r="81" spans="2:35" s="27" customFormat="1" x14ac:dyDescent="0.25">
      <c r="B81" s="9" t="s">
        <v>45</v>
      </c>
      <c r="C81" s="9"/>
      <c r="D81" s="9"/>
      <c r="E81" s="9"/>
      <c r="F81" s="9"/>
      <c r="G81" s="9"/>
      <c r="H81" s="9"/>
      <c r="I81" s="9"/>
      <c r="N81" s="28">
        <v>0.3</v>
      </c>
      <c r="O81" s="28">
        <v>0.15</v>
      </c>
      <c r="P81" s="28">
        <v>0.15</v>
      </c>
      <c r="Q81" s="28">
        <f>+Q80/Q18</f>
        <v>-1.0844506483564826E-2</v>
      </c>
      <c r="Z81" s="28">
        <v>0.25</v>
      </c>
      <c r="AD81" s="28">
        <v>0.13</v>
      </c>
      <c r="AE81" s="28">
        <v>0.16</v>
      </c>
      <c r="AF81" s="28">
        <v>0.24</v>
      </c>
      <c r="AG81" s="11">
        <f>AG80/AG18</f>
        <v>1.8874267996501114E-2</v>
      </c>
    </row>
    <row r="82" spans="2:35" x14ac:dyDescent="0.25">
      <c r="B82" s="1" t="s">
        <v>50</v>
      </c>
      <c r="J82" s="8">
        <f t="shared" ref="J82:AI82" si="180">J83*J18</f>
        <v>0</v>
      </c>
      <c r="K82" s="8">
        <f t="shared" si="180"/>
        <v>0</v>
      </c>
      <c r="L82" s="8">
        <f t="shared" si="180"/>
        <v>0</v>
      </c>
      <c r="M82" s="8">
        <f t="shared" si="180"/>
        <v>0</v>
      </c>
      <c r="N82" s="8">
        <f t="shared" si="180"/>
        <v>0</v>
      </c>
      <c r="O82" s="8">
        <f t="shared" si="180"/>
        <v>504.37523999999991</v>
      </c>
      <c r="P82" s="8">
        <f t="shared" si="180"/>
        <v>0</v>
      </c>
      <c r="Q82" s="8">
        <f t="shared" si="180"/>
        <v>0</v>
      </c>
      <c r="R82" s="8">
        <f t="shared" si="180"/>
        <v>0</v>
      </c>
      <c r="S82" s="8">
        <f t="shared" si="180"/>
        <v>0</v>
      </c>
      <c r="T82" s="8">
        <f t="shared" si="180"/>
        <v>0</v>
      </c>
      <c r="U82" s="8">
        <f t="shared" si="180"/>
        <v>0</v>
      </c>
      <c r="V82" s="8">
        <f t="shared" si="180"/>
        <v>0</v>
      </c>
      <c r="W82" s="8">
        <f t="shared" si="180"/>
        <v>0</v>
      </c>
      <c r="X82" s="8">
        <f t="shared" si="180"/>
        <v>0</v>
      </c>
      <c r="Y82" s="8">
        <f t="shared" si="180"/>
        <v>0</v>
      </c>
      <c r="Z82" s="8">
        <f t="shared" si="180"/>
        <v>0</v>
      </c>
      <c r="AA82" s="8">
        <f t="shared" si="180"/>
        <v>0</v>
      </c>
      <c r="AB82" s="8">
        <f t="shared" si="180"/>
        <v>971.03664000000003</v>
      </c>
      <c r="AC82" s="8">
        <f t="shared" si="180"/>
        <v>0</v>
      </c>
      <c r="AD82" s="8">
        <f t="shared" si="180"/>
        <v>0</v>
      </c>
      <c r="AE82" s="8">
        <f t="shared" si="180"/>
        <v>0</v>
      </c>
      <c r="AF82" s="8">
        <f t="shared" si="180"/>
        <v>0</v>
      </c>
      <c r="AG82" s="8">
        <f t="shared" si="180"/>
        <v>0</v>
      </c>
      <c r="AH82" s="8">
        <f t="shared" si="180"/>
        <v>0</v>
      </c>
      <c r="AI82" s="8">
        <f t="shared" si="180"/>
        <v>0</v>
      </c>
    </row>
    <row r="83" spans="2:35" s="27" customFormat="1" x14ac:dyDescent="0.25">
      <c r="B83" s="9" t="s">
        <v>45</v>
      </c>
      <c r="C83" s="9"/>
      <c r="D83" s="9"/>
      <c r="E83" s="9"/>
      <c r="F83" s="9"/>
      <c r="G83" s="9"/>
      <c r="H83" s="9"/>
      <c r="I83" s="9"/>
      <c r="O83" s="28">
        <v>0.12</v>
      </c>
      <c r="AB83" s="28">
        <v>0.14000000000000001</v>
      </c>
    </row>
    <row r="84" spans="2:35" x14ac:dyDescent="0.25">
      <c r="B84" s="1" t="s">
        <v>56</v>
      </c>
      <c r="J84" s="8">
        <f>J85*J18</f>
        <v>0</v>
      </c>
      <c r="K84" s="8">
        <f t="shared" ref="K84:AI84" si="181">K85*K18</f>
        <v>0</v>
      </c>
      <c r="L84" s="8">
        <f t="shared" si="181"/>
        <v>0</v>
      </c>
      <c r="M84" s="8">
        <f t="shared" si="181"/>
        <v>0</v>
      </c>
      <c r="N84" s="8">
        <f t="shared" si="181"/>
        <v>0</v>
      </c>
      <c r="O84" s="8">
        <f t="shared" si="181"/>
        <v>0</v>
      </c>
      <c r="P84" s="8">
        <f t="shared" si="181"/>
        <v>0</v>
      </c>
      <c r="Q84" s="8">
        <f t="shared" si="181"/>
        <v>0</v>
      </c>
      <c r="R84" s="8">
        <f t="shared" si="181"/>
        <v>0</v>
      </c>
      <c r="S84" s="8">
        <f t="shared" si="181"/>
        <v>0</v>
      </c>
      <c r="T84" s="8">
        <f t="shared" si="181"/>
        <v>0</v>
      </c>
      <c r="U84" s="8">
        <f t="shared" si="181"/>
        <v>0</v>
      </c>
      <c r="V84" s="8">
        <f t="shared" si="181"/>
        <v>584.35824000000002</v>
      </c>
      <c r="W84" s="8">
        <f t="shared" si="181"/>
        <v>0</v>
      </c>
      <c r="X84" s="8">
        <f t="shared" si="181"/>
        <v>0</v>
      </c>
      <c r="Y84" s="8">
        <f t="shared" si="181"/>
        <v>0</v>
      </c>
      <c r="Z84" s="8">
        <f t="shared" si="181"/>
        <v>0</v>
      </c>
      <c r="AA84" s="8">
        <f t="shared" si="181"/>
        <v>753.04020000000003</v>
      </c>
      <c r="AB84" s="8">
        <f t="shared" si="181"/>
        <v>0</v>
      </c>
      <c r="AC84" s="8">
        <f t="shared" si="181"/>
        <v>0</v>
      </c>
      <c r="AD84" s="8">
        <f t="shared" si="181"/>
        <v>0</v>
      </c>
      <c r="AE84" s="8">
        <f t="shared" si="181"/>
        <v>0</v>
      </c>
      <c r="AF84" s="8">
        <f t="shared" si="181"/>
        <v>0</v>
      </c>
      <c r="AG84" s="8">
        <f t="shared" si="181"/>
        <v>0</v>
      </c>
      <c r="AH84" s="8">
        <f t="shared" si="181"/>
        <v>0</v>
      </c>
      <c r="AI84" s="8">
        <f t="shared" si="181"/>
        <v>0</v>
      </c>
    </row>
    <row r="85" spans="2:35" x14ac:dyDescent="0.25">
      <c r="B85" s="9" t="s">
        <v>45</v>
      </c>
      <c r="C85" s="9"/>
      <c r="D85" s="9"/>
      <c r="E85" s="9"/>
      <c r="F85" s="9"/>
      <c r="G85" s="9"/>
      <c r="H85" s="9"/>
      <c r="I85" s="9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8">
        <v>0.12</v>
      </c>
      <c r="W85" s="27"/>
      <c r="X85" s="27"/>
      <c r="Y85" s="27"/>
      <c r="Z85" s="27"/>
      <c r="AA85" s="28">
        <v>0.11</v>
      </c>
      <c r="AB85" s="27"/>
      <c r="AC85" s="28"/>
      <c r="AD85" s="27"/>
      <c r="AE85" s="27"/>
      <c r="AF85" s="27"/>
      <c r="AG85" s="27"/>
      <c r="AH85" s="27"/>
      <c r="AI85" s="27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cp:lastPrinted>2024-05-22T15:25:06Z</cp:lastPrinted>
  <dcterms:created xsi:type="dcterms:W3CDTF">2024-05-22T14:49:13Z</dcterms:created>
  <dcterms:modified xsi:type="dcterms:W3CDTF">2024-07-07T19:26:22Z</dcterms:modified>
</cp:coreProperties>
</file>