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60" windowWidth="20730" windowHeight="11700"/>
  </bookViews>
  <sheets>
    <sheet name="Setup Guide" sheetId="3" r:id="rId1"/>
    <sheet name="Pin-Out" sheetId="1" r:id="rId2"/>
    <sheet name="Dropdowns" sheetId="2" state="hidden" r:id="rId3"/>
    <sheet name="Equations" sheetId="4" state="hidden" r:id="rId4"/>
  </sheets>
  <definedNames>
    <definedName name="avdd">'Setup Guide'!$E$154</definedName>
    <definedName name="c_bulk">'Setup Guide'!$H$223</definedName>
    <definedName name="C_input">'Setup Guide'!$G$240</definedName>
    <definedName name="dd_5v">Dropdowns!$R$2:$R$3</definedName>
    <definedName name="dd_gain">Dropdowns!$K$2:$K$5</definedName>
    <definedName name="dd_masterslave">Dropdowns!$G$2:$G$3</definedName>
    <definedName name="dd_modulation">Dropdowns!$I$2:$I$3</definedName>
    <definedName name="dd_oscillator">Dropdowns!$C$2:$C$4</definedName>
    <definedName name="dd_outputconfig">Dropdowns!$E$2:$E$5</definedName>
    <definedName name="dd_pintypes">Dropdowns!$A$2:$A$6</definedName>
    <definedName name="dutycycle_max">'Setup Guide'!$E$293</definedName>
    <definedName name="f_switching">'Setup Guide'!$F$68</definedName>
    <definedName name="gain">'Setup Guide'!$F$117</definedName>
    <definedName name="gainselection">Dropdowns!$K$1:$P$5</definedName>
    <definedName name="gvdd">'Setup Guide'!$E$155</definedName>
    <definedName name="ipeak">'Setup Guide'!$E$210</definedName>
    <definedName name="master_slave_mode">'Setup Guide'!$F$76</definedName>
    <definedName name="modulationscheme">'Setup Guide'!$F$92</definedName>
    <definedName name="outputpower_peak">'Setup Guide'!$H$204</definedName>
    <definedName name="pin_head">'Setup Guide'!$F$111</definedName>
    <definedName name="PinOut">'Pin-Out'!$B$1:$K$46</definedName>
    <definedName name="r_inputimpedance">'Setup Guide'!$F$119</definedName>
    <definedName name="r_r1">'Setup Guide'!$F$130</definedName>
    <definedName name="r_r2">'Setup Guide'!$F$131</definedName>
    <definedName name="selection_5v">Dropdowns!$R$1:$U$3</definedName>
    <definedName name="toc_5vrail">'Setup Guide'!$C$134</definedName>
    <definedName name="toc_amplifiergain">'Setup Guide'!$C$113</definedName>
    <definedName name="toc_bulk">'Setup Guide'!$C$172</definedName>
    <definedName name="toc_constants">'Setup Guide'!$C$291</definedName>
    <definedName name="toc_contants">'Setup Guide'!$C$291</definedName>
    <definedName name="toc_inductor">'Setup Guide'!$C$247</definedName>
    <definedName name="toc_inputcap">'Setup Guide'!$C$228</definedName>
    <definedName name="toc_modulationscheme">'Setup Guide'!$C$83</definedName>
    <definedName name="toc_oc">'Setup Guide'!$C$158</definedName>
    <definedName name="toc_outputconfig">'Setup Guide'!$C$36</definedName>
    <definedName name="toc_slavemode">'Setup Guide'!#REF!</definedName>
    <definedName name="toc_switchingfrequency">'Setup Guide'!$C$64</definedName>
    <definedName name="v_inputripple">'Setup Guide'!$E$216</definedName>
    <definedName name="vdd">'Setup Guide'!$E$153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66" i="3" l="1"/>
  <c r="K13" i="1" l="1"/>
  <c r="K14" i="1"/>
  <c r="C21" i="3"/>
  <c r="E155" i="3"/>
  <c r="K23" i="1" s="1"/>
  <c r="E154" i="3"/>
  <c r="K22" i="1" s="1"/>
  <c r="E153" i="3"/>
  <c r="K2" i="1" s="1"/>
  <c r="F111" i="3" l="1"/>
  <c r="K12" i="1" s="1"/>
  <c r="C25" i="3"/>
  <c r="C20" i="3"/>
  <c r="C19" i="3"/>
  <c r="G274" i="3"/>
  <c r="G273" i="3"/>
  <c r="F119" i="3"/>
  <c r="G244" i="3" s="1"/>
  <c r="F123" i="3"/>
  <c r="F131" i="3" s="1"/>
  <c r="G236" i="3" l="1"/>
  <c r="F130" i="3"/>
  <c r="K3" i="1" s="1"/>
  <c r="F80" i="3"/>
  <c r="H54" i="3"/>
  <c r="H55" i="3"/>
  <c r="H56" i="3"/>
  <c r="H57" i="3"/>
  <c r="H58" i="3"/>
  <c r="H59" i="3"/>
  <c r="H60" i="3"/>
  <c r="H61" i="3"/>
  <c r="H53" i="3"/>
  <c r="G287" i="3" l="1"/>
  <c r="C26" i="3" l="1"/>
  <c r="C24" i="3"/>
  <c r="C23" i="3"/>
  <c r="C22" i="3"/>
  <c r="C18" i="3"/>
  <c r="C17" i="3"/>
  <c r="E204" i="3"/>
  <c r="E210" i="3" s="1"/>
  <c r="G168" i="3"/>
  <c r="K16" i="1" l="1"/>
  <c r="K17" i="1"/>
  <c r="K10" i="1"/>
  <c r="K9" i="1"/>
  <c r="H210" i="3"/>
  <c r="K15" i="1"/>
  <c r="H223" i="3" l="1"/>
  <c r="K30" i="1" l="1"/>
  <c r="K37" i="1"/>
  <c r="E45" i="1" l="1"/>
  <c r="E44" i="1"/>
  <c r="E39" i="1"/>
  <c r="E38" i="1"/>
  <c r="E37" i="1"/>
  <c r="E32" i="1"/>
  <c r="E31" i="1"/>
  <c r="E25" i="1"/>
  <c r="E24" i="1"/>
</calcChain>
</file>

<file path=xl/sharedStrings.xml><?xml version="1.0" encoding="utf-8"?>
<sst xmlns="http://schemas.openxmlformats.org/spreadsheetml/2006/main" count="371" uniqueCount="190">
  <si>
    <t>Name</t>
  </si>
  <si>
    <t>#</t>
  </si>
  <si>
    <t>VDD</t>
  </si>
  <si>
    <t>FREQ_ADJ</t>
  </si>
  <si>
    <t>GND</t>
  </si>
  <si>
    <t>AVDD</t>
  </si>
  <si>
    <t>/RESET</t>
  </si>
  <si>
    <t>/FAULT</t>
  </si>
  <si>
    <t>Type</t>
  </si>
  <si>
    <t>IN</t>
  </si>
  <si>
    <t>OUT</t>
  </si>
  <si>
    <t>IN/OUT</t>
  </si>
  <si>
    <t>Power</t>
  </si>
  <si>
    <t>Pin Types</t>
  </si>
  <si>
    <t>PowerPad</t>
  </si>
  <si>
    <t>BTL</t>
  </si>
  <si>
    <t>NC</t>
  </si>
  <si>
    <t>Internal</t>
  </si>
  <si>
    <t>External</t>
  </si>
  <si>
    <t>Power Source</t>
  </si>
  <si>
    <t>0.033uF from BST_x to OUT_x</t>
  </si>
  <si>
    <t>Voltage (V)</t>
  </si>
  <si>
    <t>Input</t>
  </si>
  <si>
    <t>Output</t>
  </si>
  <si>
    <t>Oscillator</t>
  </si>
  <si>
    <t>Master / Slave Mode</t>
  </si>
  <si>
    <t>Master</t>
  </si>
  <si>
    <t>Slave</t>
  </si>
  <si>
    <t>Master/Slave</t>
  </si>
  <si>
    <t>FREQ_ADJ Resistor</t>
  </si>
  <si>
    <t xml:space="preserve">kΩ </t>
  </si>
  <si>
    <t>FREQ_ADJ Pin</t>
  </si>
  <si>
    <t>Switching Frequency</t>
  </si>
  <si>
    <t>Configuration</t>
  </si>
  <si>
    <t>Connection</t>
  </si>
  <si>
    <t>Current Limit</t>
  </si>
  <si>
    <t>A</t>
  </si>
  <si>
    <t>Output Configuration</t>
  </si>
  <si>
    <t>Output Config</t>
  </si>
  <si>
    <t>PIN</t>
  </si>
  <si>
    <t>If Unused</t>
  </si>
  <si>
    <t>CH1 +</t>
  </si>
  <si>
    <t>CH1 -</t>
  </si>
  <si>
    <t>CH2 +</t>
  </si>
  <si>
    <t>CH2 -</t>
  </si>
  <si>
    <t>1 Output Configuration</t>
  </si>
  <si>
    <t>2 Output Switching Frequency (FREQ_ADJ)</t>
  </si>
  <si>
    <t xml:space="preserve">Ω </t>
  </si>
  <si>
    <t>W</t>
  </si>
  <si>
    <t>kHz</t>
  </si>
  <si>
    <t>V</t>
  </si>
  <si>
    <t>uF</t>
  </si>
  <si>
    <t>Appendix - Constants</t>
  </si>
  <si>
    <t>Hz</t>
  </si>
  <si>
    <t xml:space="preserve">Connect to pin 29 and 30. </t>
  </si>
  <si>
    <t xml:space="preserve">Connect to pin 29 and 31. </t>
  </si>
  <si>
    <t xml:space="preserve">Connect to pin 36 and 37. </t>
  </si>
  <si>
    <t>Connect to pin 36 and 38.</t>
  </si>
  <si>
    <t>Output Duty Cycle (Max)</t>
  </si>
  <si>
    <t>Make selection or type value.</t>
  </si>
  <si>
    <t>Calculated value.</t>
  </si>
  <si>
    <t>Connect to interrupt handler or Class-G power supply</t>
  </si>
  <si>
    <t>Latex Equations</t>
  </si>
  <si>
    <t xml:space="preserve">f_{IN_{-3dB}} = \frac{1}{2 \pi R_{IN} C_{IN}} = </t>
  </si>
  <si>
    <t>Load Impedance (Min)</t>
  </si>
  <si>
    <t>Supply Voltage (Max)</t>
  </si>
  <si>
    <t>Minimum load impedance</t>
  </si>
  <si>
    <t>Peak output power per channel</t>
  </si>
  <si>
    <t>Peak Output Current per channel</t>
  </si>
  <si>
    <t>Maximum output voltage ripple</t>
  </si>
  <si>
    <t>Minimum required bulk capacitance</t>
  </si>
  <si>
    <t xml:space="preserve">C_{BULK_{min}} = \frac{I_{OUT_{peak}}\times D_{MAX}}{f_{sw} \times V_{IN_{ripple}}} = </t>
  </si>
  <si>
    <t xml:space="preserve">Enter the minimum load impedance and the peak output per channel.  PVDD for channels AB and CD are shared internally, so in single-ended mode add the power for each channel. </t>
  </si>
  <si>
    <t>Output switching frequency (selected above)</t>
  </si>
  <si>
    <t xml:space="preserve">The peak output current per channel is calculated below. </t>
  </si>
  <si>
    <t xml:space="preserve">The minimum bulk capacitance for each channel is calculated below. </t>
  </si>
  <si>
    <t xml:space="preserve">Select the desired output switching frequency from the dropdown below.
</t>
  </si>
  <si>
    <t xml:space="preserve">
Connect the FREQ_ADJ pin as described below.</t>
  </si>
  <si>
    <t>30 kΩ</t>
  </si>
  <si>
    <t>10 kΩ</t>
  </si>
  <si>
    <t>Connect to fault handler (microcontroller or processor)</t>
  </si>
  <si>
    <t>Connect to GND.  PowerPad is internally connected to ground</t>
  </si>
  <si>
    <t>n/a</t>
  </si>
  <si>
    <r>
      <t>The f</t>
    </r>
    <r>
      <rPr>
        <vertAlign val="subscript"/>
        <sz val="10"/>
        <color theme="1"/>
        <rFont val="等线"/>
        <family val="2"/>
        <scheme val="minor"/>
      </rPr>
      <t xml:space="preserve">IN-3dB </t>
    </r>
    <r>
      <rPr>
        <sz val="10"/>
        <color theme="1"/>
        <rFont val="等线"/>
        <family val="2"/>
        <scheme val="minor"/>
      </rPr>
      <t xml:space="preserve">frequency below should target &lt; 1/10th of the lowest targeted audio frequency to not influence low frequency THD. </t>
    </r>
  </si>
  <si>
    <t>Table of Contents</t>
  </si>
  <si>
    <r>
      <t>The output inductor is necessary for safe performance. An absolute minimum inductor of 5</t>
    </r>
    <r>
      <rPr>
        <sz val="10"/>
        <color theme="1"/>
        <rFont val="Calibri"/>
        <family val="2"/>
      </rPr>
      <t>μH across the operable range. Ensure that every point on the inductor curve up to and including the peak current is at least 5μH. An inductance verses current graph should be available in the inductor datasheet. An example plot is shown below</t>
    </r>
    <r>
      <rPr>
        <vertAlign val="superscript"/>
        <sz val="10"/>
        <color theme="1"/>
        <rFont val="Calibri"/>
        <family val="2"/>
      </rPr>
      <t>1</t>
    </r>
    <r>
      <rPr>
        <sz val="10"/>
        <color theme="1"/>
        <rFont val="Calibri"/>
        <family val="2"/>
      </rPr>
      <t xml:space="preserve">. </t>
    </r>
  </si>
  <si>
    <t xml:space="preserve">Inductor Part Number </t>
  </si>
  <si>
    <t>Minimum Inductance</t>
  </si>
  <si>
    <t>uH</t>
  </si>
  <si>
    <t>Minimum Inductance for current limit</t>
  </si>
  <si>
    <t>Needs to be above 5uH to be acceptable</t>
  </si>
  <si>
    <t>Parallel Bridge-Tied Load (PBTL) Pre-Filter</t>
  </si>
  <si>
    <t>Parallel Bridge-Tied Load (PBTL) Post-Filter</t>
  </si>
  <si>
    <t>PBTL (pre-filter)</t>
  </si>
  <si>
    <t>PBTL (post-filter)</t>
  </si>
  <si>
    <t>Inductor</t>
  </si>
  <si>
    <t>OUT_C + Inductor</t>
  </si>
  <si>
    <t>OUT_D + Inductor</t>
  </si>
  <si>
    <t>OUT_A + Inductor</t>
  </si>
  <si>
    <t>OUT_B + Inductor</t>
  </si>
  <si>
    <t>39-40</t>
  </si>
  <si>
    <t>27-28</t>
  </si>
  <si>
    <t xml:space="preserve">Using the inductance vs current graph in the datasheet for your chosen inductor, determine the minimum inductance up to and including the current limit listed above.  </t>
  </si>
  <si>
    <t>GAIN/SLV</t>
  </si>
  <si>
    <t>/OTW_CLIP</t>
  </si>
  <si>
    <t>IN1_P</t>
  </si>
  <si>
    <t>IN1_M</t>
  </si>
  <si>
    <t>HEAD</t>
  </si>
  <si>
    <t>OSCM</t>
  </si>
  <si>
    <t>OSCP</t>
  </si>
  <si>
    <t>IN2_P</t>
  </si>
  <si>
    <t>IN2_M</t>
  </si>
  <si>
    <t>/CMUTE</t>
  </si>
  <si>
    <t>GVDD</t>
  </si>
  <si>
    <t>BST2_M</t>
  </si>
  <si>
    <t>BST2_P</t>
  </si>
  <si>
    <t>OUT2_M</t>
  </si>
  <si>
    <t>PVDD</t>
  </si>
  <si>
    <t>OUT2_P</t>
  </si>
  <si>
    <t>OUT1_M</t>
  </si>
  <si>
    <t>OUT1_P</t>
  </si>
  <si>
    <t>BST1_M</t>
  </si>
  <si>
    <t>BST1_P</t>
  </si>
  <si>
    <t>Bridge-Tied Load (BTL) - 2-channel</t>
  </si>
  <si>
    <t>Bridge-Tied Load (BTL) - 1-channel</t>
  </si>
  <si>
    <t>BTL 1-Channel</t>
  </si>
  <si>
    <t>33nF</t>
  </si>
  <si>
    <t>Connect to microcontroller or reset control</t>
  </si>
  <si>
    <t>Not Connected</t>
  </si>
  <si>
    <t>50 kΩ</t>
  </si>
  <si>
    <t>3 Output Modulation Scheme</t>
  </si>
  <si>
    <t>Modulation Schemes</t>
  </si>
  <si>
    <t>AD</t>
  </si>
  <si>
    <t>Modulation Scheme</t>
  </si>
  <si>
    <t>High Efficiency AD (HEAD)</t>
  </si>
  <si>
    <t>Gain</t>
  </si>
  <si>
    <t>R1</t>
  </si>
  <si>
    <t>R1_Slave</t>
  </si>
  <si>
    <t>R1_Master</t>
  </si>
  <si>
    <t>R2_Master</t>
  </si>
  <si>
    <t>dB</t>
  </si>
  <si>
    <t>Value</t>
  </si>
  <si>
    <t>R2</t>
  </si>
  <si>
    <t>Units</t>
  </si>
  <si>
    <t xml:space="preserve">Based on the gain and master/slave mode selection the resistor values for R1 and R2 are shown below. </t>
  </si>
  <si>
    <t xml:space="preserve">The GAIN/SLV pin is used to select master or slave mode.  Select in section 2. </t>
  </si>
  <si>
    <t>Select the designed amplifier gain.</t>
  </si>
  <si>
    <t>Not Populated</t>
  </si>
  <si>
    <t>Input Resistance</t>
  </si>
  <si>
    <t>The input resistance based on the gain selected.</t>
  </si>
  <si>
    <t>Input resistance based on gain selection in section 4.</t>
  </si>
  <si>
    <t>Type in capacitor value.</t>
  </si>
  <si>
    <t>4 Amplifier Gain Settings</t>
  </si>
  <si>
    <t>Maximum Output Current per inductor</t>
  </si>
  <si>
    <t>Capacitor to GND</t>
  </si>
  <si>
    <t>HEAD Pin</t>
  </si>
  <si>
    <t>Absolute minimum inductance = 5uH</t>
  </si>
  <si>
    <t>5 5V Rail Selection</t>
  </si>
  <si>
    <t>6 Over Current</t>
  </si>
  <si>
    <t>7 Input Bulk Capacitance</t>
  </si>
  <si>
    <t>8 Input AC Coupling Capacitor</t>
  </si>
  <si>
    <t>9 Inductor Selection</t>
  </si>
  <si>
    <t>5V Source</t>
  </si>
  <si>
    <t>External 5V Source</t>
  </si>
  <si>
    <t>Integrated LDO</t>
  </si>
  <si>
    <t>5V Voltage Source</t>
  </si>
  <si>
    <t>5V external source</t>
  </si>
  <si>
    <t>Connect to AVDD with 3.3 Ω and 1 uF low-pass filter</t>
  </si>
  <si>
    <t>5V external source with 3.3 Ω and 1 uF low-pass filter</t>
  </si>
  <si>
    <t>5V external source with 1 uF capacitor to GND</t>
  </si>
  <si>
    <t>Connect to GVDD with 1 uF capacitor to GND</t>
  </si>
  <si>
    <r>
      <t xml:space="preserve">Select the desired output modulation scheme:
</t>
    </r>
    <r>
      <rPr>
        <b/>
        <sz val="10"/>
        <color theme="1"/>
        <rFont val="等线"/>
        <family val="2"/>
        <scheme val="minor"/>
      </rPr>
      <t xml:space="preserve">AD Modulation: </t>
    </r>
    <r>
      <rPr>
        <sz val="10"/>
        <color theme="1"/>
        <rFont val="等线"/>
        <family val="2"/>
        <scheme val="minor"/>
      </rPr>
      <t>Traditional AD modulation scheme where the positive and negative outputs are inverted and the duty cycle in idle is 50%.  This mode is optimized for the best audio performance.</t>
    </r>
    <r>
      <rPr>
        <b/>
        <sz val="10"/>
        <color theme="1"/>
        <rFont val="等线"/>
        <family val="2"/>
        <scheme val="minor"/>
      </rPr>
      <t xml:space="preserve">
High Efficiency AD (HEAD) Modulation:</t>
    </r>
    <r>
      <rPr>
        <sz val="10"/>
        <color theme="1"/>
        <rFont val="等线"/>
        <family val="2"/>
        <scheme val="minor"/>
      </rPr>
      <t xml:space="preserve"> AD based modulation where the duty cycle in idle is less than 50% and at higher power only one side switches.  This mode is optimized for efficiency at idle and full-power.  See the datasheet for more description.</t>
    </r>
  </si>
  <si>
    <r>
      <rPr>
        <vertAlign val="superscript"/>
        <sz val="8"/>
        <color theme="1"/>
        <rFont val="等线"/>
        <family val="2"/>
        <scheme val="minor"/>
      </rPr>
      <t>1</t>
    </r>
    <r>
      <rPr>
        <sz val="8"/>
        <color theme="1"/>
        <rFont val="等线"/>
        <family val="2"/>
        <scheme val="minor"/>
      </rPr>
      <t>The example plot shown is from a Coilcraft datasheet.</t>
    </r>
  </si>
  <si>
    <t>7V-30V</t>
  </si>
  <si>
    <t>Legend</t>
  </si>
  <si>
    <t>Insert the inductor part number below. This is for informational purposes only. No calculations are done based off of the chosen inductor.</t>
  </si>
  <si>
    <t xml:space="preserve">The minimum inductance is checked against the absolute minimum value (5uH) necessary for safe performance. The result of the check is below. </t>
  </si>
  <si>
    <t>TPA3221 / TPA3220 Setup Guide and Configuration Tool</t>
  </si>
  <si>
    <r>
      <rPr>
        <b/>
        <sz val="10"/>
        <rFont val="等线"/>
        <family val="2"/>
        <scheme val="minor"/>
      </rPr>
      <t>TPA3221 vs TPA3220:</t>
    </r>
    <r>
      <rPr>
        <sz val="10"/>
        <rFont val="等线"/>
        <family val="2"/>
        <scheme val="minor"/>
      </rPr>
      <t xml:space="preserve"> The TPA3221 and TPA3220 are pin-compatible except for the thermal PowerPad.  The TPA3221 thermal pad is on top for a heat sink and the TPA3220 is on bottom to attach to the PCB.</t>
    </r>
  </si>
  <si>
    <t xml:space="preserve">Complete each section below to configure the TPA3221 or TPA3220 device pins.  The "Pin-Out" tab provides a list of all TPA3221/20 pins and will update with the selections made on this tab. ("Setup Guide" tab).  </t>
  </si>
  <si>
    <t xml:space="preserve">Select the TPA3221/20 output configuration.  The table displays the pin configurations based on the selected output configuration. </t>
  </si>
  <si>
    <r>
      <t xml:space="preserve">Now, select if the device will use the internal oscillator or use the clock from another TPA3221/20. 
</t>
    </r>
    <r>
      <rPr>
        <b/>
        <sz val="9"/>
        <color theme="1"/>
        <rFont val="等线"/>
        <family val="2"/>
        <scheme val="minor"/>
      </rPr>
      <t>Master Mode:</t>
    </r>
    <r>
      <rPr>
        <sz val="9"/>
        <color theme="1"/>
        <rFont val="等线"/>
        <family val="2"/>
        <scheme val="minor"/>
      </rPr>
      <t xml:space="preserve"> Switching frequency is set by internal oscillator and FREQ_ADJ pin.  Connect the FREQ_ADJ pin through a resistor to ground to select the switching frequency.
</t>
    </r>
    <r>
      <rPr>
        <b/>
        <sz val="9"/>
        <color theme="1"/>
        <rFont val="等线"/>
        <family val="2"/>
        <scheme val="minor"/>
      </rPr>
      <t xml:space="preserve">Slave Mode: </t>
    </r>
    <r>
      <rPr>
        <sz val="9"/>
        <color theme="1"/>
        <rFont val="等线"/>
        <family val="2"/>
        <scheme val="minor"/>
      </rPr>
      <t xml:space="preserve">Switching frequency is set by OSCM and OSCP pins connected to a "master" TPA3221/20. Connect FREQ_ADJ to AVDD. </t>
    </r>
  </si>
  <si>
    <t>The overcurrent (OC) limit of the TPA3221/20 is fixed at 10A per half-bridge.  The overcurrent uses cycle-by-cycle current limit (CB3C), which allows short spikes above the OC threshold without faulting.</t>
  </si>
  <si>
    <r>
      <t xml:space="preserve">The bulk capacitor provides current during large audio transients and the decoupling capacitor provides current for the switching rise and fall. Use a 1uF decoupling capacitor directly adjacent to the TPA3221/20 pin.  In addition, use this section to determine the minimum required bulk capacitance for each channel.  
</t>
    </r>
    <r>
      <rPr>
        <b/>
        <sz val="10"/>
        <color theme="1"/>
        <rFont val="等线"/>
        <family val="2"/>
        <scheme val="minor"/>
      </rPr>
      <t xml:space="preserve">Note: </t>
    </r>
    <r>
      <rPr>
        <sz val="10"/>
        <color theme="1"/>
        <rFont val="等线"/>
        <family val="2"/>
        <scheme val="minor"/>
      </rPr>
      <t xml:space="preserve">In most cases, the minimum capacitance should at least be doubled to provide adequate headroom to prevent audio signal distortion.  To support longer and quick audio transients, 1000uF may be necessary. </t>
    </r>
  </si>
  <si>
    <t>Now enter the maximum ripple.   (The TPA3221/20 has 60dB of PSRR)</t>
  </si>
  <si>
    <r>
      <t>Use this section to calculate the capacitor required for AC coupling the input pins.  Start by selecting a capacitor value.  The -3dB of the high-pass filter formed by C</t>
    </r>
    <r>
      <rPr>
        <vertAlign val="subscript"/>
        <sz val="10"/>
        <color theme="1"/>
        <rFont val="等线"/>
        <family val="2"/>
        <scheme val="minor"/>
      </rPr>
      <t>input</t>
    </r>
    <r>
      <rPr>
        <sz val="10"/>
        <color theme="1"/>
        <rFont val="等线"/>
        <family val="2"/>
        <scheme val="minor"/>
      </rPr>
      <t xml:space="preserve"> and the TPA3221/20 input resistance is calculated below.   </t>
    </r>
  </si>
  <si>
    <t xml:space="preserve">The current limit of the TPA3221/20 is put below for reference.  Note in pre-filter PBTL the inductor needs to support two times the OC threshold current (20A). </t>
  </si>
  <si>
    <t>The TPA3221/20 only requires a 5V rail for the gate drive, analog, and digital circuitry. The 5V rail can either be sourced from an external voltage rail or by using the integrated LDO.  Note that the efficiency and thermal performance may decrease slightly when using the integrated LDO.</t>
    <phoneticPr fontId="22" type="noConversion"/>
  </si>
  <si>
    <t>Estimated Max Current</t>
    <phoneticPr fontId="22" type="noConversion"/>
  </si>
  <si>
    <t>Bridge-Tied Load (BTL) - 2-channel</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</si>
</sst>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409]d\-mmm\-yyyy;@"/>
    <numFmt numFmtId="177" formatCode="0.0"/>
    <numFmt numFmtId="178" formatCode="[$-409]mmm\-yy;@"/>
  </numFmts>
  <fonts count="23" x14ac:knownFonts="1">
    <font>
      <sz val="11"/>
      <color theme="1"/>
      <name val="等线"/>
      <family val="2"/>
      <scheme val="minor"/>
    </font>
    <font>
      <b/>
      <sz val="11"/>
      <color theme="1"/>
      <name val="等线"/>
      <family val="2"/>
      <scheme val="minor"/>
    </font>
    <font>
      <sz val="8"/>
      <color theme="1"/>
      <name val="等线"/>
      <family val="2"/>
      <scheme val="minor"/>
    </font>
    <font>
      <b/>
      <sz val="14"/>
      <color theme="1"/>
      <name val="等线"/>
      <family val="2"/>
      <scheme val="minor"/>
    </font>
    <font>
      <sz val="10"/>
      <color theme="1"/>
      <name val="等线"/>
      <family val="2"/>
      <scheme val="minor"/>
    </font>
    <font>
      <b/>
      <sz val="10"/>
      <color theme="1"/>
      <name val="等线"/>
      <family val="2"/>
      <scheme val="minor"/>
    </font>
    <font>
      <sz val="12"/>
      <color theme="1"/>
      <name val="等线"/>
      <family val="2"/>
      <scheme val="minor"/>
    </font>
    <font>
      <sz val="11"/>
      <color rgb="FFFF0000"/>
      <name val="等线"/>
      <family val="2"/>
      <scheme val="minor"/>
    </font>
    <font>
      <sz val="8"/>
      <name val="等线"/>
      <family val="2"/>
      <scheme val="minor"/>
    </font>
    <font>
      <u/>
      <sz val="11"/>
      <color theme="10"/>
      <name val="等线"/>
      <family val="2"/>
      <scheme val="minor"/>
    </font>
    <font>
      <u/>
      <sz val="11"/>
      <color rgb="FFC00000"/>
      <name val="等线"/>
      <family val="2"/>
      <scheme val="minor"/>
    </font>
    <font>
      <sz val="10"/>
      <name val="等线"/>
      <family val="2"/>
      <scheme val="minor"/>
    </font>
    <font>
      <vertAlign val="subscript"/>
      <sz val="10"/>
      <color theme="1"/>
      <name val="等线"/>
      <family val="2"/>
      <scheme val="minor"/>
    </font>
    <font>
      <b/>
      <sz val="9"/>
      <color theme="1"/>
      <name val="等线"/>
      <family val="2"/>
      <scheme val="minor"/>
    </font>
    <font>
      <sz val="9"/>
      <color theme="1"/>
      <name val="等线"/>
      <family val="2"/>
      <scheme val="minor"/>
    </font>
    <font>
      <sz val="10"/>
      <color theme="1"/>
      <name val="Calibri"/>
      <family val="2"/>
    </font>
    <font>
      <vertAlign val="superscript"/>
      <sz val="10"/>
      <color theme="1"/>
      <name val="Calibri"/>
      <family val="2"/>
    </font>
    <font>
      <vertAlign val="superscript"/>
      <sz val="8"/>
      <color theme="1"/>
      <name val="等线"/>
      <family val="2"/>
      <scheme val="minor"/>
    </font>
    <font>
      <sz val="10"/>
      <color rgb="FFC00000"/>
      <name val="等线"/>
      <family val="2"/>
      <scheme val="minor"/>
    </font>
    <font>
      <b/>
      <sz val="11"/>
      <color rgb="FFFA7D00"/>
      <name val="等线"/>
      <family val="2"/>
      <scheme val="minor"/>
    </font>
    <font>
      <sz val="11"/>
      <color theme="0" tint="-0.499984740745262"/>
      <name val="等线"/>
      <family val="2"/>
      <scheme val="minor"/>
    </font>
    <font>
      <b/>
      <sz val="10"/>
      <name val="等线"/>
      <family val="2"/>
      <scheme val="minor"/>
    </font>
    <font>
      <sz val="9"/>
      <name val="等线"/>
      <family val="3"/>
      <charset val="134"/>
      <scheme val="minor"/>
    </font>
  </fonts>
  <fills count="9">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F2F2F2"/>
      </patternFill>
    </fill>
  </fills>
  <borders count="16">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s>
  <cellStyleXfs count="3">
    <xf numFmtId="0" fontId="0" fillId="0" borderId="0"/>
    <xf numFmtId="0" fontId="9" fillId="0" borderId="0" applyNumberFormat="0" applyFill="0" applyBorder="0" applyAlignment="0" applyProtection="0"/>
    <xf numFmtId="0" fontId="19" fillId="8" borderId="12" applyNumberFormat="0" applyAlignment="0" applyProtection="0"/>
  </cellStyleXfs>
  <cellXfs count="130">
    <xf numFmtId="0" fontId="0" fillId="0" borderId="0" xfId="0"/>
    <xf numFmtId="0" fontId="1" fillId="0" borderId="0" xfId="0" applyFont="1"/>
    <xf numFmtId="0" fontId="0" fillId="0" borderId="0" xfId="0" applyAlignment="1">
      <alignment horizontal="center"/>
    </xf>
    <xf numFmtId="0" fontId="0" fillId="2" borderId="0" xfId="0" applyFill="1"/>
    <xf numFmtId="0" fontId="0" fillId="3" borderId="0" xfId="0" applyFill="1"/>
    <xf numFmtId="0" fontId="0" fillId="0" borderId="0" xfId="0" applyFill="1"/>
    <xf numFmtId="0" fontId="1" fillId="5" borderId="0" xfId="0" applyFont="1" applyFill="1" applyAlignment="1">
      <alignment horizontal="center" vertical="center"/>
    </xf>
    <xf numFmtId="0" fontId="1" fillId="5" borderId="0" xfId="0" applyFont="1" applyFill="1" applyAlignment="1">
      <alignment vertical="center"/>
    </xf>
    <xf numFmtId="0" fontId="1" fillId="5" borderId="0" xfId="0" applyFont="1" applyFill="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3" borderId="0" xfId="0" applyFill="1" applyBorder="1" applyAlignment="1"/>
    <xf numFmtId="11" fontId="0" fillId="0" borderId="0" xfId="0" applyNumberFormat="1"/>
    <xf numFmtId="0" fontId="0" fillId="3" borderId="1" xfId="0" applyFill="1" applyBorder="1"/>
    <xf numFmtId="0" fontId="0" fillId="3" borderId="0" xfId="0" applyFill="1" applyBorder="1"/>
    <xf numFmtId="0" fontId="2" fillId="3" borderId="0" xfId="0" applyFont="1" applyFill="1" applyBorder="1" applyAlignment="1">
      <alignment vertical="center"/>
    </xf>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5" fillId="3" borderId="0" xfId="0" applyFont="1" applyFill="1" applyBorder="1" applyAlignment="1">
      <alignment horizontal="center"/>
    </xf>
    <xf numFmtId="0" fontId="0" fillId="3" borderId="0" xfId="0" applyFill="1" applyBorder="1" applyAlignment="1">
      <alignment horizontal="center"/>
    </xf>
    <xf numFmtId="0" fontId="1" fillId="3" borderId="0" xfId="0" applyFont="1" applyFill="1" applyBorder="1"/>
    <xf numFmtId="0" fontId="1" fillId="3" borderId="0" xfId="0" applyFont="1" applyFill="1" applyBorder="1" applyAlignment="1">
      <alignment horizontal="center"/>
    </xf>
    <xf numFmtId="0" fontId="0" fillId="3" borderId="0" xfId="0" applyFont="1" applyFill="1" applyBorder="1" applyAlignment="1">
      <alignment horizontal="left"/>
    </xf>
    <xf numFmtId="0" fontId="0" fillId="3" borderId="0" xfId="0" applyFill="1" applyBorder="1" applyAlignment="1">
      <alignment horizontal="center" vertical="top" wrapText="1"/>
    </xf>
    <xf numFmtId="0" fontId="0" fillId="0" borderId="0" xfId="0" applyBorder="1"/>
    <xf numFmtId="0" fontId="1" fillId="3" borderId="0" xfId="0" applyFont="1" applyFill="1" applyBorder="1" applyAlignment="1"/>
    <xf numFmtId="0" fontId="4" fillId="3" borderId="0" xfId="0" applyFont="1" applyFill="1" applyBorder="1" applyAlignment="1">
      <alignment horizontal="left"/>
    </xf>
    <xf numFmtId="0" fontId="2" fillId="3" borderId="0" xfId="0" applyFont="1" applyFill="1" applyBorder="1" applyAlignment="1">
      <alignment horizontal="left"/>
    </xf>
    <xf numFmtId="0" fontId="2" fillId="3" borderId="0" xfId="0" applyFont="1" applyFill="1" applyBorder="1" applyAlignment="1">
      <alignment horizontal="right"/>
    </xf>
    <xf numFmtId="0" fontId="0" fillId="3" borderId="0" xfId="0" applyFill="1" applyBorder="1" applyAlignment="1">
      <alignment horizontal="right"/>
    </xf>
    <xf numFmtId="0" fontId="2" fillId="3" borderId="0" xfId="0" applyFont="1" applyFill="1" applyBorder="1"/>
    <xf numFmtId="0" fontId="7" fillId="3" borderId="0" xfId="0" applyFont="1" applyFill="1" applyBorder="1"/>
    <xf numFmtId="0" fontId="7" fillId="3" borderId="0" xfId="0" applyFont="1" applyFill="1" applyBorder="1" applyAlignment="1">
      <alignment horizontal="right"/>
    </xf>
    <xf numFmtId="0" fontId="7" fillId="3" borderId="0" xfId="0" applyFont="1" applyFill="1" applyBorder="1" applyAlignment="1">
      <alignment horizontal="center"/>
    </xf>
    <xf numFmtId="0" fontId="8" fillId="3" borderId="0" xfId="0" applyFont="1" applyFill="1" applyBorder="1"/>
    <xf numFmtId="0" fontId="0" fillId="0" borderId="8" xfId="0" applyBorder="1"/>
    <xf numFmtId="9" fontId="0" fillId="3" borderId="0" xfId="0" applyNumberFormat="1" applyFill="1" applyBorder="1"/>
    <xf numFmtId="0" fontId="2" fillId="3" borderId="0" xfId="0" applyFont="1" applyFill="1" applyBorder="1" applyAlignment="1"/>
    <xf numFmtId="0" fontId="0" fillId="3" borderId="10" xfId="0" applyFill="1" applyBorder="1"/>
    <xf numFmtId="0" fontId="0" fillId="3" borderId="0" xfId="0" applyFont="1" applyFill="1" applyBorder="1" applyAlignment="1" applyProtection="1">
      <alignment horizontal="left" vertical="top"/>
      <protection locked="0"/>
    </xf>
    <xf numFmtId="2" fontId="0" fillId="3" borderId="0" xfId="0" applyNumberFormat="1" applyFill="1" applyBorder="1" applyAlignment="1">
      <alignment horizontal="center"/>
    </xf>
    <xf numFmtId="0" fontId="2" fillId="3" borderId="0" xfId="0" applyFont="1" applyFill="1" applyBorder="1" applyAlignment="1">
      <alignment vertical="top"/>
    </xf>
    <xf numFmtId="0" fontId="2" fillId="3" borderId="0" xfId="0" applyFont="1" applyFill="1" applyBorder="1" applyAlignment="1">
      <alignment horizontal="center" vertical="top"/>
    </xf>
    <xf numFmtId="0" fontId="0" fillId="3" borderId="0" xfId="0" applyFill="1" applyBorder="1" applyAlignment="1">
      <alignment horizontal="left"/>
    </xf>
    <xf numFmtId="0" fontId="0" fillId="3" borderId="0" xfId="0" applyFill="1" applyBorder="1" applyAlignment="1">
      <alignment horizontal="left" vertical="top" wrapText="1"/>
    </xf>
    <xf numFmtId="0" fontId="4" fillId="3" borderId="0" xfId="0" applyFont="1" applyFill="1" applyBorder="1" applyAlignment="1">
      <alignment horizontal="left" vertical="top" wrapText="1"/>
    </xf>
    <xf numFmtId="0" fontId="2" fillId="3" borderId="0" xfId="0" applyFont="1" applyFill="1" applyBorder="1" applyAlignment="1">
      <alignment horizontal="right" vertical="top"/>
    </xf>
    <xf numFmtId="0" fontId="2" fillId="3" borderId="0" xfId="0" applyFont="1" applyFill="1" applyBorder="1" applyAlignment="1">
      <alignment horizontal="left" vertical="top"/>
    </xf>
    <xf numFmtId="0" fontId="10" fillId="3" borderId="0" xfId="1" applyFont="1" applyFill="1" applyBorder="1" applyAlignment="1">
      <alignment horizontal="left"/>
    </xf>
    <xf numFmtId="0" fontId="6" fillId="3" borderId="0" xfId="0" applyFont="1" applyFill="1" applyBorder="1" applyAlignment="1">
      <alignment horizontal="center"/>
    </xf>
    <xf numFmtId="0" fontId="4" fillId="3" borderId="0" xfId="0" applyFont="1" applyFill="1" applyBorder="1" applyAlignment="1">
      <alignment horizontal="left" vertical="top"/>
    </xf>
    <xf numFmtId="0" fontId="1" fillId="3" borderId="0" xfId="0" applyFont="1" applyFill="1" applyBorder="1" applyAlignment="1">
      <alignment horizontal="right" vertical="top" wrapText="1"/>
    </xf>
    <xf numFmtId="0" fontId="4" fillId="3" borderId="0" xfId="0" applyFont="1" applyFill="1" applyBorder="1" applyAlignment="1">
      <alignment horizontal="left" vertical="top"/>
    </xf>
    <xf numFmtId="0" fontId="10" fillId="3" borderId="0" xfId="1" applyFont="1" applyFill="1" applyBorder="1" applyAlignment="1">
      <alignment horizontal="left"/>
    </xf>
    <xf numFmtId="0" fontId="0" fillId="0" borderId="0" xfId="0" applyNumberFormat="1"/>
    <xf numFmtId="0" fontId="0" fillId="0" borderId="0" xfId="0" applyAlignment="1">
      <alignment horizontal="right"/>
    </xf>
    <xf numFmtId="0" fontId="0" fillId="3" borderId="0" xfId="0" applyFont="1" applyFill="1" applyBorder="1" applyAlignment="1">
      <alignment horizontal="left" vertical="top"/>
    </xf>
    <xf numFmtId="0" fontId="4" fillId="3" borderId="2" xfId="0" applyFont="1" applyFill="1" applyBorder="1" applyAlignment="1">
      <alignment horizontal="center" vertical="top"/>
    </xf>
    <xf numFmtId="0" fontId="2" fillId="3" borderId="0" xfId="0" applyFont="1" applyFill="1" applyBorder="1" applyAlignment="1">
      <alignment horizontal="left" vertical="center" wrapText="1"/>
    </xf>
    <xf numFmtId="0" fontId="0" fillId="3" borderId="0" xfId="0" applyFill="1" applyBorder="1" applyAlignment="1" applyProtection="1">
      <alignment horizontal="center"/>
    </xf>
    <xf numFmtId="0" fontId="4" fillId="3" borderId="2" xfId="0" applyFont="1" applyFill="1" applyBorder="1" applyAlignment="1">
      <alignment horizontal="center" vertical="center"/>
    </xf>
    <xf numFmtId="0" fontId="19" fillId="8" borderId="12" xfId="2" applyBorder="1"/>
    <xf numFmtId="0" fontId="19" fillId="8" borderId="12" xfId="2" applyBorder="1" applyAlignment="1" applyProtection="1">
      <alignment horizontal="center"/>
      <protection locked="0"/>
    </xf>
    <xf numFmtId="0" fontId="19" fillId="8" borderId="12" xfId="2" applyBorder="1" applyAlignment="1" applyProtection="1">
      <alignment horizontal="center" vertical="top" wrapText="1"/>
      <protection locked="0"/>
    </xf>
    <xf numFmtId="0" fontId="19" fillId="8" borderId="12" xfId="2" applyBorder="1" applyAlignment="1" applyProtection="1">
      <alignment horizontal="center" vertical="center"/>
      <protection locked="0"/>
    </xf>
    <xf numFmtId="0" fontId="0" fillId="3" borderId="0" xfId="0" applyFont="1" applyFill="1" applyBorder="1" applyAlignment="1">
      <alignment vertical="top" wrapText="1"/>
    </xf>
    <xf numFmtId="0" fontId="19" fillId="8" borderId="12" xfId="2" applyBorder="1" applyAlignment="1" applyProtection="1">
      <alignment horizontal="center" vertical="top"/>
      <protection locked="0"/>
    </xf>
    <xf numFmtId="0" fontId="5" fillId="3" borderId="0" xfId="0" applyFont="1" applyFill="1" applyBorder="1" applyAlignment="1">
      <alignment horizontal="center" vertical="top"/>
    </xf>
    <xf numFmtId="0" fontId="4" fillId="3" borderId="0" xfId="0" applyFont="1" applyFill="1" applyBorder="1" applyAlignment="1">
      <alignment horizontal="center" vertical="top"/>
    </xf>
    <xf numFmtId="0" fontId="4" fillId="3" borderId="2" xfId="0" applyFont="1" applyFill="1" applyBorder="1" applyAlignment="1">
      <alignment horizontal="left" vertical="top"/>
    </xf>
    <xf numFmtId="0" fontId="5" fillId="3" borderId="2" xfId="0" applyFont="1" applyFill="1" applyBorder="1" applyAlignment="1">
      <alignment horizontal="center" vertical="top"/>
    </xf>
    <xf numFmtId="0" fontId="5" fillId="3" borderId="2" xfId="0" applyFont="1" applyFill="1" applyBorder="1" applyAlignment="1">
      <alignment horizontal="center"/>
    </xf>
    <xf numFmtId="0" fontId="18" fillId="3" borderId="0" xfId="0" applyFont="1" applyFill="1" applyBorder="1" applyAlignment="1" applyProtection="1">
      <alignment vertical="top" wrapText="1"/>
    </xf>
    <xf numFmtId="0" fontId="0" fillId="4" borderId="2" xfId="0" applyFill="1" applyBorder="1" applyAlignment="1">
      <alignment horizontal="center" vertical="top" wrapText="1"/>
    </xf>
    <xf numFmtId="2" fontId="0" fillId="4" borderId="2" xfId="0" applyNumberFormat="1" applyFill="1" applyBorder="1" applyAlignment="1">
      <alignment horizontal="center"/>
    </xf>
    <xf numFmtId="177" fontId="0" fillId="4" borderId="2" xfId="0" applyNumberFormat="1" applyFill="1" applyBorder="1" applyAlignment="1">
      <alignment horizontal="center"/>
    </xf>
    <xf numFmtId="0" fontId="20" fillId="5" borderId="0" xfId="0" applyFont="1" applyFill="1" applyBorder="1" applyAlignment="1" applyProtection="1">
      <alignment horizontal="center"/>
    </xf>
    <xf numFmtId="0" fontId="0" fillId="4" borderId="2" xfId="0" applyFill="1" applyBorder="1"/>
    <xf numFmtId="0" fontId="20" fillId="7" borderId="0" xfId="0" applyFont="1" applyFill="1" applyBorder="1" applyAlignment="1">
      <alignment horizontal="center" vertical="top"/>
    </xf>
    <xf numFmtId="0" fontId="10" fillId="3" borderId="0" xfId="1" applyFont="1" applyFill="1" applyBorder="1" applyAlignment="1">
      <alignment horizontal="left"/>
    </xf>
    <xf numFmtId="176" fontId="2" fillId="3" borderId="0" xfId="0" applyNumberFormat="1" applyFont="1" applyFill="1" applyBorder="1" applyAlignment="1">
      <alignment horizontal="right" vertical="top"/>
    </xf>
    <xf numFmtId="0" fontId="4" fillId="3" borderId="0" xfId="0" applyFont="1" applyFill="1" applyBorder="1" applyAlignment="1">
      <alignment horizontal="left" vertical="top" wrapText="1"/>
    </xf>
    <xf numFmtId="0" fontId="0" fillId="3" borderId="0" xfId="0" applyFont="1" applyFill="1" applyBorder="1" applyAlignment="1">
      <alignment horizontal="right" vertical="top"/>
    </xf>
    <xf numFmtId="0" fontId="0" fillId="6" borderId="0" xfId="0" applyFont="1" applyFill="1" applyBorder="1" applyAlignment="1" applyProtection="1">
      <alignment horizontal="left" vertical="top"/>
      <protection locked="0"/>
    </xf>
    <xf numFmtId="0" fontId="2" fillId="3" borderId="0" xfId="0" applyFont="1" applyFill="1" applyBorder="1" applyAlignment="1">
      <alignment horizontal="left" vertical="top"/>
    </xf>
    <xf numFmtId="0" fontId="2" fillId="3" borderId="0" xfId="0" applyFont="1" applyFill="1" applyBorder="1" applyAlignment="1" applyProtection="1">
      <alignment horizontal="left" vertical="top" wrapText="1"/>
    </xf>
    <xf numFmtId="0" fontId="10" fillId="3" borderId="0" xfId="1" applyFont="1" applyFill="1" applyBorder="1" applyAlignment="1">
      <alignment horizontal="left"/>
    </xf>
    <xf numFmtId="0" fontId="1" fillId="3" borderId="0" xfId="0" applyFont="1" applyFill="1" applyBorder="1" applyAlignment="1">
      <alignment horizontal="right"/>
    </xf>
    <xf numFmtId="0" fontId="0" fillId="4" borderId="3" xfId="0" applyFill="1" applyBorder="1" applyAlignment="1">
      <alignment horizontal="center"/>
    </xf>
    <xf numFmtId="0" fontId="0" fillId="4" borderId="4" xfId="0" applyFill="1" applyBorder="1" applyAlignment="1">
      <alignment horizontal="center"/>
    </xf>
    <xf numFmtId="0" fontId="4" fillId="3" borderId="0" xfId="0" applyFont="1" applyFill="1" applyBorder="1" applyAlignment="1">
      <alignment horizontal="left" vertical="top"/>
    </xf>
    <xf numFmtId="0" fontId="2" fillId="3" borderId="0" xfId="0" applyFont="1" applyFill="1" applyBorder="1" applyAlignment="1">
      <alignment horizontal="left" vertical="center" wrapText="1"/>
    </xf>
    <xf numFmtId="0" fontId="1" fillId="3" borderId="0" xfId="0" applyFont="1" applyFill="1" applyBorder="1" applyAlignment="1">
      <alignment horizontal="left"/>
    </xf>
    <xf numFmtId="0" fontId="0" fillId="3" borderId="3" xfId="0" applyFill="1" applyBorder="1" applyAlignment="1">
      <alignment horizontal="center"/>
    </xf>
    <xf numFmtId="0" fontId="0" fillId="3" borderId="4" xfId="0" applyFill="1" applyBorder="1" applyAlignment="1">
      <alignment horizontal="center"/>
    </xf>
    <xf numFmtId="0" fontId="5" fillId="3" borderId="3" xfId="0" applyFont="1" applyFill="1" applyBorder="1" applyAlignment="1">
      <alignment horizontal="center" vertical="top"/>
    </xf>
    <xf numFmtId="0" fontId="5" fillId="3" borderId="4" xfId="0" applyFont="1" applyFill="1" applyBorder="1" applyAlignment="1">
      <alignment horizontal="center" vertical="top"/>
    </xf>
    <xf numFmtId="0" fontId="1" fillId="3" borderId="0" xfId="0" applyFont="1" applyFill="1" applyBorder="1" applyAlignment="1">
      <alignment horizontal="center"/>
    </xf>
    <xf numFmtId="0" fontId="3" fillId="3" borderId="1" xfId="0" applyFont="1" applyFill="1" applyBorder="1" applyAlignment="1">
      <alignment horizontal="left"/>
    </xf>
    <xf numFmtId="0" fontId="0" fillId="3" borderId="0" xfId="0" applyFill="1" applyBorder="1" applyAlignment="1">
      <alignment horizontal="left"/>
    </xf>
    <xf numFmtId="0" fontId="4" fillId="3" borderId="3" xfId="0" applyFont="1" applyFill="1" applyBorder="1" applyAlignment="1">
      <alignment vertical="center"/>
    </xf>
    <xf numFmtId="0" fontId="4" fillId="3" borderId="4" xfId="0" applyFont="1" applyFill="1" applyBorder="1" applyAlignment="1">
      <alignment vertical="center"/>
    </xf>
    <xf numFmtId="0" fontId="2" fillId="3" borderId="0" xfId="0" applyFont="1" applyFill="1" applyAlignment="1">
      <alignment horizontal="left" vertical="top"/>
    </xf>
    <xf numFmtId="0" fontId="2" fillId="3" borderId="0" xfId="0" applyFont="1" applyFill="1" applyBorder="1" applyAlignment="1">
      <alignment horizontal="right" vertical="top"/>
    </xf>
    <xf numFmtId="0" fontId="4" fillId="3" borderId="0" xfId="0" applyNumberFormat="1" applyFont="1" applyFill="1" applyBorder="1" applyAlignment="1">
      <alignment horizontal="left" vertical="top" wrapText="1"/>
    </xf>
    <xf numFmtId="0" fontId="0" fillId="3" borderId="0" xfId="0" applyFill="1" applyBorder="1" applyAlignment="1">
      <alignment horizontal="right" vertical="top"/>
    </xf>
    <xf numFmtId="0" fontId="0" fillId="4" borderId="0" xfId="0" applyFont="1" applyFill="1" applyBorder="1" applyAlignment="1">
      <alignment horizontal="center" vertical="top" wrapText="1"/>
    </xf>
    <xf numFmtId="0" fontId="0" fillId="3" borderId="0" xfId="0" applyFont="1" applyFill="1" applyBorder="1" applyAlignment="1">
      <alignment horizontal="right"/>
    </xf>
    <xf numFmtId="0" fontId="0" fillId="3" borderId="0" xfId="0" applyNumberFormat="1" applyFont="1" applyFill="1" applyBorder="1" applyAlignment="1">
      <alignment horizontal="right" vertical="top"/>
    </xf>
    <xf numFmtId="178" fontId="2" fillId="3" borderId="1" xfId="0" applyNumberFormat="1" applyFont="1" applyFill="1" applyBorder="1" applyAlignment="1">
      <alignment horizontal="center"/>
    </xf>
    <xf numFmtId="178" fontId="2" fillId="3" borderId="11" xfId="0" applyNumberFormat="1" applyFont="1" applyFill="1" applyBorder="1" applyAlignment="1">
      <alignment horizontal="center"/>
    </xf>
    <xf numFmtId="178" fontId="2" fillId="3" borderId="0" xfId="0" applyNumberFormat="1" applyFont="1" applyFill="1" applyBorder="1" applyAlignment="1">
      <alignment horizontal="center"/>
    </xf>
    <xf numFmtId="178" fontId="2" fillId="3" borderId="9" xfId="0" applyNumberFormat="1" applyFont="1" applyFill="1" applyBorder="1" applyAlignment="1">
      <alignment horizontal="center"/>
    </xf>
    <xf numFmtId="0" fontId="3" fillId="3" borderId="1" xfId="0" applyFont="1" applyFill="1" applyBorder="1" applyAlignment="1">
      <alignment horizontal="left" vertical="top"/>
    </xf>
    <xf numFmtId="0" fontId="19" fillId="8" borderId="12" xfId="2" applyBorder="1" applyAlignment="1" applyProtection="1">
      <alignment horizontal="center"/>
      <protection locked="0"/>
    </xf>
    <xf numFmtId="0" fontId="1" fillId="3" borderId="0" xfId="0" applyFont="1" applyFill="1" applyBorder="1" applyAlignment="1">
      <alignment horizontal="right" vertical="top" wrapText="1"/>
    </xf>
    <xf numFmtId="0" fontId="19" fillId="8" borderId="13" xfId="2" applyBorder="1" applyAlignment="1" applyProtection="1">
      <alignment horizontal="center"/>
      <protection locked="0"/>
    </xf>
    <xf numFmtId="0" fontId="19" fillId="8" borderId="14" xfId="2" applyBorder="1" applyAlignment="1" applyProtection="1">
      <alignment horizontal="center"/>
      <protection locked="0"/>
    </xf>
    <xf numFmtId="0" fontId="19" fillId="8" borderId="15" xfId="2" applyBorder="1" applyAlignment="1" applyProtection="1">
      <alignment horizontal="center"/>
      <protection locked="0"/>
    </xf>
    <xf numFmtId="176" fontId="2" fillId="3" borderId="0" xfId="0" applyNumberFormat="1" applyFont="1" applyFill="1" applyBorder="1" applyAlignment="1">
      <alignment horizontal="right" vertical="top"/>
    </xf>
    <xf numFmtId="0" fontId="11" fillId="3" borderId="0" xfId="0" applyFont="1" applyFill="1" applyBorder="1" applyAlignment="1">
      <alignment horizontal="left"/>
    </xf>
    <xf numFmtId="0" fontId="1" fillId="3" borderId="0" xfId="0" applyFont="1" applyFill="1" applyBorder="1" applyAlignment="1">
      <alignment horizontal="right" vertical="top"/>
    </xf>
    <xf numFmtId="0" fontId="6" fillId="3" borderId="0" xfId="0" applyFont="1" applyFill="1" applyBorder="1" applyAlignment="1">
      <alignment horizontal="left"/>
    </xf>
    <xf numFmtId="0" fontId="11" fillId="3" borderId="0" xfId="1" applyFont="1" applyFill="1" applyBorder="1" applyAlignment="1">
      <alignment horizontal="left" vertical="top" wrapText="1"/>
    </xf>
    <xf numFmtId="0" fontId="5" fillId="3" borderId="2" xfId="0" applyFont="1" applyFill="1" applyBorder="1" applyAlignment="1">
      <alignment horizontal="center" vertical="top"/>
    </xf>
    <xf numFmtId="0" fontId="4" fillId="3" borderId="2" xfId="0" applyFont="1" applyFill="1" applyBorder="1" applyAlignment="1">
      <alignment horizontal="center" vertical="top"/>
    </xf>
  </cellXfs>
  <cellStyles count="3">
    <cellStyle name="常规" xfId="0" builtinId="0"/>
    <cellStyle name="超链接" xfId="1" builtinId="8"/>
    <cellStyle name="计算" xfId="2" builtinId="22"/>
  </cellStyles>
  <dxfs count="2">
    <dxf>
      <font>
        <color rgb="FFC00000"/>
      </font>
      <fill>
        <patternFill>
          <bgColor rgb="FFFFC7CE"/>
        </patternFill>
      </fill>
    </dxf>
    <dxf>
      <font>
        <color rgb="FF9C0006"/>
      </font>
      <fill>
        <patternFill>
          <bgColor rgb="FFFFC7CE"/>
        </patternFill>
      </fill>
    </dxf>
  </dxfs>
  <tableStyles count="0" defaultTableStyle="TableStyleMedium2" defaultPivotStyle="PivotStyleLight16"/>
  <colors>
    <mruColors>
      <color rgb="FFFFC7CE"/>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20.png"/><Relationship Id="rId18" Type="http://schemas.openxmlformats.org/officeDocument/2006/relationships/image" Target="../media/image25.png"/><Relationship Id="rId3" Type="http://schemas.openxmlformats.org/officeDocument/2006/relationships/image" Target="../media/image10.png"/><Relationship Id="rId7" Type="http://schemas.openxmlformats.org/officeDocument/2006/relationships/image" Target="../media/image14.png"/><Relationship Id="rId12" Type="http://schemas.openxmlformats.org/officeDocument/2006/relationships/image" Target="../media/image19.png"/><Relationship Id="rId17" Type="http://schemas.openxmlformats.org/officeDocument/2006/relationships/image" Target="../media/image24.png"/><Relationship Id="rId2" Type="http://schemas.openxmlformats.org/officeDocument/2006/relationships/image" Target="../media/image9.png"/><Relationship Id="rId16" Type="http://schemas.openxmlformats.org/officeDocument/2006/relationships/image" Target="../media/image23.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jpeg"/><Relationship Id="rId5" Type="http://schemas.openxmlformats.org/officeDocument/2006/relationships/image" Target="../media/image12.png"/><Relationship Id="rId15" Type="http://schemas.openxmlformats.org/officeDocument/2006/relationships/image" Target="../media/image2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 Id="rId14" Type="http://schemas.openxmlformats.org/officeDocument/2006/relationships/image" Target="../media/image2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7" Type="http://schemas.openxmlformats.org/officeDocument/2006/relationships/image" Target="../media/image7.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276225</xdr:colOff>
          <xdr:row>188</xdr:row>
          <xdr:rowOff>95250</xdr:rowOff>
        </xdr:from>
        <xdr:to>
          <xdr:col>8</xdr:col>
          <xdr:colOff>447675</xdr:colOff>
          <xdr:row>198</xdr:row>
          <xdr:rowOff>133350</xdr:rowOff>
        </xdr:to>
        <xdr:sp macro="" textlink="">
          <xdr:nvSpPr>
            <xdr:cNvPr id="3087" name="Object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xdr:twoCellAnchor editAs="oneCell">
    <xdr:from>
      <xdr:col>1</xdr:col>
      <xdr:colOff>542925</xdr:colOff>
      <xdr:row>1</xdr:row>
      <xdr:rowOff>74546</xdr:rowOff>
    </xdr:from>
    <xdr:to>
      <xdr:col>5</xdr:col>
      <xdr:colOff>85725</xdr:colOff>
      <xdr:row>3</xdr:row>
      <xdr:rowOff>89604</xdr:rowOff>
    </xdr:to>
    <xdr:pic>
      <xdr:nvPicPr>
        <xdr:cNvPr id="4" name="Picture 3" descr="Image result for texas instruments logo"/>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35326" b="29892"/>
        <a:stretch/>
      </xdr:blipFill>
      <xdr:spPr bwMode="auto">
        <a:xfrm>
          <a:off x="1152525" y="274571"/>
          <a:ext cx="2066925" cy="3960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7</xdr:col>
          <xdr:colOff>438150</xdr:colOff>
          <xdr:row>238</xdr:row>
          <xdr:rowOff>114300</xdr:rowOff>
        </xdr:from>
        <xdr:to>
          <xdr:col>10</xdr:col>
          <xdr:colOff>28575</xdr:colOff>
          <xdr:row>244</xdr:row>
          <xdr:rowOff>0</xdr:rowOff>
        </xdr:to>
        <xdr:sp macro="" textlink="">
          <xdr:nvSpPr>
            <xdr:cNvPr id="3099" name="Object 27" hidden="1">
              <a:extLst>
                <a:ext uri="{63B3BB69-23CF-44E3-9099-C40C66FF867C}">
                  <a14:compatExt spid="_x0000_s3099"/>
                </a:ext>
              </a:extLst>
            </xdr:cNvPr>
            <xdr:cNvSpPr/>
          </xdr:nvSpPr>
          <xdr:spPr>
            <a:xfrm>
              <a:off x="0" y="0"/>
              <a:ext cx="0" cy="0"/>
            </a:xfrm>
            <a:prstGeom prst="rect">
              <a:avLst/>
            </a:prstGeom>
          </xdr:spPr>
        </xdr:sp>
        <xdr:clientData/>
      </xdr:twoCellAnchor>
    </mc:Choice>
    <mc:Fallback/>
  </mc:AlternateContent>
  <xdr:twoCellAnchor editAs="oneCell">
    <xdr:from>
      <xdr:col>2</xdr:col>
      <xdr:colOff>476250</xdr:colOff>
      <xdr:row>242</xdr:row>
      <xdr:rowOff>85726</xdr:rowOff>
    </xdr:from>
    <xdr:to>
      <xdr:col>5</xdr:col>
      <xdr:colOff>428625</xdr:colOff>
      <xdr:row>244</xdr:row>
      <xdr:rowOff>106884</xdr:rowOff>
    </xdr:to>
    <xdr:pic>
      <xdr:nvPicPr>
        <xdr:cNvPr id="11" name="equationview" descr="http://latex.codecogs.com/png.latex?%5Cdpi%7B300%7D%20f_%7BIN_%7B-3dB%7D%7D%20%3D%20%5Cfrac%7B1%7D%7B2%20%5Cpi%20R_%7BIN%7D%20C_%7BIN%7D%7D%20%3D"/>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5850" y="24879301"/>
          <a:ext cx="1866900" cy="4021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457200</xdr:colOff>
      <xdr:row>239</xdr:row>
      <xdr:rowOff>11231</xdr:rowOff>
    </xdr:from>
    <xdr:to>
      <xdr:col>5</xdr:col>
      <xdr:colOff>447675</xdr:colOff>
      <xdr:row>240</xdr:row>
      <xdr:rowOff>10591</xdr:rowOff>
    </xdr:to>
    <xdr:pic>
      <xdr:nvPicPr>
        <xdr:cNvPr id="12" name="equationview" descr="http://latex.codecogs.com/png.latex?%5Cdpi%7B300%7D%20C_%7BIN%7D%20%3D"/>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409825" y="24423806"/>
          <a:ext cx="561975" cy="1803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466725</xdr:colOff>
      <xdr:row>291</xdr:row>
      <xdr:rowOff>180975</xdr:rowOff>
    </xdr:from>
    <xdr:to>
      <xdr:col>3</xdr:col>
      <xdr:colOff>409575</xdr:colOff>
      <xdr:row>292</xdr:row>
      <xdr:rowOff>168992</xdr:rowOff>
    </xdr:to>
    <xdr:pic>
      <xdr:nvPicPr>
        <xdr:cNvPr id="14" name="equationview" descr="http://latex.codecogs.com/png.latex?%5Cdpi%7B300%7D%20D_%7BMAX%7D%20%3D"/>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76325" y="33442275"/>
          <a:ext cx="790575" cy="1785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533400</xdr:colOff>
      <xdr:row>203</xdr:row>
      <xdr:rowOff>9526</xdr:rowOff>
    </xdr:from>
    <xdr:to>
      <xdr:col>6</xdr:col>
      <xdr:colOff>809445</xdr:colOff>
      <xdr:row>204</xdr:row>
      <xdr:rowOff>28576</xdr:rowOff>
    </xdr:to>
    <xdr:pic>
      <xdr:nvPicPr>
        <xdr:cNvPr id="21" name="equationview" descr="http://latex.codecogs.com/png.latex?%5Cdpi%7B300%7D%20P_%7BOUT_%7Bpeak%7D%7D%20%3D"/>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057525" y="19526251"/>
          <a:ext cx="885645" cy="209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247650</xdr:colOff>
      <xdr:row>203</xdr:row>
      <xdr:rowOff>0</xdr:rowOff>
    </xdr:from>
    <xdr:to>
      <xdr:col>3</xdr:col>
      <xdr:colOff>409575</xdr:colOff>
      <xdr:row>204</xdr:row>
      <xdr:rowOff>300</xdr:rowOff>
    </xdr:to>
    <xdr:pic>
      <xdr:nvPicPr>
        <xdr:cNvPr id="23" name="equationview" descr="http://latex.codecogs.com/png.latex?%5Cdpi%7B300%7D%20R_%7BLOAD_%7Bmin%7D%7D%20%3D"/>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857250" y="18049875"/>
          <a:ext cx="1009650" cy="190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100636</xdr:colOff>
      <xdr:row>215</xdr:row>
      <xdr:rowOff>0</xdr:rowOff>
    </xdr:from>
    <xdr:to>
      <xdr:col>3</xdr:col>
      <xdr:colOff>457200</xdr:colOff>
      <xdr:row>216</xdr:row>
      <xdr:rowOff>20151</xdr:rowOff>
    </xdr:to>
    <xdr:pic>
      <xdr:nvPicPr>
        <xdr:cNvPr id="24" name="equationview" descr="http://latex.codecogs.com/png.latex?%5Cdpi%7B300%7D%20V_%7BOUT_%7Bripple_%7Bmax%7D%7D%7D%20%3D"/>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710236" y="19383375"/>
          <a:ext cx="1204289" cy="2106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391785</xdr:colOff>
      <xdr:row>209</xdr:row>
      <xdr:rowOff>0</xdr:rowOff>
    </xdr:from>
    <xdr:to>
      <xdr:col>3</xdr:col>
      <xdr:colOff>428625</xdr:colOff>
      <xdr:row>210</xdr:row>
      <xdr:rowOff>28575</xdr:rowOff>
    </xdr:to>
    <xdr:pic>
      <xdr:nvPicPr>
        <xdr:cNvPr id="27" name="equationview" descr="http://latex.codecogs.com/png.latex?%5Cdpi%7B300%7D%20I_%7BOUT_%7Bpeak%7D%7D%20%3D"/>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01385" y="21288375"/>
          <a:ext cx="884565" cy="219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295275</xdr:colOff>
      <xdr:row>209</xdr:row>
      <xdr:rowOff>0</xdr:rowOff>
    </xdr:from>
    <xdr:to>
      <xdr:col>6</xdr:col>
      <xdr:colOff>809625</xdr:colOff>
      <xdr:row>209</xdr:row>
      <xdr:rowOff>173971</xdr:rowOff>
    </xdr:to>
    <xdr:pic>
      <xdr:nvPicPr>
        <xdr:cNvPr id="29" name="equationview" descr="http://latex.codecogs.com/png.latex?%5Cdpi%7B300%7D%20f_%7BSW%7D%20%3D"/>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3429000" y="20278725"/>
          <a:ext cx="514350" cy="173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581025</xdr:colOff>
      <xdr:row>221</xdr:row>
      <xdr:rowOff>35876</xdr:rowOff>
    </xdr:from>
    <xdr:to>
      <xdr:col>6</xdr:col>
      <xdr:colOff>819150</xdr:colOff>
      <xdr:row>223</xdr:row>
      <xdr:rowOff>152399</xdr:rowOff>
    </xdr:to>
    <xdr:pic>
      <xdr:nvPicPr>
        <xdr:cNvPr id="30" name="equationview" descr="http://latex.codecogs.com/png.latex?%5Cdpi%7B300%7D%20C_%7BBULK_%7Bmin%7D%7D%20%3D%20%5Cfrac%7BI_%7BOUT_%7Bpeak%7D%7D%5Ctimes%20D_%7BMAX%7D%7D%7Bf_%7BSW%7D%20%5Ctimes%20V_%7BIN_%7Bripple%7D%7D%7D%20%3D"/>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190625" y="22657751"/>
          <a:ext cx="2762250" cy="4975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3</xdr:col>
          <xdr:colOff>409575</xdr:colOff>
          <xdr:row>181</xdr:row>
          <xdr:rowOff>9525</xdr:rowOff>
        </xdr:from>
        <xdr:to>
          <xdr:col>7</xdr:col>
          <xdr:colOff>590550</xdr:colOff>
          <xdr:row>186</xdr:row>
          <xdr:rowOff>57150</xdr:rowOff>
        </xdr:to>
        <xdr:sp macro="" textlink="">
          <xdr:nvSpPr>
            <xdr:cNvPr id="3110" name="Object 38" hidden="1">
              <a:extLst>
                <a:ext uri="{63B3BB69-23CF-44E3-9099-C40C66FF867C}">
                  <a14:compatExt spid="_x0000_s3110"/>
                </a:ext>
              </a:extLst>
            </xdr:cNvPr>
            <xdr:cNvSpPr/>
          </xdr:nvSpPr>
          <xdr:spPr>
            <a:xfrm>
              <a:off x="0" y="0"/>
              <a:ext cx="0" cy="0"/>
            </a:xfrm>
            <a:prstGeom prst="rect">
              <a:avLst/>
            </a:prstGeom>
          </xdr:spPr>
        </xdr:sp>
        <xdr:clientData/>
      </xdr:twoCellAnchor>
    </mc:Choice>
    <mc:Fallback/>
  </mc:AlternateContent>
  <xdr:twoCellAnchor editAs="oneCell">
    <xdr:from>
      <xdr:col>4</xdr:col>
      <xdr:colOff>198120</xdr:colOff>
      <xdr:row>252</xdr:row>
      <xdr:rowOff>37124</xdr:rowOff>
    </xdr:from>
    <xdr:to>
      <xdr:col>7</xdr:col>
      <xdr:colOff>647700</xdr:colOff>
      <xdr:row>262</xdr:row>
      <xdr:rowOff>121920</xdr:rowOff>
    </xdr:to>
    <xdr:pic>
      <xdr:nvPicPr>
        <xdr:cNvPr id="28" name="Picture 27" descr="http://www.mouser.com/images/microsites/Coilcraft-VER2923-current.pn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796540" y="35012924"/>
          <a:ext cx="2529840" cy="19135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489830</xdr:colOff>
      <xdr:row>45</xdr:row>
      <xdr:rowOff>109743</xdr:rowOff>
    </xdr:from>
    <xdr:ext cx="1139607" cy="342786"/>
    <xdr:sp macro="" textlink="">
      <xdr:nvSpPr>
        <xdr:cNvPr id="36" name="TextBox 35"/>
        <xdr:cNvSpPr txBox="1"/>
      </xdr:nvSpPr>
      <xdr:spPr>
        <a:xfrm>
          <a:off x="1099430" y="6624843"/>
          <a:ext cx="113960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b="1"/>
            <a:t>2-Channel</a:t>
          </a:r>
        </a:p>
        <a:p>
          <a:pPr algn="ctr"/>
          <a:r>
            <a:rPr lang="en-US" sz="800" b="1"/>
            <a:t>Bridge</a:t>
          </a:r>
          <a:r>
            <a:rPr lang="en-US" sz="800" b="1" baseline="0"/>
            <a:t>-Tied Load (BTL)</a:t>
          </a:r>
          <a:endParaRPr lang="en-US" sz="1000" b="1"/>
        </a:p>
      </xdr:txBody>
    </xdr:sp>
    <xdr:clientData/>
  </xdr:oneCellAnchor>
  <xdr:oneCellAnchor>
    <xdr:from>
      <xdr:col>7</xdr:col>
      <xdr:colOff>605945</xdr:colOff>
      <xdr:row>45</xdr:row>
      <xdr:rowOff>69241</xdr:rowOff>
    </xdr:from>
    <xdr:ext cx="1537087" cy="468013"/>
    <xdr:sp macro="" textlink="">
      <xdr:nvSpPr>
        <xdr:cNvPr id="37" name="TextBox 36"/>
        <xdr:cNvSpPr txBox="1"/>
      </xdr:nvSpPr>
      <xdr:spPr>
        <a:xfrm>
          <a:off x="5284625" y="6576721"/>
          <a:ext cx="153708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b="1"/>
            <a:t>1-Channel</a:t>
          </a:r>
        </a:p>
        <a:p>
          <a:pPr algn="ctr"/>
          <a:r>
            <a:rPr lang="en-US" sz="800" b="1"/>
            <a:t>Parallel Bridge</a:t>
          </a:r>
          <a:r>
            <a:rPr lang="en-US" sz="800" b="1" baseline="0"/>
            <a:t>-Tied Load (PBTL)</a:t>
          </a:r>
        </a:p>
        <a:p>
          <a:pPr algn="ctr"/>
          <a:r>
            <a:rPr lang="en-US" sz="800" b="1" baseline="0"/>
            <a:t>Post Filter, Four Inductors</a:t>
          </a:r>
          <a:endParaRPr lang="en-US" sz="1000" b="1"/>
        </a:p>
      </xdr:txBody>
    </xdr:sp>
    <xdr:clientData/>
  </xdr:oneCellAnchor>
  <xdr:oneCellAnchor>
    <xdr:from>
      <xdr:col>5</xdr:col>
      <xdr:colOff>560225</xdr:colOff>
      <xdr:row>45</xdr:row>
      <xdr:rowOff>84481</xdr:rowOff>
    </xdr:from>
    <xdr:ext cx="1537087" cy="468013"/>
    <xdr:sp macro="" textlink="">
      <xdr:nvSpPr>
        <xdr:cNvPr id="38" name="TextBox 37"/>
        <xdr:cNvSpPr txBox="1"/>
      </xdr:nvSpPr>
      <xdr:spPr>
        <a:xfrm>
          <a:off x="3745385" y="6591961"/>
          <a:ext cx="1537087"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b="1"/>
            <a:t>1-Channel</a:t>
          </a:r>
        </a:p>
        <a:p>
          <a:pPr algn="ctr"/>
          <a:r>
            <a:rPr lang="en-US" sz="800" b="1"/>
            <a:t>Parallel Bridge</a:t>
          </a:r>
          <a:r>
            <a:rPr lang="en-US" sz="800" b="1" baseline="0"/>
            <a:t>-Tied Load (PBTL)</a:t>
          </a:r>
        </a:p>
        <a:p>
          <a:pPr algn="ctr"/>
          <a:r>
            <a:rPr lang="en-US" sz="800" b="1" baseline="0"/>
            <a:t>Pre-Filter, Two Inductors </a:t>
          </a:r>
          <a:endParaRPr lang="en-US" sz="1000" b="1"/>
        </a:p>
      </xdr:txBody>
    </xdr:sp>
    <xdr:clientData/>
  </xdr:oneCellAnchor>
  <xdr:oneCellAnchor>
    <xdr:from>
      <xdr:col>3</xdr:col>
      <xdr:colOff>356480</xdr:colOff>
      <xdr:row>45</xdr:row>
      <xdr:rowOff>119268</xdr:rowOff>
    </xdr:from>
    <xdr:ext cx="1139607" cy="342786"/>
    <xdr:sp macro="" textlink="">
      <xdr:nvSpPr>
        <xdr:cNvPr id="26" name="TextBox 25"/>
        <xdr:cNvSpPr txBox="1"/>
      </xdr:nvSpPr>
      <xdr:spPr>
        <a:xfrm>
          <a:off x="2423405" y="6634368"/>
          <a:ext cx="113960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b="1"/>
            <a:t>1-Channel</a:t>
          </a:r>
        </a:p>
        <a:p>
          <a:pPr algn="ctr"/>
          <a:r>
            <a:rPr lang="en-US" sz="800" b="1"/>
            <a:t>Bridge</a:t>
          </a:r>
          <a:r>
            <a:rPr lang="en-US" sz="800" b="1" baseline="0"/>
            <a:t>-Tied Load (BTL)</a:t>
          </a:r>
          <a:endParaRPr lang="en-US" sz="1000" b="1"/>
        </a:p>
      </xdr:txBody>
    </xdr:sp>
    <xdr:clientData/>
  </xdr:oneCellAnchor>
  <mc:AlternateContent xmlns:mc="http://schemas.openxmlformats.org/markup-compatibility/2006">
    <mc:Choice xmlns:a14="http://schemas.microsoft.com/office/drawing/2010/main" Requires="a14">
      <xdr:twoCellAnchor editAs="oneCell">
        <xdr:from>
          <xdr:col>3</xdr:col>
          <xdr:colOff>438150</xdr:colOff>
          <xdr:row>39</xdr:row>
          <xdr:rowOff>123825</xdr:rowOff>
        </xdr:from>
        <xdr:to>
          <xdr:col>5</xdr:col>
          <xdr:colOff>514350</xdr:colOff>
          <xdr:row>44</xdr:row>
          <xdr:rowOff>133350</xdr:rowOff>
        </xdr:to>
        <xdr:sp macro="" textlink="">
          <xdr:nvSpPr>
            <xdr:cNvPr id="3150" name="Object 78" hidden="1">
              <a:extLst>
                <a:ext uri="{63B3BB69-23CF-44E3-9099-C40C66FF867C}">
                  <a14:compatExt spid="_x0000_s31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523875</xdr:colOff>
          <xdr:row>39</xdr:row>
          <xdr:rowOff>123825</xdr:rowOff>
        </xdr:from>
        <xdr:to>
          <xdr:col>3</xdr:col>
          <xdr:colOff>200025</xdr:colOff>
          <xdr:row>45</xdr:row>
          <xdr:rowOff>66675</xdr:rowOff>
        </xdr:to>
        <xdr:sp macro="" textlink="">
          <xdr:nvSpPr>
            <xdr:cNvPr id="3151" name="Object 79" hidden="1">
              <a:extLst>
                <a:ext uri="{63B3BB69-23CF-44E3-9099-C40C66FF867C}">
                  <a14:compatExt spid="_x0000_s31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152400</xdr:colOff>
          <xdr:row>39</xdr:row>
          <xdr:rowOff>133350</xdr:rowOff>
        </xdr:from>
        <xdr:to>
          <xdr:col>7</xdr:col>
          <xdr:colOff>590550</xdr:colOff>
          <xdr:row>45</xdr:row>
          <xdr:rowOff>9525</xdr:rowOff>
        </xdr:to>
        <xdr:sp macro="" textlink="">
          <xdr:nvSpPr>
            <xdr:cNvPr id="3152" name="Object 80" hidden="1">
              <a:extLst>
                <a:ext uri="{63B3BB69-23CF-44E3-9099-C40C66FF867C}">
                  <a14:compatExt spid="_x0000_s31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85725</xdr:colOff>
          <xdr:row>39</xdr:row>
          <xdr:rowOff>123825</xdr:rowOff>
        </xdr:from>
        <xdr:to>
          <xdr:col>10</xdr:col>
          <xdr:colOff>0</xdr:colOff>
          <xdr:row>45</xdr:row>
          <xdr:rowOff>19050</xdr:rowOff>
        </xdr:to>
        <xdr:sp macro="" textlink="">
          <xdr:nvSpPr>
            <xdr:cNvPr id="3153" name="Object 81" hidden="1">
              <a:extLst>
                <a:ext uri="{63B3BB69-23CF-44E3-9099-C40C66FF867C}">
                  <a14:compatExt spid="_x0000_s3153"/>
                </a:ext>
              </a:extLst>
            </xdr:cNvPr>
            <xdr:cNvSpPr/>
          </xdr:nvSpPr>
          <xdr:spPr>
            <a:xfrm>
              <a:off x="0" y="0"/>
              <a:ext cx="0" cy="0"/>
            </a:xfrm>
            <a:prstGeom prst="rect">
              <a:avLst/>
            </a:prstGeom>
          </xdr:spPr>
        </xdr:sp>
        <xdr:clientData/>
      </xdr:twoCellAnchor>
    </mc:Choice>
    <mc:Fallback/>
  </mc:AlternateContent>
  <xdr:twoCellAnchor editAs="oneCell">
    <xdr:from>
      <xdr:col>5</xdr:col>
      <xdr:colOff>57149</xdr:colOff>
      <xdr:row>94</xdr:row>
      <xdr:rowOff>47625</xdr:rowOff>
    </xdr:from>
    <xdr:to>
      <xdr:col>10</xdr:col>
      <xdr:colOff>219075</xdr:colOff>
      <xdr:row>108</xdr:row>
      <xdr:rowOff>179359</xdr:rowOff>
    </xdr:to>
    <xdr:pic>
      <xdr:nvPicPr>
        <xdr:cNvPr id="2" name="Picture 1"/>
        <xdr:cNvPicPr>
          <a:picLocks noChangeAspect="1"/>
        </xdr:cNvPicPr>
      </xdr:nvPicPr>
      <xdr:blipFill>
        <a:blip xmlns:r="http://schemas.openxmlformats.org/officeDocument/2006/relationships" r:embed="rId12"/>
        <a:stretch>
          <a:fillRect/>
        </a:stretch>
      </xdr:blipFill>
      <xdr:spPr>
        <a:xfrm>
          <a:off x="3190874" y="16154400"/>
          <a:ext cx="3724276" cy="2808259"/>
        </a:xfrm>
        <a:prstGeom prst="rect">
          <a:avLst/>
        </a:prstGeom>
      </xdr:spPr>
    </xdr:pic>
    <xdr:clientData/>
  </xdr:twoCellAnchor>
  <xdr:oneCellAnchor>
    <xdr:from>
      <xdr:col>1</xdr:col>
      <xdr:colOff>466725</xdr:colOff>
      <xdr:row>97</xdr:row>
      <xdr:rowOff>0</xdr:rowOff>
    </xdr:from>
    <xdr:ext cx="2228559" cy="248851"/>
    <xdr:sp macro="" textlink="">
      <xdr:nvSpPr>
        <xdr:cNvPr id="3" name="TextBox 2"/>
        <xdr:cNvSpPr txBox="1"/>
      </xdr:nvSpPr>
      <xdr:spPr>
        <a:xfrm>
          <a:off x="1076325" y="16678275"/>
          <a:ext cx="222855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US" sz="1000" b="1"/>
            <a:t>High-Efficiency AD (HEAD) Modulation</a:t>
          </a:r>
        </a:p>
      </xdr:txBody>
    </xdr:sp>
    <xdr:clientData/>
  </xdr:oneCellAnchor>
  <xdr:oneCellAnchor>
    <xdr:from>
      <xdr:col>3</xdr:col>
      <xdr:colOff>238711</xdr:colOff>
      <xdr:row>103</xdr:row>
      <xdr:rowOff>0</xdr:rowOff>
    </xdr:from>
    <xdr:ext cx="999248" cy="248851"/>
    <xdr:sp macro="" textlink="">
      <xdr:nvSpPr>
        <xdr:cNvPr id="31" name="TextBox 30"/>
        <xdr:cNvSpPr txBox="1"/>
      </xdr:nvSpPr>
      <xdr:spPr>
        <a:xfrm>
          <a:off x="2305636" y="17821275"/>
          <a:ext cx="99924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r"/>
          <a:r>
            <a:rPr lang="en-US" sz="1000" b="1"/>
            <a:t>AD Modulation</a:t>
          </a:r>
        </a:p>
      </xdr:txBody>
    </xdr:sp>
    <xdr:clientData/>
  </xdr:oneCellAnchor>
  <xdr:twoCellAnchor editAs="oneCell">
    <xdr:from>
      <xdr:col>6</xdr:col>
      <xdr:colOff>714375</xdr:colOff>
      <xdr:row>115</xdr:row>
      <xdr:rowOff>161925</xdr:rowOff>
    </xdr:from>
    <xdr:to>
      <xdr:col>9</xdr:col>
      <xdr:colOff>552449</xdr:colOff>
      <xdr:row>124</xdr:row>
      <xdr:rowOff>3265</xdr:rowOff>
    </xdr:to>
    <xdr:pic>
      <xdr:nvPicPr>
        <xdr:cNvPr id="5" name="Picture 4"/>
        <xdr:cNvPicPr>
          <a:picLocks noChangeAspect="1"/>
        </xdr:cNvPicPr>
      </xdr:nvPicPr>
      <xdr:blipFill>
        <a:blip xmlns:r="http://schemas.openxmlformats.org/officeDocument/2006/relationships" r:embed="rId13"/>
        <a:stretch>
          <a:fillRect/>
        </a:stretch>
      </xdr:blipFill>
      <xdr:spPr>
        <a:xfrm>
          <a:off x="4457700" y="20326350"/>
          <a:ext cx="2076449" cy="1555840"/>
        </a:xfrm>
        <a:prstGeom prst="rect">
          <a:avLst/>
        </a:prstGeom>
      </xdr:spPr>
    </xdr:pic>
    <xdr:clientData/>
  </xdr:twoCellAnchor>
  <xdr:twoCellAnchor>
    <xdr:from>
      <xdr:col>12</xdr:col>
      <xdr:colOff>85725</xdr:colOff>
      <xdr:row>122</xdr:row>
      <xdr:rowOff>123825</xdr:rowOff>
    </xdr:from>
    <xdr:to>
      <xdr:col>12</xdr:col>
      <xdr:colOff>390525</xdr:colOff>
      <xdr:row>123</xdr:row>
      <xdr:rowOff>180975</xdr:rowOff>
    </xdr:to>
    <xdr:sp macro="" textlink="">
      <xdr:nvSpPr>
        <xdr:cNvPr id="34" name="Rectangle 33"/>
        <xdr:cNvSpPr/>
      </xdr:nvSpPr>
      <xdr:spPr>
        <a:xfrm>
          <a:off x="8001000" y="21050250"/>
          <a:ext cx="304800" cy="2476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333374</xdr:colOff>
      <xdr:row>138</xdr:row>
      <xdr:rowOff>133350</xdr:rowOff>
    </xdr:from>
    <xdr:to>
      <xdr:col>9</xdr:col>
      <xdr:colOff>498114</xdr:colOff>
      <xdr:row>144</xdr:row>
      <xdr:rowOff>66675</xdr:rowOff>
    </xdr:to>
    <xdr:pic>
      <xdr:nvPicPr>
        <xdr:cNvPr id="32" name="Picture 31"/>
        <xdr:cNvPicPr>
          <a:picLocks noChangeAspect="1"/>
        </xdr:cNvPicPr>
      </xdr:nvPicPr>
      <xdr:blipFill>
        <a:blip xmlns:r="http://schemas.openxmlformats.org/officeDocument/2006/relationships" r:embed="rId14"/>
        <a:stretch>
          <a:fillRect/>
        </a:stretch>
      </xdr:blipFill>
      <xdr:spPr>
        <a:xfrm>
          <a:off x="4076699" y="24955500"/>
          <a:ext cx="2403115" cy="1076325"/>
        </a:xfrm>
        <a:prstGeom prst="rect">
          <a:avLst/>
        </a:prstGeom>
      </xdr:spPr>
    </xdr:pic>
    <xdr:clientData/>
  </xdr:twoCellAnchor>
  <xdr:twoCellAnchor editAs="oneCell">
    <xdr:from>
      <xdr:col>2</xdr:col>
      <xdr:colOff>266700</xdr:colOff>
      <xdr:row>138</xdr:row>
      <xdr:rowOff>76201</xdr:rowOff>
    </xdr:from>
    <xdr:to>
      <xdr:col>5</xdr:col>
      <xdr:colOff>552450</xdr:colOff>
      <xdr:row>144</xdr:row>
      <xdr:rowOff>424</xdr:rowOff>
    </xdr:to>
    <xdr:pic>
      <xdr:nvPicPr>
        <xdr:cNvPr id="7" name="Picture 6"/>
        <xdr:cNvPicPr>
          <a:picLocks noChangeAspect="1"/>
        </xdr:cNvPicPr>
      </xdr:nvPicPr>
      <xdr:blipFill>
        <a:blip xmlns:r="http://schemas.openxmlformats.org/officeDocument/2006/relationships" r:embed="rId15"/>
        <a:stretch>
          <a:fillRect/>
        </a:stretch>
      </xdr:blipFill>
      <xdr:spPr>
        <a:xfrm>
          <a:off x="1485900" y="24898351"/>
          <a:ext cx="2200275" cy="1057698"/>
        </a:xfrm>
        <a:prstGeom prst="rect">
          <a:avLst/>
        </a:prstGeom>
      </xdr:spPr>
    </xdr:pic>
    <xdr:clientData/>
  </xdr:twoCellAnchor>
  <xdr:oneCellAnchor>
    <xdr:from>
      <xdr:col>3</xdr:col>
      <xdr:colOff>61010</xdr:colOff>
      <xdr:row>144</xdr:row>
      <xdr:rowOff>57150</xdr:rowOff>
    </xdr:from>
    <xdr:ext cx="1017586" cy="342786"/>
    <xdr:sp macro="" textlink="">
      <xdr:nvSpPr>
        <xdr:cNvPr id="33" name="TextBox 32"/>
        <xdr:cNvSpPr txBox="1"/>
      </xdr:nvSpPr>
      <xdr:spPr>
        <a:xfrm>
          <a:off x="2127935" y="26212800"/>
          <a:ext cx="1017586"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b="1"/>
            <a:t>External 5V Source</a:t>
          </a:r>
        </a:p>
        <a:p>
          <a:pPr algn="ctr"/>
          <a:r>
            <a:rPr lang="en-US" sz="800" b="1"/>
            <a:t>(LDO Bypass Mode)</a:t>
          </a:r>
        </a:p>
      </xdr:txBody>
    </xdr:sp>
    <xdr:clientData/>
  </xdr:oneCellAnchor>
  <xdr:oneCellAnchor>
    <xdr:from>
      <xdr:col>7</xdr:col>
      <xdr:colOff>505672</xdr:colOff>
      <xdr:row>144</xdr:row>
      <xdr:rowOff>76200</xdr:rowOff>
    </xdr:from>
    <xdr:ext cx="833112" cy="217560"/>
    <xdr:sp macro="" textlink="">
      <xdr:nvSpPr>
        <xdr:cNvPr id="35" name="TextBox 34"/>
        <xdr:cNvSpPr txBox="1"/>
      </xdr:nvSpPr>
      <xdr:spPr>
        <a:xfrm>
          <a:off x="5106247" y="26041350"/>
          <a:ext cx="833112"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b="1"/>
            <a:t>Integrated LDO</a:t>
          </a:r>
        </a:p>
      </xdr:txBody>
    </xdr:sp>
    <xdr:clientData/>
  </xdr:oneCellAnchor>
  <xdr:twoCellAnchor editAs="oneCell">
    <xdr:from>
      <xdr:col>4</xdr:col>
      <xdr:colOff>405963</xdr:colOff>
      <xdr:row>235</xdr:row>
      <xdr:rowOff>0</xdr:rowOff>
    </xdr:from>
    <xdr:to>
      <xdr:col>5</xdr:col>
      <xdr:colOff>453486</xdr:colOff>
      <xdr:row>236</xdr:row>
      <xdr:rowOff>9525</xdr:rowOff>
    </xdr:to>
    <xdr:pic>
      <xdr:nvPicPr>
        <xdr:cNvPr id="39" name="equationview" descr="http://latex.codecogs.com/png.latex?%5Cdpi%7B300%7D%20%5Chuge%20R_%7BIN%7D%3D"/>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968188" y="43662600"/>
          <a:ext cx="619023"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474044</xdr:colOff>
      <xdr:row>29</xdr:row>
      <xdr:rowOff>150477</xdr:rowOff>
    </xdr:from>
    <xdr:to>
      <xdr:col>7</xdr:col>
      <xdr:colOff>449019</xdr:colOff>
      <xdr:row>31</xdr:row>
      <xdr:rowOff>85724</xdr:rowOff>
    </xdr:to>
    <xdr:pic>
      <xdr:nvPicPr>
        <xdr:cNvPr id="42" name="Picture 41"/>
        <xdr:cNvPicPr>
          <a:picLocks noChangeAspect="1" noChangeArrowheads="1"/>
        </xdr:cNvPicPr>
      </xdr:nvPicPr>
      <xdr:blipFill rotWithShape="1">
        <a:blip xmlns:r="http://schemas.openxmlformats.org/officeDocument/2006/relationships" r:embed="rId17" cstate="screen">
          <a:extLst>
            <a:ext uri="{28A0092B-C50C-407E-A947-70E740481C1C}">
              <a14:useLocalDpi xmlns:a14="http://schemas.microsoft.com/office/drawing/2010/main" val="0"/>
            </a:ext>
          </a:extLst>
        </a:blip>
        <a:srcRect l="2070" t="4541" r="1617" b="-3013"/>
        <a:stretch/>
      </xdr:blipFill>
      <xdr:spPr bwMode="auto">
        <a:xfrm>
          <a:off x="4217369" y="6427452"/>
          <a:ext cx="832225" cy="316247"/>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4</xdr:col>
      <xdr:colOff>167221</xdr:colOff>
      <xdr:row>29</xdr:row>
      <xdr:rowOff>134843</xdr:rowOff>
    </xdr:from>
    <xdr:to>
      <xdr:col>5</xdr:col>
      <xdr:colOff>332267</xdr:colOff>
      <xdr:row>31</xdr:row>
      <xdr:rowOff>38100</xdr:rowOff>
    </xdr:to>
    <xdr:pic>
      <xdr:nvPicPr>
        <xdr:cNvPr id="43" name="Picture 42"/>
        <xdr:cNvPicPr>
          <a:picLocks noChangeAspect="1" noChangeArrowheads="1"/>
        </xdr:cNvPicPr>
      </xdr:nvPicPr>
      <xdr:blipFill rotWithShape="1">
        <a:blip xmlns:r="http://schemas.openxmlformats.org/officeDocument/2006/relationships" r:embed="rId18" cstate="screen">
          <a:extLst>
            <a:ext uri="{28A0092B-C50C-407E-A947-70E740481C1C}">
              <a14:useLocalDpi xmlns:a14="http://schemas.microsoft.com/office/drawing/2010/main" val="0"/>
            </a:ext>
          </a:extLst>
        </a:blip>
        <a:srcRect l="2630" t="5186" r="4739" b="4725"/>
        <a:stretch/>
      </xdr:blipFill>
      <xdr:spPr bwMode="auto">
        <a:xfrm>
          <a:off x="2729446" y="6411818"/>
          <a:ext cx="736546" cy="284257"/>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oneCellAnchor>
    <xdr:from>
      <xdr:col>4</xdr:col>
      <xdr:colOff>234527</xdr:colOff>
      <xdr:row>31</xdr:row>
      <xdr:rowOff>62118</xdr:rowOff>
    </xdr:from>
    <xdr:ext cx="621517" cy="342786"/>
    <xdr:sp macro="" textlink="">
      <xdr:nvSpPr>
        <xdr:cNvPr id="44" name="TextBox 43"/>
        <xdr:cNvSpPr txBox="1"/>
      </xdr:nvSpPr>
      <xdr:spPr>
        <a:xfrm>
          <a:off x="2796752" y="5958093"/>
          <a:ext cx="62151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b="1"/>
            <a:t>TPA3221</a:t>
          </a:r>
          <a:br>
            <a:rPr lang="en-US" sz="800" b="1"/>
          </a:br>
          <a:r>
            <a:rPr lang="en-US" sz="800" b="1"/>
            <a:t>(Heatsink)</a:t>
          </a:r>
          <a:endParaRPr lang="en-US" sz="1000" b="1"/>
        </a:p>
      </xdr:txBody>
    </xdr:sp>
    <xdr:clientData/>
  </xdr:oneCellAnchor>
  <xdr:oneCellAnchor>
    <xdr:from>
      <xdr:col>6</xdr:col>
      <xdr:colOff>598518</xdr:colOff>
      <xdr:row>31</xdr:row>
      <xdr:rowOff>71643</xdr:rowOff>
    </xdr:from>
    <xdr:ext cx="560282" cy="342786"/>
    <xdr:sp macro="" textlink="">
      <xdr:nvSpPr>
        <xdr:cNvPr id="45" name="TextBox 44"/>
        <xdr:cNvSpPr txBox="1"/>
      </xdr:nvSpPr>
      <xdr:spPr>
        <a:xfrm>
          <a:off x="4341843" y="5967618"/>
          <a:ext cx="560282"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800" b="1"/>
            <a:t>TPA3220</a:t>
          </a:r>
        </a:p>
        <a:p>
          <a:pPr algn="ctr"/>
          <a:r>
            <a:rPr lang="en-US" sz="800" b="1"/>
            <a:t>(PCB)</a:t>
          </a:r>
          <a:endParaRPr lang="en-US" sz="10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emf"/><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17" Type="http://schemas.openxmlformats.org/officeDocument/2006/relationships/image" Target="../media/image7.emf"/><Relationship Id="rId2" Type="http://schemas.openxmlformats.org/officeDocument/2006/relationships/drawing" Target="../drawings/drawing1.xml"/><Relationship Id="rId16" Type="http://schemas.openxmlformats.org/officeDocument/2006/relationships/oleObject" Target="../embeddings/oleObject7.bin"/><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5" Type="http://schemas.openxmlformats.org/officeDocument/2006/relationships/image" Target="../media/image6.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oleObject" Target="../embeddings/oleObject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306"/>
  <sheetViews>
    <sheetView tabSelected="1" topLeftCell="A19" zoomScaleNormal="100" workbookViewId="0">
      <selection activeCell="L35" sqref="L35"/>
    </sheetView>
  </sheetViews>
  <sheetFormatPr defaultRowHeight="14.25" x14ac:dyDescent="0.2"/>
  <cols>
    <col min="3" max="3" width="12.75" customWidth="1"/>
    <col min="4" max="4" width="7.375" customWidth="1"/>
    <col min="5" max="5" width="8.625" customWidth="1"/>
    <col min="7" max="7" width="12.875" customWidth="1"/>
    <col min="8" max="8" width="11.625" customWidth="1"/>
    <col min="10" max="10" width="10.75" customWidth="1"/>
  </cols>
  <sheetData>
    <row r="1" spans="1:12" ht="15" thickBot="1" x14ac:dyDescent="0.25">
      <c r="A1" s="4"/>
      <c r="B1" s="4"/>
      <c r="C1" s="4"/>
      <c r="D1" s="4"/>
      <c r="E1" s="4"/>
      <c r="F1" s="4"/>
      <c r="G1" s="4"/>
      <c r="H1" s="4"/>
      <c r="I1" s="4"/>
      <c r="J1" s="4"/>
      <c r="K1" s="4"/>
      <c r="L1" s="4"/>
    </row>
    <row r="2" spans="1:12" x14ac:dyDescent="0.2">
      <c r="A2" s="4"/>
      <c r="B2" s="17"/>
      <c r="C2" s="18"/>
      <c r="D2" s="18"/>
      <c r="E2" s="18"/>
      <c r="F2" s="18"/>
      <c r="G2" s="18"/>
      <c r="H2" s="18"/>
      <c r="I2" s="18"/>
      <c r="J2" s="18"/>
      <c r="K2" s="19"/>
      <c r="L2" s="4"/>
    </row>
    <row r="3" spans="1:12" x14ac:dyDescent="0.2">
      <c r="A3" s="4"/>
      <c r="B3" s="20"/>
      <c r="C3" s="15"/>
      <c r="D3" s="15"/>
      <c r="E3" s="15"/>
      <c r="F3" s="15"/>
      <c r="G3" s="15"/>
      <c r="H3" s="15"/>
      <c r="I3" s="123"/>
      <c r="J3" s="123"/>
      <c r="K3" s="21"/>
      <c r="L3" s="4"/>
    </row>
    <row r="4" spans="1:12" ht="8.25" customHeight="1" x14ac:dyDescent="0.2">
      <c r="A4" s="4"/>
      <c r="B4" s="20"/>
      <c r="C4" s="15"/>
      <c r="D4" s="15"/>
      <c r="E4" s="15"/>
      <c r="F4" s="15"/>
      <c r="G4" s="15"/>
      <c r="H4" s="15"/>
      <c r="I4" s="84"/>
      <c r="J4" s="84"/>
      <c r="K4" s="21"/>
      <c r="L4" s="4"/>
    </row>
    <row r="5" spans="1:12" ht="15.75" x14ac:dyDescent="0.25">
      <c r="A5" s="4"/>
      <c r="B5" s="20"/>
      <c r="C5" s="126" t="s">
        <v>177</v>
      </c>
      <c r="D5" s="126"/>
      <c r="E5" s="126"/>
      <c r="F5" s="126"/>
      <c r="G5" s="126"/>
      <c r="H5" s="126"/>
      <c r="I5" s="126"/>
      <c r="J5" s="126"/>
      <c r="K5" s="21"/>
      <c r="L5" s="4"/>
    </row>
    <row r="6" spans="1:12" ht="15.75" x14ac:dyDescent="0.25">
      <c r="A6" s="4"/>
      <c r="B6" s="20"/>
      <c r="C6" s="53"/>
      <c r="D6" s="53"/>
      <c r="E6" s="53"/>
      <c r="F6" s="53"/>
      <c r="G6" s="15"/>
      <c r="H6" s="15"/>
      <c r="I6" s="15"/>
      <c r="J6" s="15"/>
      <c r="K6" s="21"/>
      <c r="L6" s="4"/>
    </row>
    <row r="7" spans="1:12" ht="18.75" thickBot="1" x14ac:dyDescent="0.3">
      <c r="A7" s="4"/>
      <c r="B7" s="20"/>
      <c r="C7" s="102" t="s">
        <v>174</v>
      </c>
      <c r="D7" s="102"/>
      <c r="E7" s="102"/>
      <c r="F7" s="102"/>
      <c r="G7" s="102"/>
      <c r="H7" s="102"/>
      <c r="I7" s="102"/>
      <c r="J7" s="102"/>
      <c r="K7" s="21"/>
      <c r="L7" s="4"/>
    </row>
    <row r="8" spans="1:12" x14ac:dyDescent="0.2">
      <c r="A8" s="4"/>
      <c r="B8" s="20"/>
      <c r="C8" s="15"/>
      <c r="D8" s="15"/>
      <c r="E8" s="15"/>
      <c r="F8" s="15"/>
      <c r="G8" s="15"/>
      <c r="H8" s="15"/>
      <c r="I8" s="15"/>
      <c r="J8" s="15"/>
      <c r="K8" s="21"/>
      <c r="L8" s="4"/>
    </row>
    <row r="9" spans="1:12" x14ac:dyDescent="0.2">
      <c r="A9" s="4"/>
      <c r="B9" s="20"/>
      <c r="C9" s="22" t="s">
        <v>22</v>
      </c>
      <c r="D9" s="65"/>
      <c r="E9" s="15"/>
      <c r="F9" s="15"/>
      <c r="G9" s="22" t="s">
        <v>23</v>
      </c>
      <c r="H9" s="81"/>
      <c r="I9" s="15"/>
      <c r="J9" s="15"/>
      <c r="K9" s="21"/>
      <c r="L9" s="4"/>
    </row>
    <row r="10" spans="1:12" x14ac:dyDescent="0.2">
      <c r="A10" s="4"/>
      <c r="B10" s="20"/>
      <c r="C10" s="15"/>
      <c r="D10" s="16" t="s">
        <v>59</v>
      </c>
      <c r="E10" s="16"/>
      <c r="F10" s="15"/>
      <c r="G10" s="15"/>
      <c r="H10" s="16" t="s">
        <v>60</v>
      </c>
      <c r="I10" s="15"/>
      <c r="J10" s="15"/>
      <c r="K10" s="21"/>
      <c r="L10" s="4"/>
    </row>
    <row r="11" spans="1:12" x14ac:dyDescent="0.2">
      <c r="A11" s="4"/>
      <c r="B11" s="20"/>
      <c r="C11" s="15"/>
      <c r="D11" s="16"/>
      <c r="E11" s="16"/>
      <c r="F11" s="15"/>
      <c r="G11" s="15"/>
      <c r="H11" s="16"/>
      <c r="I11" s="15"/>
      <c r="J11" s="15"/>
      <c r="K11" s="21"/>
      <c r="L11" s="4"/>
    </row>
    <row r="12" spans="1:12" ht="18.75" thickBot="1" x14ac:dyDescent="0.3">
      <c r="A12" s="4"/>
      <c r="B12" s="20"/>
      <c r="C12" s="102" t="s">
        <v>84</v>
      </c>
      <c r="D12" s="102"/>
      <c r="E12" s="102"/>
      <c r="F12" s="102"/>
      <c r="G12" s="102"/>
      <c r="H12" s="102"/>
      <c r="I12" s="102"/>
      <c r="J12" s="102"/>
      <c r="K12" s="21"/>
      <c r="L12" s="4"/>
    </row>
    <row r="13" spans="1:12" x14ac:dyDescent="0.2">
      <c r="A13" s="4"/>
      <c r="B13" s="20"/>
      <c r="C13" s="15"/>
      <c r="D13" s="16"/>
      <c r="E13" s="16"/>
      <c r="F13" s="15"/>
      <c r="G13" s="15"/>
      <c r="H13" s="16"/>
      <c r="I13" s="15"/>
      <c r="J13" s="15"/>
      <c r="K13" s="21"/>
      <c r="L13" s="4"/>
    </row>
    <row r="14" spans="1:12" ht="15" customHeight="1" x14ac:dyDescent="0.2">
      <c r="A14" s="4"/>
      <c r="B14" s="20"/>
      <c r="C14" s="85" t="s">
        <v>179</v>
      </c>
      <c r="D14" s="85"/>
      <c r="E14" s="85"/>
      <c r="F14" s="85"/>
      <c r="G14" s="85"/>
      <c r="H14" s="85"/>
      <c r="I14" s="85"/>
      <c r="J14" s="85"/>
      <c r="K14" s="21"/>
      <c r="L14" s="4"/>
    </row>
    <row r="15" spans="1:12" x14ac:dyDescent="0.2">
      <c r="A15" s="4"/>
      <c r="B15" s="20"/>
      <c r="C15" s="85"/>
      <c r="D15" s="85"/>
      <c r="E15" s="85"/>
      <c r="F15" s="85"/>
      <c r="G15" s="85"/>
      <c r="H15" s="85"/>
      <c r="I15" s="85"/>
      <c r="J15" s="85"/>
      <c r="K15" s="21"/>
      <c r="L15" s="4"/>
    </row>
    <row r="16" spans="1:12" x14ac:dyDescent="0.2">
      <c r="A16" s="4"/>
      <c r="B16" s="20"/>
      <c r="C16" s="85"/>
      <c r="D16" s="85"/>
      <c r="E16" s="85"/>
      <c r="F16" s="85"/>
      <c r="G16" s="85"/>
      <c r="H16" s="85"/>
      <c r="I16" s="85"/>
      <c r="J16" s="85"/>
      <c r="K16" s="21"/>
      <c r="L16" s="4"/>
    </row>
    <row r="17" spans="1:12" x14ac:dyDescent="0.2">
      <c r="A17" s="4"/>
      <c r="B17" s="20"/>
      <c r="C17" s="90" t="str">
        <f>C36</f>
        <v>1 Output Configuration</v>
      </c>
      <c r="D17" s="90"/>
      <c r="E17" s="90"/>
      <c r="F17" s="90"/>
      <c r="G17" s="90"/>
      <c r="H17" s="16"/>
      <c r="I17" s="15"/>
      <c r="J17" s="15"/>
      <c r="K17" s="21"/>
      <c r="L17" s="4"/>
    </row>
    <row r="18" spans="1:12" x14ac:dyDescent="0.2">
      <c r="A18" s="4"/>
      <c r="B18" s="20"/>
      <c r="C18" s="90" t="str">
        <f>C64</f>
        <v>2 Output Switching Frequency (FREQ_ADJ)</v>
      </c>
      <c r="D18" s="90"/>
      <c r="E18" s="90"/>
      <c r="F18" s="90"/>
      <c r="G18" s="90"/>
      <c r="H18" s="16"/>
      <c r="I18" s="15"/>
      <c r="J18" s="15"/>
      <c r="K18" s="21"/>
      <c r="L18" s="4"/>
    </row>
    <row r="19" spans="1:12" x14ac:dyDescent="0.2">
      <c r="A19" s="4"/>
      <c r="B19" s="20"/>
      <c r="C19" s="90" t="str">
        <f>toc_modulationscheme</f>
        <v>3 Output Modulation Scheme</v>
      </c>
      <c r="D19" s="90"/>
      <c r="E19" s="90"/>
      <c r="F19" s="90"/>
      <c r="G19" s="90"/>
      <c r="H19" s="16"/>
      <c r="I19" s="15"/>
      <c r="J19" s="15"/>
      <c r="K19" s="21"/>
      <c r="L19" s="4"/>
    </row>
    <row r="20" spans="1:12" x14ac:dyDescent="0.2">
      <c r="A20" s="4"/>
      <c r="B20" s="20"/>
      <c r="C20" s="90" t="str">
        <f>toc_amplifiergain</f>
        <v>4 Amplifier Gain Settings</v>
      </c>
      <c r="D20" s="90"/>
      <c r="E20" s="90"/>
      <c r="F20" s="90"/>
      <c r="G20" s="90"/>
      <c r="H20" s="16"/>
      <c r="I20" s="15"/>
      <c r="J20" s="15"/>
      <c r="K20" s="21"/>
      <c r="L20" s="4"/>
    </row>
    <row r="21" spans="1:12" x14ac:dyDescent="0.2">
      <c r="A21" s="4"/>
      <c r="B21" s="20"/>
      <c r="C21" s="90" t="str">
        <f>C134</f>
        <v>5 5V Rail Selection</v>
      </c>
      <c r="D21" s="90"/>
      <c r="E21" s="90"/>
      <c r="F21" s="90"/>
      <c r="G21" s="57"/>
      <c r="H21" s="16"/>
      <c r="I21" s="15"/>
      <c r="J21" s="15"/>
      <c r="K21" s="21"/>
      <c r="L21" s="4"/>
    </row>
    <row r="22" spans="1:12" x14ac:dyDescent="0.2">
      <c r="A22" s="4"/>
      <c r="B22" s="20"/>
      <c r="C22" s="90" t="str">
        <f>C158</f>
        <v>6 Over Current</v>
      </c>
      <c r="D22" s="90"/>
      <c r="E22" s="90"/>
      <c r="F22" s="90"/>
      <c r="G22" s="90"/>
      <c r="H22" s="16"/>
      <c r="I22" s="15"/>
      <c r="J22" s="15"/>
      <c r="K22" s="21"/>
      <c r="L22" s="4"/>
    </row>
    <row r="23" spans="1:12" x14ac:dyDescent="0.2">
      <c r="A23" s="4"/>
      <c r="B23" s="20"/>
      <c r="C23" s="90" t="str">
        <f>C172</f>
        <v>7 Input Bulk Capacitance</v>
      </c>
      <c r="D23" s="90"/>
      <c r="E23" s="90"/>
      <c r="F23" s="90"/>
      <c r="G23" s="90"/>
      <c r="H23" s="16"/>
      <c r="I23" s="15"/>
      <c r="J23" s="15"/>
      <c r="K23" s="21"/>
      <c r="L23" s="4"/>
    </row>
    <row r="24" spans="1:12" x14ac:dyDescent="0.2">
      <c r="A24" s="4"/>
      <c r="B24" s="20"/>
      <c r="C24" s="90" t="str">
        <f>C228</f>
        <v>8 Input AC Coupling Capacitor</v>
      </c>
      <c r="D24" s="90"/>
      <c r="E24" s="90"/>
      <c r="F24" s="90"/>
      <c r="G24" s="90"/>
      <c r="H24" s="15"/>
      <c r="I24" s="15"/>
      <c r="J24" s="15"/>
      <c r="K24" s="21"/>
      <c r="L24" s="4"/>
    </row>
    <row r="25" spans="1:12" x14ac:dyDescent="0.2">
      <c r="A25" s="4"/>
      <c r="B25" s="20"/>
      <c r="C25" s="90" t="str">
        <f>C247</f>
        <v>9 Inductor Selection</v>
      </c>
      <c r="D25" s="90"/>
      <c r="E25" s="90"/>
      <c r="F25" s="90"/>
      <c r="G25" s="90"/>
      <c r="H25" s="15"/>
      <c r="I25" s="15"/>
      <c r="J25" s="15"/>
      <c r="K25" s="21"/>
      <c r="L25" s="4"/>
    </row>
    <row r="26" spans="1:12" x14ac:dyDescent="0.2">
      <c r="A26" s="4"/>
      <c r="B26" s="20"/>
      <c r="C26" s="90" t="str">
        <f>C291</f>
        <v>Appendix - Constants</v>
      </c>
      <c r="D26" s="90"/>
      <c r="E26" s="90"/>
      <c r="F26" s="90"/>
      <c r="G26" s="90"/>
      <c r="H26" s="15"/>
      <c r="I26" s="15"/>
      <c r="J26" s="15"/>
      <c r="K26" s="21"/>
      <c r="L26" s="4"/>
    </row>
    <row r="27" spans="1:12" x14ac:dyDescent="0.2">
      <c r="A27" s="4"/>
      <c r="B27" s="20"/>
      <c r="C27" s="52"/>
      <c r="D27" s="52"/>
      <c r="E27" s="52"/>
      <c r="F27" s="52"/>
      <c r="G27" s="52"/>
      <c r="H27" s="15"/>
      <c r="I27" s="15"/>
      <c r="J27" s="15"/>
      <c r="K27" s="21"/>
      <c r="L27" s="4"/>
    </row>
    <row r="28" spans="1:12" x14ac:dyDescent="0.2">
      <c r="A28" s="4"/>
      <c r="B28" s="20"/>
      <c r="C28" s="127" t="s">
        <v>178</v>
      </c>
      <c r="D28" s="127"/>
      <c r="E28" s="127"/>
      <c r="F28" s="127"/>
      <c r="G28" s="127"/>
      <c r="H28" s="127"/>
      <c r="I28" s="127"/>
      <c r="J28" s="127"/>
      <c r="K28" s="21"/>
      <c r="L28" s="4"/>
    </row>
    <row r="29" spans="1:12" x14ac:dyDescent="0.2">
      <c r="A29" s="4"/>
      <c r="B29" s="20"/>
      <c r="C29" s="127"/>
      <c r="D29" s="127"/>
      <c r="E29" s="127"/>
      <c r="F29" s="127"/>
      <c r="G29" s="127"/>
      <c r="H29" s="127"/>
      <c r="I29" s="127"/>
      <c r="J29" s="127"/>
      <c r="K29" s="21"/>
      <c r="L29" s="4"/>
    </row>
    <row r="30" spans="1:12" x14ac:dyDescent="0.2">
      <c r="A30" s="4"/>
      <c r="B30" s="20"/>
      <c r="C30" s="83"/>
      <c r="D30" s="83"/>
      <c r="E30" s="83"/>
      <c r="F30" s="83"/>
      <c r="G30" s="83"/>
      <c r="H30" s="15"/>
      <c r="I30" s="15"/>
      <c r="J30" s="15"/>
      <c r="K30" s="21"/>
      <c r="L30" s="4"/>
    </row>
    <row r="31" spans="1:12" x14ac:dyDescent="0.2">
      <c r="A31" s="4"/>
      <c r="B31" s="20"/>
      <c r="C31" s="83"/>
      <c r="D31" s="83"/>
      <c r="E31" s="83"/>
      <c r="F31" s="83"/>
      <c r="G31" s="83"/>
      <c r="H31" s="15"/>
      <c r="I31" s="15"/>
      <c r="J31" s="15"/>
      <c r="K31" s="21"/>
      <c r="L31" s="4"/>
    </row>
    <row r="32" spans="1:12" x14ac:dyDescent="0.2">
      <c r="A32" s="4"/>
      <c r="B32" s="20"/>
      <c r="C32" s="83"/>
      <c r="D32" s="83"/>
      <c r="E32" s="83"/>
      <c r="F32" s="83"/>
      <c r="G32" s="83"/>
      <c r="H32" s="15"/>
      <c r="I32" s="15"/>
      <c r="J32" s="15"/>
      <c r="K32" s="21"/>
      <c r="L32" s="4"/>
    </row>
    <row r="33" spans="1:12" x14ac:dyDescent="0.2">
      <c r="A33" s="4"/>
      <c r="B33" s="20"/>
      <c r="C33" s="83"/>
      <c r="D33" s="83"/>
      <c r="E33" s="83"/>
      <c r="F33" s="83"/>
      <c r="G33" s="83"/>
      <c r="H33" s="15"/>
      <c r="I33" s="15"/>
      <c r="J33" s="15"/>
      <c r="K33" s="21"/>
      <c r="L33" s="4"/>
    </row>
    <row r="34" spans="1:12" x14ac:dyDescent="0.2">
      <c r="A34" s="4"/>
      <c r="B34" s="20"/>
      <c r="C34" s="83"/>
      <c r="D34" s="83"/>
      <c r="E34" s="83"/>
      <c r="F34" s="83"/>
      <c r="G34" s="83"/>
      <c r="H34" s="15"/>
      <c r="I34" s="15"/>
      <c r="J34" s="15"/>
      <c r="K34" s="21"/>
      <c r="L34" s="4"/>
    </row>
    <row r="35" spans="1:12" x14ac:dyDescent="0.2">
      <c r="A35" s="4"/>
      <c r="B35" s="20"/>
      <c r="C35" s="15"/>
      <c r="D35" s="15"/>
      <c r="E35" s="15"/>
      <c r="F35" s="15"/>
      <c r="G35" s="15"/>
      <c r="H35" s="15"/>
      <c r="I35" s="15"/>
      <c r="J35" s="15"/>
      <c r="K35" s="21"/>
      <c r="L35" s="4"/>
    </row>
    <row r="36" spans="1:12" ht="18.75" thickBot="1" x14ac:dyDescent="0.3">
      <c r="A36" s="4"/>
      <c r="B36" s="20"/>
      <c r="C36" s="102" t="s">
        <v>45</v>
      </c>
      <c r="D36" s="102"/>
      <c r="E36" s="102"/>
      <c r="F36" s="102"/>
      <c r="G36" s="102"/>
      <c r="H36" s="102"/>
      <c r="I36" s="102"/>
      <c r="J36" s="102"/>
      <c r="K36" s="21"/>
      <c r="L36" s="4"/>
    </row>
    <row r="37" spans="1:12" x14ac:dyDescent="0.2">
      <c r="A37" s="4"/>
      <c r="B37" s="20"/>
      <c r="C37" s="15"/>
      <c r="D37" s="15"/>
      <c r="E37" s="15"/>
      <c r="F37" s="15"/>
      <c r="G37" s="15"/>
      <c r="H37" s="15"/>
      <c r="I37" s="15"/>
      <c r="J37" s="15"/>
      <c r="K37" s="21"/>
      <c r="L37" s="4"/>
    </row>
    <row r="38" spans="1:12" ht="15" customHeight="1" x14ac:dyDescent="0.2">
      <c r="A38" s="4"/>
      <c r="B38" s="20"/>
      <c r="C38" s="85" t="s">
        <v>180</v>
      </c>
      <c r="D38" s="85"/>
      <c r="E38" s="85"/>
      <c r="F38" s="85"/>
      <c r="G38" s="85"/>
      <c r="H38" s="85"/>
      <c r="I38" s="85"/>
      <c r="J38" s="85"/>
      <c r="K38" s="21"/>
      <c r="L38" s="4"/>
    </row>
    <row r="39" spans="1:12" x14ac:dyDescent="0.2">
      <c r="A39" s="4"/>
      <c r="B39" s="20"/>
      <c r="C39" s="85"/>
      <c r="D39" s="85"/>
      <c r="E39" s="85"/>
      <c r="F39" s="85"/>
      <c r="G39" s="85"/>
      <c r="H39" s="85"/>
      <c r="I39" s="85"/>
      <c r="J39" s="85"/>
      <c r="K39" s="21"/>
      <c r="L39" s="4"/>
    </row>
    <row r="40" spans="1:12" x14ac:dyDescent="0.2">
      <c r="A40" s="4"/>
      <c r="B40" s="20"/>
      <c r="C40" s="15"/>
      <c r="D40" s="15"/>
      <c r="E40" s="15"/>
      <c r="F40" s="15"/>
      <c r="G40" s="15"/>
      <c r="H40" s="15"/>
      <c r="I40" s="15"/>
      <c r="J40" s="15"/>
      <c r="K40" s="21"/>
      <c r="L40" s="4"/>
    </row>
    <row r="41" spans="1:12" x14ac:dyDescent="0.2">
      <c r="A41" s="4"/>
      <c r="B41" s="20"/>
      <c r="C41" s="15"/>
      <c r="D41" s="15"/>
      <c r="E41" s="15"/>
      <c r="F41" s="15"/>
      <c r="G41" s="15"/>
      <c r="H41" s="15"/>
      <c r="I41" s="15"/>
      <c r="J41" s="15"/>
      <c r="K41" s="21"/>
      <c r="L41" s="4"/>
    </row>
    <row r="42" spans="1:12" x14ac:dyDescent="0.2">
      <c r="A42" s="4"/>
      <c r="B42" s="20"/>
      <c r="C42" s="15"/>
      <c r="D42" s="15"/>
      <c r="E42" s="15"/>
      <c r="F42" s="15"/>
      <c r="G42" s="15"/>
      <c r="H42" s="15"/>
      <c r="I42" s="15"/>
      <c r="J42" s="15"/>
      <c r="K42" s="21"/>
      <c r="L42" s="4"/>
    </row>
    <row r="43" spans="1:12" x14ac:dyDescent="0.2">
      <c r="A43" s="4"/>
      <c r="B43" s="20"/>
      <c r="C43" s="15"/>
      <c r="D43" s="15"/>
      <c r="E43" s="15"/>
      <c r="F43" s="15"/>
      <c r="G43" s="15"/>
      <c r="H43" s="15"/>
      <c r="I43" s="15"/>
      <c r="J43" s="15"/>
      <c r="K43" s="21"/>
      <c r="L43" s="4"/>
    </row>
    <row r="44" spans="1:12" x14ac:dyDescent="0.2">
      <c r="A44" s="4"/>
      <c r="B44" s="20"/>
      <c r="C44" s="15"/>
      <c r="D44" s="15"/>
      <c r="E44" s="15"/>
      <c r="F44" s="15"/>
      <c r="G44" s="15"/>
      <c r="H44" s="15"/>
      <c r="I44" s="15"/>
      <c r="J44" s="15"/>
      <c r="K44" s="21"/>
      <c r="L44" s="4"/>
    </row>
    <row r="45" spans="1:12" x14ac:dyDescent="0.2">
      <c r="A45" s="4"/>
      <c r="B45" s="20"/>
      <c r="C45" s="15"/>
      <c r="D45" s="15"/>
      <c r="E45" s="15"/>
      <c r="F45" s="15"/>
      <c r="G45" s="15"/>
      <c r="H45" s="15"/>
      <c r="I45" s="15"/>
      <c r="J45" s="15"/>
      <c r="K45" s="21"/>
      <c r="L45" s="4"/>
    </row>
    <row r="46" spans="1:12" x14ac:dyDescent="0.2">
      <c r="A46" s="4"/>
      <c r="B46" s="20"/>
      <c r="C46" s="15"/>
      <c r="D46" s="15"/>
      <c r="E46" s="15"/>
      <c r="F46" s="15"/>
      <c r="G46" s="15"/>
      <c r="H46" s="15"/>
      <c r="I46" s="15"/>
      <c r="J46" s="15"/>
      <c r="K46" s="21"/>
      <c r="L46" s="4"/>
    </row>
    <row r="47" spans="1:12" x14ac:dyDescent="0.2">
      <c r="A47" s="4"/>
      <c r="B47" s="20"/>
      <c r="C47" s="15"/>
      <c r="D47" s="15"/>
      <c r="E47" s="15"/>
      <c r="F47" s="15"/>
      <c r="G47" s="15"/>
      <c r="H47" s="15"/>
      <c r="I47" s="15"/>
      <c r="J47" s="15"/>
      <c r="K47" s="21"/>
      <c r="L47" s="4"/>
    </row>
    <row r="48" spans="1:12" x14ac:dyDescent="0.2">
      <c r="A48" s="4"/>
      <c r="B48" s="20"/>
      <c r="C48" s="15"/>
      <c r="D48" s="15"/>
      <c r="E48" s="15"/>
      <c r="F48" s="15"/>
      <c r="G48" s="15"/>
      <c r="H48" s="15"/>
      <c r="I48" s="15"/>
      <c r="J48" s="15"/>
      <c r="K48" s="21"/>
      <c r="L48" s="4"/>
    </row>
    <row r="49" spans="1:14" x14ac:dyDescent="0.2">
      <c r="A49" s="4"/>
      <c r="B49" s="20"/>
      <c r="C49" s="15"/>
      <c r="D49" s="15"/>
      <c r="E49" s="15"/>
      <c r="F49" s="15"/>
      <c r="G49" s="15"/>
      <c r="H49" s="15"/>
      <c r="I49" s="15"/>
      <c r="J49" s="15"/>
      <c r="K49" s="21"/>
      <c r="L49" s="4"/>
    </row>
    <row r="50" spans="1:14" x14ac:dyDescent="0.2">
      <c r="A50" s="4"/>
      <c r="B50" s="20"/>
      <c r="C50" s="91" t="s">
        <v>37</v>
      </c>
      <c r="D50" s="91"/>
      <c r="E50" s="118" t="s">
        <v>189</v>
      </c>
      <c r="F50" s="118"/>
      <c r="G50" s="118"/>
      <c r="H50" s="118"/>
      <c r="I50" s="118"/>
      <c r="J50" s="15"/>
      <c r="K50" s="21"/>
      <c r="L50" s="4"/>
    </row>
    <row r="51" spans="1:14" x14ac:dyDescent="0.2">
      <c r="A51" s="4"/>
      <c r="B51" s="20"/>
      <c r="C51" s="15"/>
      <c r="D51" s="15"/>
      <c r="E51" s="15"/>
      <c r="F51" s="15"/>
      <c r="G51" s="15"/>
      <c r="H51" s="15"/>
      <c r="I51" s="15"/>
      <c r="J51" s="15"/>
      <c r="K51" s="21"/>
      <c r="L51" s="4"/>
      <c r="M51" s="5"/>
      <c r="N51" s="5"/>
    </row>
    <row r="52" spans="1:14" x14ac:dyDescent="0.2">
      <c r="A52" s="4"/>
      <c r="B52" s="20"/>
      <c r="C52" s="15"/>
      <c r="D52" s="15"/>
      <c r="E52" s="23" t="s">
        <v>1</v>
      </c>
      <c r="F52" s="24" t="s">
        <v>39</v>
      </c>
      <c r="G52" s="24"/>
      <c r="H52" s="24" t="s">
        <v>33</v>
      </c>
      <c r="I52" s="24"/>
      <c r="J52" s="15"/>
      <c r="K52" s="21"/>
      <c r="L52" s="4"/>
      <c r="M52" s="5"/>
      <c r="N52" s="5"/>
    </row>
    <row r="53" spans="1:14" x14ac:dyDescent="0.2">
      <c r="A53" s="4"/>
      <c r="B53" s="20"/>
      <c r="C53" s="15"/>
      <c r="D53" s="15"/>
      <c r="E53" s="64">
        <v>17</v>
      </c>
      <c r="F53" s="104" t="s">
        <v>112</v>
      </c>
      <c r="G53" s="105"/>
      <c r="H53" s="104" t="str">
        <f>IF($E$50=Dropdowns!$E$2,VLOOKUP(F53,[0]!PinOut,5,FALSE),IF($E$50=Dropdowns!$E$3,VLOOKUP(F53,[0]!PinOut,6,FALSE),IF($E$50=Dropdowns!$E$4,VLOOKUP(F53,[0]!PinOut,7,FALSE),VLOOKUP(F53,[0]!PinOut,8,FALSE))))</f>
        <v>33nF</v>
      </c>
      <c r="I53" s="105"/>
      <c r="J53" s="15"/>
      <c r="K53" s="21"/>
      <c r="L53" s="4"/>
      <c r="M53" s="5"/>
      <c r="N53" s="5"/>
    </row>
    <row r="54" spans="1:14" x14ac:dyDescent="0.2">
      <c r="A54" s="4"/>
      <c r="B54" s="20"/>
      <c r="C54" s="15"/>
      <c r="D54" s="15"/>
      <c r="E54" s="64">
        <v>8</v>
      </c>
      <c r="F54" s="104" t="s">
        <v>105</v>
      </c>
      <c r="G54" s="105"/>
      <c r="H54" s="104" t="str">
        <f>IF($E$50=Dropdowns!$E$2,VLOOKUP(F54,[0]!PinOut,5,FALSE),IF($E$50=Dropdowns!$E$3,VLOOKUP(F54,[0]!PinOut,6,FALSE),IF($E$50=Dropdowns!$E$4,VLOOKUP(F54,[0]!PinOut,7,FALSE),VLOOKUP(F54,[0]!PinOut,8,FALSE))))</f>
        <v>CH1 +</v>
      </c>
      <c r="I54" s="105"/>
      <c r="J54" s="15"/>
      <c r="K54" s="21"/>
      <c r="L54" s="4"/>
      <c r="M54" s="5"/>
      <c r="N54" s="5"/>
    </row>
    <row r="55" spans="1:14" x14ac:dyDescent="0.2">
      <c r="A55" s="4"/>
      <c r="B55" s="20"/>
      <c r="C55" s="15"/>
      <c r="D55" s="15"/>
      <c r="E55" s="64">
        <v>9</v>
      </c>
      <c r="F55" s="104" t="s">
        <v>106</v>
      </c>
      <c r="G55" s="105"/>
      <c r="H55" s="104" t="str">
        <f>IF($E$50=Dropdowns!$E$2,VLOOKUP(F55,[0]!PinOut,5,FALSE),IF($E$50=Dropdowns!$E$3,VLOOKUP(F55,[0]!PinOut,6,FALSE),IF($E$50=Dropdowns!$E$4,VLOOKUP(F55,[0]!PinOut,7,FALSE),VLOOKUP(F55,[0]!PinOut,8,FALSE))))</f>
        <v>CH1 -</v>
      </c>
      <c r="I55" s="105"/>
      <c r="J55" s="15"/>
      <c r="K55" s="21"/>
      <c r="L55" s="4"/>
      <c r="M55" s="5"/>
      <c r="N55" s="5"/>
    </row>
    <row r="56" spans="1:14" x14ac:dyDescent="0.2">
      <c r="A56" s="4"/>
      <c r="B56" s="20"/>
      <c r="C56" s="15"/>
      <c r="D56" s="15"/>
      <c r="E56" s="64">
        <v>15</v>
      </c>
      <c r="F56" s="104" t="s">
        <v>110</v>
      </c>
      <c r="G56" s="105"/>
      <c r="H56" s="104" t="str">
        <f>IF($E$50=Dropdowns!$E$2,VLOOKUP(F56,[0]!PinOut,5,FALSE),IF($E$50=Dropdowns!$E$3,VLOOKUP(F56,[0]!PinOut,6,FALSE),IF($E$50=Dropdowns!$E$4,VLOOKUP(F56,[0]!PinOut,7,FALSE),VLOOKUP(F56,[0]!PinOut,8,FALSE))))</f>
        <v>CH2 +</v>
      </c>
      <c r="I56" s="105"/>
      <c r="J56" s="15"/>
      <c r="K56" s="21"/>
      <c r="L56" s="4"/>
      <c r="M56" s="5"/>
      <c r="N56" s="5"/>
    </row>
    <row r="57" spans="1:14" x14ac:dyDescent="0.2">
      <c r="A57" s="4"/>
      <c r="B57" s="20"/>
      <c r="C57" s="15"/>
      <c r="D57" s="15"/>
      <c r="E57" s="64">
        <v>16</v>
      </c>
      <c r="F57" s="104" t="s">
        <v>111</v>
      </c>
      <c r="G57" s="105"/>
      <c r="H57" s="104" t="str">
        <f>IF($E$50=Dropdowns!$E$2,VLOOKUP(F57,[0]!PinOut,5,FALSE),IF($E$50=Dropdowns!$E$3,VLOOKUP(F57,[0]!PinOut,6,FALSE),IF($E$50=Dropdowns!$E$4,VLOOKUP(F57,[0]!PinOut,7,FALSE),VLOOKUP(F57,[0]!PinOut,8,FALSE))))</f>
        <v>CH2 -</v>
      </c>
      <c r="I57" s="105"/>
      <c r="J57" s="15"/>
      <c r="K57" s="21"/>
      <c r="L57" s="4"/>
      <c r="M57" s="5"/>
      <c r="N57" s="5"/>
    </row>
    <row r="58" spans="1:14" x14ac:dyDescent="0.2">
      <c r="A58" s="4"/>
      <c r="B58" s="20"/>
      <c r="C58" s="15"/>
      <c r="D58" s="15"/>
      <c r="E58" s="64" t="s">
        <v>100</v>
      </c>
      <c r="F58" s="104" t="s">
        <v>120</v>
      </c>
      <c r="G58" s="105"/>
      <c r="H58" s="104" t="str">
        <f>IF($E$50=Dropdowns!$E$2,VLOOKUP(F58,[0]!PinOut,5,FALSE),IF($E$50=Dropdowns!$E$3,VLOOKUP(F58,[0]!PinOut,6,FALSE),IF($E$50=Dropdowns!$E$4,VLOOKUP(F58,[0]!PinOut,7,FALSE),VLOOKUP(F58,[0]!PinOut,8,FALSE))))</f>
        <v>Inductor</v>
      </c>
      <c r="I58" s="105"/>
      <c r="J58" s="15"/>
      <c r="K58" s="21"/>
      <c r="L58" s="4"/>
      <c r="M58" s="5"/>
      <c r="N58" s="5"/>
    </row>
    <row r="59" spans="1:14" x14ac:dyDescent="0.2">
      <c r="A59" s="4"/>
      <c r="B59" s="20"/>
      <c r="C59" s="15"/>
      <c r="D59" s="15"/>
      <c r="E59" s="64">
        <v>35</v>
      </c>
      <c r="F59" s="104" t="s">
        <v>119</v>
      </c>
      <c r="G59" s="105"/>
      <c r="H59" s="104" t="str">
        <f>IF($E$50=Dropdowns!$E$2,VLOOKUP(F59,[0]!PinOut,5,FALSE),IF($E$50=Dropdowns!$E$3,VLOOKUP(F59,[0]!PinOut,6,FALSE),IF($E$50=Dropdowns!$E$4,VLOOKUP(F59,[0]!PinOut,7,FALSE),VLOOKUP(F59,[0]!PinOut,8,FALSE))))</f>
        <v>Inductor</v>
      </c>
      <c r="I59" s="105"/>
      <c r="J59" s="15"/>
      <c r="K59" s="21"/>
      <c r="L59" s="4"/>
      <c r="M59" s="5"/>
      <c r="N59" s="5"/>
    </row>
    <row r="60" spans="1:14" x14ac:dyDescent="0.2">
      <c r="A60" s="4"/>
      <c r="B60" s="20"/>
      <c r="C60" s="15"/>
      <c r="D60" s="15"/>
      <c r="E60" s="64">
        <v>32</v>
      </c>
      <c r="F60" s="104" t="s">
        <v>118</v>
      </c>
      <c r="G60" s="105"/>
      <c r="H60" s="104" t="str">
        <f>IF($E$50=Dropdowns!$E$2,VLOOKUP(F60,[0]!PinOut,5,FALSE),IF($E$50=Dropdowns!$E$3,VLOOKUP(F60,[0]!PinOut,6,FALSE),IF($E$50=Dropdowns!$E$4,VLOOKUP(F60,[0]!PinOut,7,FALSE),VLOOKUP(F60,[0]!PinOut,8,FALSE))))</f>
        <v>Inductor</v>
      </c>
      <c r="I60" s="105"/>
      <c r="J60" s="15"/>
      <c r="K60" s="21"/>
      <c r="L60" s="4"/>
      <c r="M60" s="5"/>
      <c r="N60" s="5"/>
    </row>
    <row r="61" spans="1:14" x14ac:dyDescent="0.2">
      <c r="A61" s="4"/>
      <c r="B61" s="20"/>
      <c r="C61" s="15"/>
      <c r="D61" s="15"/>
      <c r="E61" s="64" t="s">
        <v>101</v>
      </c>
      <c r="F61" s="104" t="s">
        <v>116</v>
      </c>
      <c r="G61" s="105"/>
      <c r="H61" s="104" t="str">
        <f>IF($E$50=Dropdowns!$E$2,VLOOKUP(F61,[0]!PinOut,5,FALSE),IF($E$50=Dropdowns!$E$3,VLOOKUP(F61,[0]!PinOut,6,FALSE),IF($E$50=Dropdowns!$E$4,VLOOKUP(F61,[0]!PinOut,7,FALSE),VLOOKUP(F61,[0]!PinOut,8,FALSE))))</f>
        <v>Inductor</v>
      </c>
      <c r="I61" s="105"/>
      <c r="J61" s="15"/>
      <c r="K61" s="21"/>
      <c r="L61" s="4"/>
      <c r="M61" s="5"/>
      <c r="N61" s="5"/>
    </row>
    <row r="62" spans="1:14" x14ac:dyDescent="0.2">
      <c r="A62" s="4"/>
      <c r="B62" s="20"/>
      <c r="C62" s="15"/>
      <c r="D62" s="15"/>
      <c r="E62" s="23"/>
      <c r="F62" s="47"/>
      <c r="G62" s="47"/>
      <c r="H62" s="47"/>
      <c r="I62" s="47"/>
      <c r="J62" s="15"/>
      <c r="K62" s="21"/>
      <c r="L62" s="4"/>
      <c r="M62" s="5"/>
      <c r="N62" s="5"/>
    </row>
    <row r="63" spans="1:14" x14ac:dyDescent="0.2">
      <c r="A63" s="4"/>
      <c r="B63" s="20"/>
      <c r="C63" s="15"/>
      <c r="D63" s="15"/>
      <c r="E63" s="15"/>
      <c r="F63" s="15"/>
      <c r="G63" s="15"/>
      <c r="H63" s="15"/>
      <c r="I63" s="15"/>
      <c r="J63" s="15"/>
      <c r="K63" s="21"/>
      <c r="L63" s="4"/>
      <c r="M63" s="5"/>
      <c r="N63" s="5"/>
    </row>
    <row r="64" spans="1:14" ht="18.75" thickBot="1" x14ac:dyDescent="0.3">
      <c r="A64" s="4"/>
      <c r="B64" s="20"/>
      <c r="C64" s="102" t="s">
        <v>46</v>
      </c>
      <c r="D64" s="102"/>
      <c r="E64" s="102"/>
      <c r="F64" s="102"/>
      <c r="G64" s="102"/>
      <c r="H64" s="102"/>
      <c r="I64" s="102"/>
      <c r="J64" s="102"/>
      <c r="K64" s="21"/>
      <c r="L64" s="4"/>
    </row>
    <row r="65" spans="1:12" x14ac:dyDescent="0.2">
      <c r="A65" s="4"/>
      <c r="B65" s="20"/>
      <c r="C65" s="15"/>
      <c r="D65" s="15"/>
      <c r="E65" s="15"/>
      <c r="F65" s="15"/>
      <c r="G65" s="15"/>
      <c r="H65" s="15"/>
      <c r="I65" s="15"/>
      <c r="J65" s="15"/>
      <c r="K65" s="21"/>
      <c r="L65" s="4"/>
    </row>
    <row r="66" spans="1:12" ht="15" customHeight="1" x14ac:dyDescent="0.2">
      <c r="A66" s="4"/>
      <c r="B66" s="20"/>
      <c r="C66" s="85" t="s">
        <v>76</v>
      </c>
      <c r="D66" s="85"/>
      <c r="E66" s="85"/>
      <c r="F66" s="85"/>
      <c r="G66" s="85"/>
      <c r="H66" s="85"/>
      <c r="I66" s="85"/>
      <c r="J66" s="85"/>
      <c r="K66" s="21"/>
      <c r="L66" s="4"/>
    </row>
    <row r="67" spans="1:12" x14ac:dyDescent="0.2">
      <c r="A67" s="4"/>
      <c r="B67" s="20"/>
      <c r="C67" s="24"/>
      <c r="D67" s="15"/>
      <c r="E67" s="15"/>
      <c r="F67" s="15"/>
      <c r="G67" s="15"/>
      <c r="H67" s="15"/>
      <c r="I67" s="15"/>
      <c r="J67" s="15"/>
      <c r="K67" s="21"/>
      <c r="L67" s="4"/>
    </row>
    <row r="68" spans="1:12" x14ac:dyDescent="0.2">
      <c r="A68" s="4"/>
      <c r="B68" s="20"/>
      <c r="C68" s="91" t="s">
        <v>32</v>
      </c>
      <c r="D68" s="91"/>
      <c r="E68" s="25"/>
      <c r="F68" s="66">
        <v>600</v>
      </c>
      <c r="G68" s="26" t="s">
        <v>49</v>
      </c>
      <c r="H68" s="15"/>
      <c r="I68" s="15"/>
      <c r="J68" s="15"/>
      <c r="K68" s="21"/>
      <c r="L68" s="4"/>
    </row>
    <row r="69" spans="1:12" x14ac:dyDescent="0.2">
      <c r="A69" s="4"/>
      <c r="B69" s="20"/>
      <c r="C69" s="15"/>
      <c r="D69" s="15"/>
      <c r="E69" s="15"/>
      <c r="F69" s="15"/>
      <c r="G69" s="15"/>
      <c r="H69" s="15"/>
      <c r="I69" s="15"/>
      <c r="J69" s="15"/>
      <c r="K69" s="21"/>
      <c r="L69" s="4"/>
    </row>
    <row r="70" spans="1:12" ht="15" customHeight="1" x14ac:dyDescent="0.2">
      <c r="A70" s="4"/>
      <c r="B70" s="20"/>
      <c r="C70" s="85" t="s">
        <v>181</v>
      </c>
      <c r="D70" s="85"/>
      <c r="E70" s="85"/>
      <c r="F70" s="85"/>
      <c r="G70" s="85"/>
      <c r="H70" s="85"/>
      <c r="I70" s="85"/>
      <c r="J70" s="85"/>
      <c r="K70" s="21"/>
      <c r="L70" s="4"/>
    </row>
    <row r="71" spans="1:12" x14ac:dyDescent="0.2">
      <c r="A71" s="4"/>
      <c r="B71" s="20"/>
      <c r="C71" s="85"/>
      <c r="D71" s="85"/>
      <c r="E71" s="85"/>
      <c r="F71" s="85"/>
      <c r="G71" s="85"/>
      <c r="H71" s="85"/>
      <c r="I71" s="85"/>
      <c r="J71" s="85"/>
      <c r="K71" s="21"/>
      <c r="L71" s="4"/>
    </row>
    <row r="72" spans="1:12" x14ac:dyDescent="0.2">
      <c r="A72" s="4"/>
      <c r="B72" s="20"/>
      <c r="C72" s="85"/>
      <c r="D72" s="85"/>
      <c r="E72" s="85"/>
      <c r="F72" s="85"/>
      <c r="G72" s="85"/>
      <c r="H72" s="85"/>
      <c r="I72" s="85"/>
      <c r="J72" s="85"/>
      <c r="K72" s="21"/>
      <c r="L72" s="4"/>
    </row>
    <row r="73" spans="1:12" x14ac:dyDescent="0.2">
      <c r="A73" s="4"/>
      <c r="B73" s="20"/>
      <c r="C73" s="85"/>
      <c r="D73" s="85"/>
      <c r="E73" s="85"/>
      <c r="F73" s="85"/>
      <c r="G73" s="85"/>
      <c r="H73" s="85"/>
      <c r="I73" s="85"/>
      <c r="J73" s="85"/>
      <c r="K73" s="21"/>
      <c r="L73" s="4"/>
    </row>
    <row r="74" spans="1:12" ht="14.25" customHeight="1" x14ac:dyDescent="0.2">
      <c r="A74" s="4"/>
      <c r="B74" s="20"/>
      <c r="C74" s="85"/>
      <c r="D74" s="85"/>
      <c r="E74" s="85"/>
      <c r="F74" s="85"/>
      <c r="G74" s="85"/>
      <c r="H74" s="85"/>
      <c r="I74" s="85"/>
      <c r="J74" s="85"/>
      <c r="K74" s="21"/>
      <c r="L74" s="4"/>
    </row>
    <row r="75" spans="1:12" ht="14.25" customHeight="1" x14ac:dyDescent="0.2">
      <c r="A75" s="4"/>
      <c r="B75" s="20"/>
      <c r="C75" s="85"/>
      <c r="D75" s="85"/>
      <c r="E75" s="85"/>
      <c r="F75" s="85"/>
      <c r="G75" s="85"/>
      <c r="H75" s="85"/>
      <c r="I75" s="85"/>
      <c r="J75" s="85"/>
      <c r="K75" s="21"/>
      <c r="L75" s="4"/>
    </row>
    <row r="76" spans="1:12" x14ac:dyDescent="0.2">
      <c r="A76" s="4"/>
      <c r="B76" s="20"/>
      <c r="C76" s="91" t="s">
        <v>25</v>
      </c>
      <c r="D76" s="91"/>
      <c r="E76" s="15"/>
      <c r="F76" s="66" t="s">
        <v>26</v>
      </c>
      <c r="G76" s="15"/>
      <c r="H76" s="15"/>
      <c r="I76" s="15"/>
      <c r="J76" s="15"/>
      <c r="K76" s="21"/>
      <c r="L76" s="4"/>
    </row>
    <row r="77" spans="1:12" ht="15" customHeight="1" x14ac:dyDescent="0.2">
      <c r="A77" s="4"/>
      <c r="B77" s="20"/>
      <c r="C77" s="85" t="s">
        <v>77</v>
      </c>
      <c r="D77" s="94"/>
      <c r="E77" s="94"/>
      <c r="F77" s="94"/>
      <c r="G77" s="94"/>
      <c r="H77" s="94"/>
      <c r="I77" s="94"/>
      <c r="J77" s="94"/>
      <c r="K77" s="21"/>
      <c r="L77" s="4"/>
    </row>
    <row r="78" spans="1:12" x14ac:dyDescent="0.2">
      <c r="A78" s="4"/>
      <c r="B78" s="20"/>
      <c r="C78" s="94"/>
      <c r="D78" s="94"/>
      <c r="E78" s="94"/>
      <c r="F78" s="94"/>
      <c r="G78" s="94"/>
      <c r="H78" s="94"/>
      <c r="I78" s="94"/>
      <c r="J78" s="94"/>
      <c r="K78" s="21"/>
      <c r="L78" s="4"/>
    </row>
    <row r="79" spans="1:12" x14ac:dyDescent="0.2">
      <c r="A79" s="4"/>
      <c r="B79" s="20"/>
      <c r="C79" s="15"/>
      <c r="D79" s="15"/>
      <c r="E79" s="15"/>
      <c r="F79" s="15"/>
      <c r="G79" s="15"/>
      <c r="H79" s="15"/>
      <c r="I79" s="15"/>
      <c r="J79" s="15"/>
      <c r="K79" s="21"/>
      <c r="L79" s="4"/>
    </row>
    <row r="80" spans="1:12" x14ac:dyDescent="0.2">
      <c r="A80" s="4"/>
      <c r="B80" s="20"/>
      <c r="C80" s="91" t="s">
        <v>31</v>
      </c>
      <c r="D80" s="91"/>
      <c r="E80" s="25"/>
      <c r="F80" s="92" t="str">
        <f>IF(F76=Dropdowns!G2,CONCATENATE(VLOOKUP(F68,Dropdowns!C2:D4,2)," to GND"),"Connect to AVDD")</f>
        <v>50 kΩ to GND</v>
      </c>
      <c r="G80" s="93"/>
      <c r="H80" s="12"/>
      <c r="I80" s="15"/>
      <c r="J80" s="15"/>
      <c r="K80" s="21"/>
      <c r="L80" s="4"/>
    </row>
    <row r="81" spans="1:12" x14ac:dyDescent="0.2">
      <c r="A81" s="4"/>
      <c r="B81" s="20"/>
      <c r="C81" s="15"/>
      <c r="D81" s="15"/>
      <c r="E81" s="15"/>
      <c r="F81" s="15"/>
      <c r="G81" s="15"/>
      <c r="H81" s="15"/>
      <c r="I81" s="15"/>
      <c r="J81" s="15"/>
      <c r="K81" s="21"/>
      <c r="L81" s="4"/>
    </row>
    <row r="82" spans="1:12" x14ac:dyDescent="0.2">
      <c r="A82" s="4"/>
      <c r="B82" s="20"/>
      <c r="C82" s="15"/>
      <c r="D82" s="15"/>
      <c r="E82" s="15"/>
      <c r="F82" s="15"/>
      <c r="G82" s="15"/>
      <c r="H82" s="15"/>
      <c r="I82" s="15"/>
      <c r="J82" s="15"/>
      <c r="K82" s="21"/>
      <c r="L82" s="4"/>
    </row>
    <row r="83" spans="1:12" ht="18.75" thickBot="1" x14ac:dyDescent="0.3">
      <c r="A83" s="4"/>
      <c r="B83" s="20"/>
      <c r="C83" s="102" t="s">
        <v>130</v>
      </c>
      <c r="D83" s="102"/>
      <c r="E83" s="102"/>
      <c r="F83" s="102"/>
      <c r="G83" s="102"/>
      <c r="H83" s="102"/>
      <c r="I83" s="102"/>
      <c r="J83" s="102"/>
      <c r="K83" s="21"/>
      <c r="L83" s="4"/>
    </row>
    <row r="84" spans="1:12" x14ac:dyDescent="0.2">
      <c r="A84" s="4"/>
      <c r="B84" s="20"/>
      <c r="C84" s="15"/>
      <c r="D84" s="15"/>
      <c r="E84" s="15"/>
      <c r="F84" s="15"/>
      <c r="G84" s="15"/>
      <c r="H84" s="15"/>
      <c r="I84" s="15"/>
      <c r="J84" s="15"/>
      <c r="K84" s="21"/>
      <c r="L84" s="4"/>
    </row>
    <row r="85" spans="1:12" ht="15" customHeight="1" x14ac:dyDescent="0.2">
      <c r="A85" s="4"/>
      <c r="B85" s="20"/>
      <c r="C85" s="85" t="s">
        <v>171</v>
      </c>
      <c r="D85" s="85"/>
      <c r="E85" s="85"/>
      <c r="F85" s="85"/>
      <c r="G85" s="85"/>
      <c r="H85" s="85"/>
      <c r="I85" s="85"/>
      <c r="J85" s="85"/>
      <c r="K85" s="21"/>
      <c r="L85" s="4"/>
    </row>
    <row r="86" spans="1:12" x14ac:dyDescent="0.2">
      <c r="A86" s="4"/>
      <c r="B86" s="20"/>
      <c r="C86" s="85"/>
      <c r="D86" s="85"/>
      <c r="E86" s="85"/>
      <c r="F86" s="85"/>
      <c r="G86" s="85"/>
      <c r="H86" s="85"/>
      <c r="I86" s="85"/>
      <c r="J86" s="85"/>
      <c r="K86" s="21"/>
      <c r="L86" s="4"/>
    </row>
    <row r="87" spans="1:12" x14ac:dyDescent="0.2">
      <c r="A87" s="4"/>
      <c r="B87" s="20"/>
      <c r="C87" s="85"/>
      <c r="D87" s="85"/>
      <c r="E87" s="85"/>
      <c r="F87" s="85"/>
      <c r="G87" s="85"/>
      <c r="H87" s="85"/>
      <c r="I87" s="85"/>
      <c r="J87" s="85"/>
      <c r="K87" s="21"/>
      <c r="L87" s="4"/>
    </row>
    <row r="88" spans="1:12" x14ac:dyDescent="0.2">
      <c r="A88" s="4"/>
      <c r="B88" s="20"/>
      <c r="C88" s="85"/>
      <c r="D88" s="85"/>
      <c r="E88" s="85"/>
      <c r="F88" s="85"/>
      <c r="G88" s="85"/>
      <c r="H88" s="85"/>
      <c r="I88" s="85"/>
      <c r="J88" s="85"/>
      <c r="K88" s="21"/>
      <c r="L88" s="4"/>
    </row>
    <row r="89" spans="1:12" x14ac:dyDescent="0.2">
      <c r="A89" s="4"/>
      <c r="B89" s="20"/>
      <c r="C89" s="85"/>
      <c r="D89" s="85"/>
      <c r="E89" s="85"/>
      <c r="F89" s="85"/>
      <c r="G89" s="85"/>
      <c r="H89" s="85"/>
      <c r="I89" s="85"/>
      <c r="J89" s="85"/>
      <c r="K89" s="21"/>
      <c r="L89" s="4"/>
    </row>
    <row r="90" spans="1:12" x14ac:dyDescent="0.2">
      <c r="A90" s="4"/>
      <c r="B90" s="20"/>
      <c r="C90" s="85"/>
      <c r="D90" s="85"/>
      <c r="E90" s="85"/>
      <c r="F90" s="85"/>
      <c r="G90" s="85"/>
      <c r="H90" s="85"/>
      <c r="I90" s="85"/>
      <c r="J90" s="85"/>
      <c r="K90" s="21"/>
      <c r="L90" s="4"/>
    </row>
    <row r="91" spans="1:12" x14ac:dyDescent="0.2">
      <c r="A91" s="4"/>
      <c r="B91" s="20"/>
      <c r="C91" s="49"/>
      <c r="D91" s="49"/>
      <c r="E91" s="49"/>
      <c r="F91" s="49"/>
      <c r="G91" s="49"/>
      <c r="H91" s="49"/>
      <c r="I91" s="49"/>
      <c r="J91" s="49"/>
      <c r="K91" s="21"/>
      <c r="L91" s="4"/>
    </row>
    <row r="92" spans="1:12" x14ac:dyDescent="0.2">
      <c r="A92" s="4"/>
      <c r="B92" s="20"/>
      <c r="C92" s="91" t="s">
        <v>133</v>
      </c>
      <c r="D92" s="91"/>
      <c r="E92" s="15"/>
      <c r="F92" s="118" t="s">
        <v>134</v>
      </c>
      <c r="G92" s="118"/>
      <c r="H92" s="118"/>
      <c r="I92" s="118"/>
      <c r="J92" s="54"/>
      <c r="K92" s="21"/>
      <c r="L92" s="4"/>
    </row>
    <row r="93" spans="1:12" x14ac:dyDescent="0.2">
      <c r="A93" s="4"/>
      <c r="B93" s="20"/>
      <c r="C93" s="54"/>
      <c r="D93" s="54"/>
      <c r="E93" s="54"/>
      <c r="F93" s="54"/>
      <c r="G93" s="54"/>
      <c r="H93" s="54"/>
      <c r="I93" s="54"/>
      <c r="J93" s="54"/>
      <c r="K93" s="21"/>
      <c r="L93" s="4"/>
    </row>
    <row r="94" spans="1:12" x14ac:dyDescent="0.2">
      <c r="A94" s="4"/>
      <c r="B94" s="20"/>
      <c r="C94" s="54"/>
      <c r="D94" s="54"/>
      <c r="E94" s="54"/>
      <c r="F94" s="54"/>
      <c r="G94" s="54"/>
      <c r="H94" s="54"/>
      <c r="I94" s="54"/>
      <c r="J94" s="54"/>
      <c r="K94" s="21"/>
      <c r="L94" s="4"/>
    </row>
    <row r="95" spans="1:12" x14ac:dyDescent="0.2">
      <c r="A95" s="4"/>
      <c r="B95" s="20"/>
      <c r="C95" s="54"/>
      <c r="D95" s="54"/>
      <c r="E95" s="54"/>
      <c r="F95" s="54"/>
      <c r="G95" s="54"/>
      <c r="H95" s="54"/>
      <c r="I95" s="54"/>
      <c r="J95" s="54"/>
      <c r="K95" s="21"/>
      <c r="L95" s="4"/>
    </row>
    <row r="96" spans="1:12" x14ac:dyDescent="0.2">
      <c r="A96" s="4"/>
      <c r="B96" s="20"/>
      <c r="C96" s="54"/>
      <c r="D96" s="54"/>
      <c r="E96" s="54"/>
      <c r="F96" s="54"/>
      <c r="G96" s="54"/>
      <c r="H96" s="54"/>
      <c r="I96" s="54"/>
      <c r="J96" s="54"/>
      <c r="K96" s="21"/>
      <c r="L96" s="4"/>
    </row>
    <row r="97" spans="1:12" x14ac:dyDescent="0.2">
      <c r="A97" s="4"/>
      <c r="B97" s="20"/>
      <c r="C97" s="54"/>
      <c r="D97" s="54"/>
      <c r="E97" s="54"/>
      <c r="F97" s="54"/>
      <c r="G97" s="54"/>
      <c r="H97" s="54"/>
      <c r="I97" s="54"/>
      <c r="J97" s="54"/>
      <c r="K97" s="21"/>
      <c r="L97" s="4"/>
    </row>
    <row r="98" spans="1:12" x14ac:dyDescent="0.2">
      <c r="A98" s="4"/>
      <c r="B98" s="20"/>
      <c r="C98" s="54"/>
      <c r="D98" s="54"/>
      <c r="E98" s="54"/>
      <c r="F98" s="54"/>
      <c r="G98" s="54"/>
      <c r="H98" s="54"/>
      <c r="I98" s="54"/>
      <c r="J98" s="54"/>
      <c r="K98" s="21"/>
      <c r="L98" s="4"/>
    </row>
    <row r="99" spans="1:12" x14ac:dyDescent="0.2">
      <c r="A99" s="4"/>
      <c r="B99" s="20"/>
      <c r="C99" s="54"/>
      <c r="D99" s="54"/>
      <c r="E99" s="54"/>
      <c r="F99" s="54"/>
      <c r="G99" s="54"/>
      <c r="H99" s="54"/>
      <c r="I99" s="54"/>
      <c r="J99" s="54"/>
      <c r="K99" s="21"/>
      <c r="L99" s="4"/>
    </row>
    <row r="100" spans="1:12" x14ac:dyDescent="0.2">
      <c r="A100" s="4"/>
      <c r="B100" s="20"/>
      <c r="C100" s="54"/>
      <c r="D100" s="54"/>
      <c r="E100" s="54"/>
      <c r="F100" s="54"/>
      <c r="G100" s="54"/>
      <c r="H100" s="54"/>
      <c r="I100" s="54"/>
      <c r="J100" s="54"/>
      <c r="K100" s="21"/>
      <c r="L100" s="4"/>
    </row>
    <row r="101" spans="1:12" x14ac:dyDescent="0.2">
      <c r="A101" s="4"/>
      <c r="B101" s="20"/>
      <c r="C101" s="54"/>
      <c r="D101" s="54"/>
      <c r="E101" s="54"/>
      <c r="F101" s="54"/>
      <c r="G101" s="54"/>
      <c r="H101" s="54"/>
      <c r="I101" s="54"/>
      <c r="J101" s="54"/>
      <c r="K101" s="21"/>
      <c r="L101" s="4"/>
    </row>
    <row r="102" spans="1:12" x14ac:dyDescent="0.2">
      <c r="A102" s="4"/>
      <c r="B102" s="20"/>
      <c r="C102" s="54"/>
      <c r="D102" s="54"/>
      <c r="E102" s="54"/>
      <c r="F102" s="54"/>
      <c r="G102" s="54"/>
      <c r="H102" s="54"/>
      <c r="I102" s="54"/>
      <c r="J102" s="54"/>
      <c r="K102" s="21"/>
      <c r="L102" s="4"/>
    </row>
    <row r="103" spans="1:12" x14ac:dyDescent="0.2">
      <c r="A103" s="4"/>
      <c r="B103" s="20"/>
      <c r="C103" s="54"/>
      <c r="D103" s="54"/>
      <c r="E103" s="54"/>
      <c r="F103" s="54"/>
      <c r="G103" s="54"/>
      <c r="H103" s="54"/>
      <c r="I103" s="54"/>
      <c r="J103" s="54"/>
      <c r="K103" s="21"/>
      <c r="L103" s="4"/>
    </row>
    <row r="104" spans="1:12" x14ac:dyDescent="0.2">
      <c r="A104" s="4"/>
      <c r="B104" s="20"/>
      <c r="C104" s="54"/>
      <c r="D104" s="54"/>
      <c r="E104" s="54"/>
      <c r="F104" s="54"/>
      <c r="G104" s="54"/>
      <c r="H104" s="54"/>
      <c r="I104" s="54"/>
      <c r="J104" s="54"/>
      <c r="K104" s="21"/>
      <c r="L104" s="4"/>
    </row>
    <row r="105" spans="1:12" x14ac:dyDescent="0.2">
      <c r="A105" s="4"/>
      <c r="B105" s="20"/>
      <c r="C105" s="54"/>
      <c r="D105" s="54"/>
      <c r="E105" s="54"/>
      <c r="F105" s="54"/>
      <c r="G105" s="54"/>
      <c r="H105" s="54"/>
      <c r="I105" s="54"/>
      <c r="J105" s="54"/>
      <c r="K105" s="21"/>
      <c r="L105" s="4"/>
    </row>
    <row r="106" spans="1:12" x14ac:dyDescent="0.2">
      <c r="A106" s="4"/>
      <c r="B106" s="20"/>
      <c r="C106" s="54"/>
      <c r="D106" s="54"/>
      <c r="E106" s="54"/>
      <c r="F106" s="54"/>
      <c r="G106" s="54"/>
      <c r="H106" s="54"/>
      <c r="I106" s="54"/>
      <c r="J106" s="54"/>
      <c r="K106" s="21"/>
      <c r="L106" s="4"/>
    </row>
    <row r="107" spans="1:12" x14ac:dyDescent="0.2">
      <c r="A107" s="4"/>
      <c r="B107" s="20"/>
      <c r="C107" s="54"/>
      <c r="D107" s="54"/>
      <c r="E107" s="54"/>
      <c r="F107" s="54"/>
      <c r="G107" s="54"/>
      <c r="H107" s="54"/>
      <c r="I107" s="54"/>
      <c r="J107" s="54"/>
      <c r="K107" s="21"/>
      <c r="L107" s="4"/>
    </row>
    <row r="108" spans="1:12" x14ac:dyDescent="0.2">
      <c r="A108" s="4"/>
      <c r="B108" s="20"/>
      <c r="C108" s="54"/>
      <c r="D108" s="54"/>
      <c r="E108" s="54"/>
      <c r="F108" s="54"/>
      <c r="G108" s="54"/>
      <c r="H108" s="54"/>
      <c r="I108" s="54"/>
      <c r="J108" s="54"/>
      <c r="K108" s="21"/>
      <c r="L108" s="4"/>
    </row>
    <row r="109" spans="1:12" x14ac:dyDescent="0.2">
      <c r="A109" s="4"/>
      <c r="B109" s="20"/>
      <c r="C109" s="54"/>
      <c r="D109" s="54"/>
      <c r="E109" s="54"/>
      <c r="F109" s="54"/>
      <c r="G109" s="54"/>
      <c r="H109" s="54"/>
      <c r="I109" s="54"/>
      <c r="J109" s="54"/>
      <c r="K109" s="21"/>
      <c r="L109" s="4"/>
    </row>
    <row r="110" spans="1:12" x14ac:dyDescent="0.2">
      <c r="A110" s="4"/>
      <c r="B110" s="20"/>
      <c r="C110" s="54"/>
      <c r="D110" s="54"/>
      <c r="E110" s="54"/>
      <c r="F110" s="54"/>
      <c r="G110" s="54"/>
      <c r="H110" s="54"/>
      <c r="I110" s="54"/>
      <c r="J110" s="54"/>
      <c r="K110" s="21"/>
      <c r="L110" s="4"/>
    </row>
    <row r="111" spans="1:12" x14ac:dyDescent="0.2">
      <c r="A111" s="4"/>
      <c r="B111" s="20"/>
      <c r="C111" s="91" t="s">
        <v>155</v>
      </c>
      <c r="D111" s="91"/>
      <c r="E111" s="25"/>
      <c r="F111" s="92" t="str">
        <f>IF(F92=Dropdowns!I3,"Connect to AVDD","Connect to GND")</f>
        <v>Connect to AVDD</v>
      </c>
      <c r="G111" s="93"/>
      <c r="H111" s="54"/>
      <c r="I111" s="54"/>
      <c r="J111" s="54"/>
      <c r="K111" s="21"/>
      <c r="L111" s="4"/>
    </row>
    <row r="112" spans="1:12" x14ac:dyDescent="0.2">
      <c r="A112" s="4"/>
      <c r="B112" s="20"/>
      <c r="C112" s="54"/>
      <c r="D112" s="54"/>
      <c r="E112" s="54"/>
      <c r="F112" s="54"/>
      <c r="G112" s="54"/>
      <c r="H112" s="54"/>
      <c r="I112" s="54"/>
      <c r="J112" s="54"/>
      <c r="K112" s="21"/>
      <c r="L112" s="4"/>
    </row>
    <row r="113" spans="1:12" ht="18.75" thickBot="1" x14ac:dyDescent="0.3">
      <c r="A113" s="4"/>
      <c r="B113" s="20"/>
      <c r="C113" s="102" t="s">
        <v>152</v>
      </c>
      <c r="D113" s="102"/>
      <c r="E113" s="102"/>
      <c r="F113" s="102"/>
      <c r="G113" s="102"/>
      <c r="H113" s="102"/>
      <c r="I113" s="102"/>
      <c r="J113" s="102"/>
      <c r="K113" s="21"/>
      <c r="L113" s="4"/>
    </row>
    <row r="114" spans="1:12" x14ac:dyDescent="0.2">
      <c r="A114" s="4"/>
      <c r="B114" s="20"/>
      <c r="C114" s="54"/>
      <c r="D114" s="54"/>
      <c r="E114" s="54"/>
      <c r="F114" s="54"/>
      <c r="G114" s="54"/>
      <c r="H114" s="54"/>
      <c r="I114" s="54"/>
      <c r="J114" s="54"/>
      <c r="K114" s="21"/>
      <c r="L114" s="4"/>
    </row>
    <row r="115" spans="1:12" x14ac:dyDescent="0.2">
      <c r="A115" s="4"/>
      <c r="B115" s="20"/>
      <c r="C115" s="54" t="s">
        <v>146</v>
      </c>
      <c r="D115" s="54"/>
      <c r="E115" s="54"/>
      <c r="F115" s="54"/>
      <c r="G115" s="54"/>
      <c r="H115" s="54"/>
      <c r="I115" s="54"/>
      <c r="J115" s="54"/>
      <c r="K115" s="21"/>
      <c r="L115" s="4"/>
    </row>
    <row r="116" spans="1:12" x14ac:dyDescent="0.2">
      <c r="A116" s="4"/>
      <c r="B116" s="20"/>
      <c r="C116" s="54"/>
      <c r="D116" s="54"/>
      <c r="E116" s="54"/>
      <c r="F116" s="54"/>
      <c r="G116" s="54"/>
      <c r="H116" s="54"/>
      <c r="I116" s="54"/>
      <c r="J116" s="54"/>
      <c r="K116" s="21"/>
      <c r="L116" s="4"/>
    </row>
    <row r="117" spans="1:12" x14ac:dyDescent="0.2">
      <c r="A117" s="4"/>
      <c r="B117" s="20"/>
      <c r="C117" s="96" t="s">
        <v>135</v>
      </c>
      <c r="D117" s="96"/>
      <c r="E117" s="15"/>
      <c r="F117" s="66">
        <v>24</v>
      </c>
      <c r="G117" s="60" t="s">
        <v>140</v>
      </c>
      <c r="H117" s="54"/>
      <c r="I117" s="54"/>
      <c r="J117" s="54"/>
      <c r="K117" s="21"/>
      <c r="L117" s="4"/>
    </row>
    <row r="118" spans="1:12" x14ac:dyDescent="0.2">
      <c r="A118" s="4"/>
      <c r="B118" s="20"/>
      <c r="C118" s="54"/>
      <c r="D118" s="54"/>
      <c r="E118" s="54"/>
      <c r="F118" s="54"/>
      <c r="G118" s="54"/>
      <c r="H118" s="54"/>
      <c r="I118" s="54"/>
      <c r="J118" s="54"/>
      <c r="K118" s="21"/>
      <c r="L118" s="4"/>
    </row>
    <row r="119" spans="1:12" x14ac:dyDescent="0.2">
      <c r="A119" s="4"/>
      <c r="B119" s="20"/>
      <c r="C119" s="96" t="s">
        <v>148</v>
      </c>
      <c r="D119" s="96"/>
      <c r="E119" s="24"/>
      <c r="F119" s="80">
        <f>VLOOKUP($F$117,[0]!gainselection,6,FALSE)</f>
        <v>24</v>
      </c>
      <c r="G119" s="60" t="s">
        <v>30</v>
      </c>
      <c r="H119" s="54"/>
      <c r="I119" s="54"/>
      <c r="J119" s="54"/>
      <c r="K119" s="21"/>
      <c r="L119" s="4"/>
    </row>
    <row r="120" spans="1:12" x14ac:dyDescent="0.2">
      <c r="A120" s="4"/>
      <c r="B120" s="20"/>
      <c r="C120" s="95" t="s">
        <v>149</v>
      </c>
      <c r="D120" s="95"/>
      <c r="E120" s="95"/>
      <c r="F120" s="63"/>
      <c r="G120" s="54"/>
      <c r="H120" s="54"/>
      <c r="I120" s="54"/>
      <c r="J120" s="54"/>
      <c r="K120" s="21"/>
      <c r="L120" s="4"/>
    </row>
    <row r="121" spans="1:12" x14ac:dyDescent="0.2">
      <c r="A121" s="4"/>
      <c r="B121" s="20"/>
      <c r="C121" s="95"/>
      <c r="D121" s="95"/>
      <c r="E121" s="95"/>
      <c r="F121" s="54"/>
      <c r="G121" s="54"/>
      <c r="H121" s="54"/>
      <c r="I121" s="54"/>
      <c r="J121" s="54"/>
      <c r="K121" s="21"/>
      <c r="L121" s="4"/>
    </row>
    <row r="122" spans="1:12" x14ac:dyDescent="0.2">
      <c r="A122" s="4"/>
      <c r="B122" s="20"/>
      <c r="C122" s="62"/>
      <c r="D122" s="62"/>
      <c r="E122" s="62"/>
      <c r="F122" s="54"/>
      <c r="G122" s="54"/>
      <c r="H122" s="54"/>
      <c r="I122" s="54"/>
      <c r="J122" s="54"/>
      <c r="K122" s="21"/>
      <c r="L122" s="4"/>
    </row>
    <row r="123" spans="1:12" x14ac:dyDescent="0.2">
      <c r="A123" s="4"/>
      <c r="B123" s="20"/>
      <c r="C123" s="96" t="s">
        <v>25</v>
      </c>
      <c r="D123" s="96"/>
      <c r="E123" s="24"/>
      <c r="F123" s="80" t="str">
        <f>master_slave_mode</f>
        <v>Master</v>
      </c>
      <c r="G123" s="24"/>
      <c r="H123" s="54"/>
      <c r="I123" s="54"/>
      <c r="J123" s="54"/>
      <c r="K123" s="21"/>
      <c r="L123" s="4"/>
    </row>
    <row r="124" spans="1:12" ht="15" customHeight="1" x14ac:dyDescent="0.2">
      <c r="A124" s="4"/>
      <c r="B124" s="20"/>
      <c r="C124" s="95" t="s">
        <v>145</v>
      </c>
      <c r="D124" s="95"/>
      <c r="E124" s="95"/>
      <c r="F124" s="41"/>
      <c r="G124" s="41"/>
      <c r="H124" s="54"/>
      <c r="I124" s="54"/>
      <c r="J124" s="54"/>
      <c r="K124" s="21"/>
      <c r="L124" s="4"/>
    </row>
    <row r="125" spans="1:12" x14ac:dyDescent="0.2">
      <c r="A125" s="4"/>
      <c r="B125" s="20"/>
      <c r="C125" s="95"/>
      <c r="D125" s="95"/>
      <c r="E125" s="95"/>
      <c r="F125" s="103"/>
      <c r="G125" s="103"/>
      <c r="H125" s="54"/>
      <c r="I125" s="54"/>
      <c r="J125" s="54"/>
      <c r="K125" s="21"/>
      <c r="L125" s="4"/>
    </row>
    <row r="126" spans="1:12" x14ac:dyDescent="0.2">
      <c r="A126" s="4"/>
      <c r="B126" s="20"/>
      <c r="C126" s="54"/>
      <c r="D126" s="54"/>
      <c r="E126" s="54"/>
      <c r="F126" s="54"/>
      <c r="G126" s="54"/>
      <c r="H126" s="54"/>
      <c r="I126" s="54"/>
      <c r="J126" s="54"/>
      <c r="K126" s="21"/>
      <c r="L126" s="4"/>
    </row>
    <row r="127" spans="1:12" x14ac:dyDescent="0.2">
      <c r="A127" s="4"/>
      <c r="B127" s="20"/>
      <c r="C127" s="94" t="s">
        <v>144</v>
      </c>
      <c r="D127" s="94"/>
      <c r="E127" s="94"/>
      <c r="F127" s="94"/>
      <c r="G127" s="94"/>
      <c r="H127" s="94"/>
      <c r="I127" s="94"/>
      <c r="J127" s="94"/>
      <c r="K127" s="21"/>
      <c r="L127" s="4"/>
    </row>
    <row r="128" spans="1:12" x14ac:dyDescent="0.2">
      <c r="A128" s="4"/>
      <c r="B128" s="20"/>
      <c r="C128" s="54"/>
      <c r="D128" s="54"/>
      <c r="E128" s="54"/>
      <c r="F128" s="54"/>
      <c r="G128" s="54"/>
      <c r="H128" s="54"/>
      <c r="I128" s="54"/>
      <c r="J128" s="54"/>
      <c r="K128" s="21"/>
      <c r="L128" s="4"/>
    </row>
    <row r="129" spans="1:12" x14ac:dyDescent="0.2">
      <c r="A129" s="4"/>
      <c r="B129" s="20"/>
      <c r="C129" s="15"/>
      <c r="D129" s="15"/>
      <c r="E129" s="15"/>
      <c r="F129" s="101" t="s">
        <v>141</v>
      </c>
      <c r="G129" s="101"/>
      <c r="H129" s="25" t="s">
        <v>143</v>
      </c>
      <c r="I129" s="54"/>
      <c r="J129" s="54"/>
      <c r="K129" s="21"/>
      <c r="L129" s="4"/>
    </row>
    <row r="130" spans="1:12" x14ac:dyDescent="0.2">
      <c r="A130" s="4"/>
      <c r="B130" s="20"/>
      <c r="C130" s="15"/>
      <c r="D130" s="99" t="s">
        <v>136</v>
      </c>
      <c r="E130" s="100"/>
      <c r="F130" s="97">
        <f>IF($F$123=Dropdowns!$G$2,VLOOKUP($F$117,[0]!gainselection,2,FALSE),VLOOKUP($F$117,[0]!gainselection,4,FALSE))</f>
        <v>20</v>
      </c>
      <c r="G130" s="98"/>
      <c r="H130" s="61" t="s">
        <v>30</v>
      </c>
      <c r="I130" s="54"/>
      <c r="J130" s="54"/>
      <c r="K130" s="21"/>
      <c r="L130" s="4"/>
    </row>
    <row r="131" spans="1:12" x14ac:dyDescent="0.2">
      <c r="A131" s="4"/>
      <c r="B131" s="20"/>
      <c r="C131" s="54"/>
      <c r="D131" s="99" t="s">
        <v>142</v>
      </c>
      <c r="E131" s="100"/>
      <c r="F131" s="97">
        <f>IF($F$123=Dropdowns!$G$2,VLOOKUP($F$117,[0]!gainselection,3,FALSE),VLOOKUP($F$117,[0]!gainselection,5,FALSE))</f>
        <v>100</v>
      </c>
      <c r="G131" s="98"/>
      <c r="H131" s="61" t="s">
        <v>30</v>
      </c>
      <c r="I131" s="54"/>
      <c r="J131" s="54"/>
      <c r="K131" s="21"/>
      <c r="L131" s="4"/>
    </row>
    <row r="132" spans="1:12" x14ac:dyDescent="0.2">
      <c r="A132" s="4"/>
      <c r="B132" s="20"/>
      <c r="C132" s="56"/>
      <c r="D132" s="71"/>
      <c r="E132" s="71"/>
      <c r="F132" s="23"/>
      <c r="G132" s="23"/>
      <c r="H132" s="72"/>
      <c r="I132" s="56"/>
      <c r="J132" s="56"/>
      <c r="K132" s="21"/>
      <c r="L132" s="4"/>
    </row>
    <row r="133" spans="1:12" x14ac:dyDescent="0.2">
      <c r="A133" s="4"/>
      <c r="B133" s="20"/>
      <c r="C133" s="56"/>
      <c r="D133" s="71"/>
      <c r="E133" s="71"/>
      <c r="F133" s="23"/>
      <c r="G133" s="23"/>
      <c r="H133" s="72"/>
      <c r="I133" s="56"/>
      <c r="J133" s="56"/>
      <c r="K133" s="21"/>
      <c r="L133" s="4"/>
    </row>
    <row r="134" spans="1:12" ht="18.75" thickBot="1" x14ac:dyDescent="0.3">
      <c r="A134" s="4"/>
      <c r="B134" s="20"/>
      <c r="C134" s="102" t="s">
        <v>157</v>
      </c>
      <c r="D134" s="102"/>
      <c r="E134" s="102"/>
      <c r="F134" s="102"/>
      <c r="G134" s="102"/>
      <c r="H134" s="102"/>
      <c r="I134" s="102"/>
      <c r="J134" s="102"/>
      <c r="K134" s="21"/>
      <c r="L134" s="4"/>
    </row>
    <row r="135" spans="1:12" x14ac:dyDescent="0.2">
      <c r="A135" s="4"/>
      <c r="B135" s="20"/>
      <c r="C135" s="56"/>
      <c r="D135" s="71"/>
      <c r="E135" s="71"/>
      <c r="F135" s="23"/>
      <c r="G135" s="23"/>
      <c r="H135" s="72"/>
      <c r="I135" s="56"/>
      <c r="J135" s="56"/>
      <c r="K135" s="21"/>
      <c r="L135" s="4"/>
    </row>
    <row r="136" spans="1:12" ht="15" customHeight="1" x14ac:dyDescent="0.2">
      <c r="A136" s="4"/>
      <c r="B136" s="20"/>
      <c r="C136" s="85" t="s">
        <v>187</v>
      </c>
      <c r="D136" s="85"/>
      <c r="E136" s="85"/>
      <c r="F136" s="85"/>
      <c r="G136" s="85"/>
      <c r="H136" s="85"/>
      <c r="I136" s="85"/>
      <c r="J136" s="85"/>
      <c r="K136" s="21"/>
      <c r="L136" s="4"/>
    </row>
    <row r="137" spans="1:12" x14ac:dyDescent="0.2">
      <c r="A137" s="4"/>
      <c r="B137" s="20"/>
      <c r="C137" s="85"/>
      <c r="D137" s="85"/>
      <c r="E137" s="85"/>
      <c r="F137" s="85"/>
      <c r="G137" s="85"/>
      <c r="H137" s="85"/>
      <c r="I137" s="85"/>
      <c r="J137" s="85"/>
      <c r="K137" s="21"/>
      <c r="L137" s="4"/>
    </row>
    <row r="138" spans="1:12" x14ac:dyDescent="0.2">
      <c r="A138" s="4"/>
      <c r="B138" s="20"/>
      <c r="C138" s="85"/>
      <c r="D138" s="85"/>
      <c r="E138" s="85"/>
      <c r="F138" s="85"/>
      <c r="G138" s="85"/>
      <c r="H138" s="85"/>
      <c r="I138" s="85"/>
      <c r="J138" s="85"/>
      <c r="K138" s="21"/>
      <c r="L138" s="4"/>
    </row>
    <row r="139" spans="1:12" x14ac:dyDescent="0.2">
      <c r="A139" s="4"/>
      <c r="B139" s="20"/>
      <c r="C139" s="56"/>
      <c r="D139" s="71"/>
      <c r="E139" s="71"/>
      <c r="F139" s="23"/>
      <c r="G139" s="23"/>
      <c r="H139" s="72"/>
      <c r="I139" s="56"/>
      <c r="J139" s="56"/>
      <c r="K139" s="21"/>
      <c r="L139" s="4"/>
    </row>
    <row r="140" spans="1:12" x14ac:dyDescent="0.2">
      <c r="A140" s="4"/>
      <c r="B140" s="20"/>
      <c r="C140" s="56"/>
      <c r="D140" s="71"/>
      <c r="E140" s="71"/>
      <c r="F140" s="23"/>
      <c r="G140" s="23"/>
      <c r="H140" s="72"/>
      <c r="I140" s="56"/>
      <c r="J140" s="56"/>
      <c r="K140" s="21"/>
      <c r="L140" s="4"/>
    </row>
    <row r="141" spans="1:12" x14ac:dyDescent="0.2">
      <c r="A141" s="4"/>
      <c r="B141" s="20"/>
      <c r="C141" s="56"/>
      <c r="D141" s="71"/>
      <c r="E141" s="71"/>
      <c r="F141" s="23"/>
      <c r="G141" s="23"/>
      <c r="H141" s="72"/>
      <c r="I141" s="56"/>
      <c r="J141" s="56"/>
      <c r="K141" s="21"/>
      <c r="L141" s="4"/>
    </row>
    <row r="142" spans="1:12" x14ac:dyDescent="0.2">
      <c r="A142" s="4"/>
      <c r="B142" s="20"/>
      <c r="C142" s="56"/>
      <c r="D142" s="71"/>
      <c r="E142" s="71"/>
      <c r="F142" s="23"/>
      <c r="G142" s="23"/>
      <c r="H142" s="72"/>
      <c r="I142" s="56"/>
      <c r="J142" s="56"/>
      <c r="K142" s="21"/>
      <c r="L142" s="4"/>
    </row>
    <row r="143" spans="1:12" x14ac:dyDescent="0.2">
      <c r="A143" s="4"/>
      <c r="B143" s="20"/>
      <c r="C143" s="56"/>
      <c r="D143" s="71"/>
      <c r="E143" s="71"/>
      <c r="F143" s="23"/>
      <c r="G143" s="23"/>
      <c r="H143" s="72"/>
      <c r="I143" s="56"/>
      <c r="J143" s="56"/>
      <c r="K143" s="21"/>
      <c r="L143" s="4"/>
    </row>
    <row r="144" spans="1:12" x14ac:dyDescent="0.2">
      <c r="A144" s="4"/>
      <c r="B144" s="20"/>
      <c r="C144" s="56"/>
      <c r="D144" s="71"/>
      <c r="E144" s="71"/>
      <c r="F144" s="23"/>
      <c r="G144" s="23"/>
      <c r="H144" s="72"/>
      <c r="I144" s="56"/>
      <c r="J144" s="56"/>
      <c r="K144" s="21"/>
      <c r="L144" s="4"/>
    </row>
    <row r="145" spans="1:12" x14ac:dyDescent="0.2">
      <c r="A145" s="4"/>
      <c r="B145" s="20"/>
      <c r="C145" s="56"/>
      <c r="D145" s="71"/>
      <c r="E145" s="71"/>
      <c r="F145" s="23"/>
      <c r="G145" s="23"/>
      <c r="H145" s="72"/>
      <c r="I145" s="56"/>
      <c r="J145" s="56"/>
      <c r="K145" s="21"/>
      <c r="L145" s="4"/>
    </row>
    <row r="146" spans="1:12" x14ac:dyDescent="0.2">
      <c r="A146" s="4"/>
      <c r="B146" s="20"/>
      <c r="C146" s="56"/>
      <c r="D146" s="71"/>
      <c r="E146" s="71"/>
      <c r="F146" s="23"/>
      <c r="G146" s="23"/>
      <c r="H146" s="72"/>
      <c r="I146" s="56"/>
      <c r="J146" s="56"/>
      <c r="K146" s="21"/>
      <c r="L146" s="4"/>
    </row>
    <row r="147" spans="1:12" x14ac:dyDescent="0.2">
      <c r="A147" s="4"/>
      <c r="B147" s="20"/>
      <c r="C147" s="56"/>
      <c r="D147" s="71"/>
      <c r="E147" s="71"/>
      <c r="F147" s="23"/>
      <c r="G147" s="23"/>
      <c r="H147" s="72"/>
      <c r="I147" s="56"/>
      <c r="J147" s="56"/>
      <c r="K147" s="21"/>
      <c r="L147" s="4"/>
    </row>
    <row r="148" spans="1:12" x14ac:dyDescent="0.2">
      <c r="A148" s="4"/>
      <c r="B148" s="20"/>
      <c r="C148" s="56"/>
      <c r="D148" s="71"/>
      <c r="E148" s="71"/>
      <c r="F148" s="23"/>
      <c r="G148" s="23"/>
      <c r="H148" s="72"/>
      <c r="I148" s="56"/>
      <c r="J148" s="56"/>
      <c r="K148" s="21"/>
      <c r="L148" s="4"/>
    </row>
    <row r="149" spans="1:12" x14ac:dyDescent="0.2">
      <c r="A149" s="4"/>
      <c r="B149" s="20"/>
      <c r="C149" s="91" t="s">
        <v>165</v>
      </c>
      <c r="D149" s="91"/>
      <c r="E149" s="15"/>
      <c r="F149" s="120" t="s">
        <v>164</v>
      </c>
      <c r="G149" s="121"/>
      <c r="H149" s="121"/>
      <c r="I149" s="122"/>
      <c r="J149" s="54"/>
      <c r="K149" s="21"/>
      <c r="L149" s="4"/>
    </row>
    <row r="150" spans="1:12" x14ac:dyDescent="0.2">
      <c r="A150" s="4"/>
      <c r="B150" s="20"/>
      <c r="C150" s="56"/>
      <c r="D150" s="56"/>
      <c r="E150" s="56"/>
      <c r="F150" s="56"/>
      <c r="G150" s="56"/>
      <c r="H150" s="56"/>
      <c r="I150" s="56"/>
      <c r="J150" s="56"/>
      <c r="K150" s="21"/>
      <c r="L150" s="4"/>
    </row>
    <row r="151" spans="1:12" x14ac:dyDescent="0.2">
      <c r="A151" s="4"/>
      <c r="B151" s="20"/>
      <c r="C151" s="56"/>
      <c r="D151" s="56"/>
      <c r="E151" s="56"/>
      <c r="F151" s="56"/>
      <c r="G151" s="56"/>
      <c r="H151" s="56"/>
      <c r="I151" s="56"/>
      <c r="J151" s="56"/>
      <c r="K151" s="21"/>
      <c r="L151" s="4"/>
    </row>
    <row r="152" spans="1:12" x14ac:dyDescent="0.2">
      <c r="A152" s="4"/>
      <c r="B152" s="20"/>
      <c r="C152" s="56"/>
      <c r="D152" s="73"/>
      <c r="E152" s="128" t="s">
        <v>34</v>
      </c>
      <c r="F152" s="128"/>
      <c r="G152" s="128"/>
      <c r="H152" s="128"/>
      <c r="I152" s="128"/>
      <c r="J152" s="56"/>
      <c r="K152" s="21"/>
      <c r="L152" s="4"/>
    </row>
    <row r="153" spans="1:12" x14ac:dyDescent="0.2">
      <c r="A153" s="4"/>
      <c r="B153" s="20"/>
      <c r="C153" s="56"/>
      <c r="D153" s="74" t="s">
        <v>2</v>
      </c>
      <c r="E153" s="129" t="str">
        <f>VLOOKUP($F$149,[0]!selection_5v,2,FALSE)</f>
        <v>7V-30V</v>
      </c>
      <c r="F153" s="129"/>
      <c r="G153" s="129"/>
      <c r="H153" s="129"/>
      <c r="I153" s="129"/>
      <c r="J153" s="56"/>
      <c r="K153" s="21"/>
      <c r="L153" s="4"/>
    </row>
    <row r="154" spans="1:12" ht="15" customHeight="1" x14ac:dyDescent="0.2">
      <c r="A154" s="4"/>
      <c r="B154" s="20"/>
      <c r="C154" s="15"/>
      <c r="D154" s="75" t="s">
        <v>5</v>
      </c>
      <c r="E154" s="129" t="str">
        <f>VLOOKUP($F$149,[0]!selection_5v,3,FALSE)</f>
        <v>Connect to GVDD with 1 uF capacitor to GND</v>
      </c>
      <c r="F154" s="129"/>
      <c r="G154" s="129"/>
      <c r="H154" s="129"/>
      <c r="I154" s="129"/>
      <c r="J154" s="15"/>
      <c r="K154" s="21"/>
      <c r="L154" s="4"/>
    </row>
    <row r="155" spans="1:12" ht="15" customHeight="1" x14ac:dyDescent="0.2">
      <c r="A155" s="4"/>
      <c r="B155" s="20"/>
      <c r="C155" s="15"/>
      <c r="D155" s="75" t="s">
        <v>113</v>
      </c>
      <c r="E155" s="129" t="str">
        <f>VLOOKUP($F$149,[0]!selection_5v,4,FALSE)</f>
        <v>Connect to AVDD with 3.3 Ω and 1 uF low-pass filter</v>
      </c>
      <c r="F155" s="129"/>
      <c r="G155" s="129"/>
      <c r="H155" s="129"/>
      <c r="I155" s="129"/>
      <c r="J155" s="15"/>
      <c r="K155" s="21"/>
      <c r="L155" s="4"/>
    </row>
    <row r="156" spans="1:12" ht="15" customHeight="1" x14ac:dyDescent="0.2">
      <c r="A156" s="4"/>
      <c r="B156" s="20"/>
      <c r="C156" s="15"/>
      <c r="D156" s="22"/>
      <c r="E156" s="72"/>
      <c r="F156" s="72"/>
      <c r="G156" s="72"/>
      <c r="H156" s="72"/>
      <c r="I156" s="15"/>
      <c r="J156" s="15"/>
      <c r="K156" s="21"/>
      <c r="L156" s="4"/>
    </row>
    <row r="157" spans="1:12" ht="15" customHeight="1" x14ac:dyDescent="0.2">
      <c r="A157" s="4"/>
      <c r="B157" s="20"/>
      <c r="C157" s="15"/>
      <c r="E157" s="15"/>
      <c r="F157" s="15"/>
      <c r="G157" s="15"/>
      <c r="H157" s="15"/>
      <c r="I157" s="15"/>
      <c r="J157" s="15"/>
      <c r="K157" s="21"/>
      <c r="L157" s="4"/>
    </row>
    <row r="158" spans="1:12" ht="18.75" thickBot="1" x14ac:dyDescent="0.3">
      <c r="A158" s="4"/>
      <c r="B158" s="20"/>
      <c r="C158" s="102" t="s">
        <v>158</v>
      </c>
      <c r="D158" s="102"/>
      <c r="E158" s="102"/>
      <c r="F158" s="102"/>
      <c r="G158" s="102"/>
      <c r="H158" s="102"/>
      <c r="I158" s="102"/>
      <c r="J158" s="102"/>
      <c r="K158" s="21"/>
      <c r="L158" s="4"/>
    </row>
    <row r="159" spans="1:12" x14ac:dyDescent="0.2">
      <c r="A159" s="4"/>
      <c r="B159" s="20"/>
      <c r="C159" s="15"/>
      <c r="D159" s="15"/>
      <c r="E159" s="15"/>
      <c r="F159" s="15"/>
      <c r="G159" s="15"/>
      <c r="H159" s="15"/>
      <c r="I159" s="15"/>
      <c r="J159" s="15"/>
      <c r="K159" s="21"/>
      <c r="L159" s="4"/>
    </row>
    <row r="160" spans="1:12" ht="15" customHeight="1" x14ac:dyDescent="0.2">
      <c r="A160" s="4"/>
      <c r="B160" s="20"/>
      <c r="C160" s="85" t="s">
        <v>182</v>
      </c>
      <c r="D160" s="85"/>
      <c r="E160" s="85"/>
      <c r="F160" s="85"/>
      <c r="G160" s="85"/>
      <c r="H160" s="85"/>
      <c r="I160" s="85"/>
      <c r="J160" s="85"/>
      <c r="K160" s="21"/>
      <c r="L160" s="4"/>
    </row>
    <row r="161" spans="1:12" x14ac:dyDescent="0.2">
      <c r="A161" s="4"/>
      <c r="B161" s="20"/>
      <c r="C161" s="85"/>
      <c r="D161" s="85"/>
      <c r="E161" s="85"/>
      <c r="F161" s="85"/>
      <c r="G161" s="85"/>
      <c r="H161" s="85"/>
      <c r="I161" s="85"/>
      <c r="J161" s="85"/>
      <c r="K161" s="21"/>
      <c r="L161" s="4"/>
    </row>
    <row r="162" spans="1:12" x14ac:dyDescent="0.2">
      <c r="A162" s="4"/>
      <c r="B162" s="20"/>
      <c r="C162" s="48"/>
      <c r="D162" s="48"/>
      <c r="E162" s="48"/>
      <c r="F162" s="48"/>
      <c r="G162" s="48"/>
      <c r="H162" s="48"/>
      <c r="I162" s="48"/>
      <c r="J162" s="48"/>
      <c r="K162" s="21"/>
      <c r="L162" s="4"/>
    </row>
    <row r="163" spans="1:12" ht="15" customHeight="1" x14ac:dyDescent="0.2">
      <c r="A163" s="4"/>
      <c r="B163" s="20"/>
      <c r="C163" s="119" t="s">
        <v>64</v>
      </c>
      <c r="D163" s="119"/>
      <c r="E163" s="119"/>
      <c r="F163" s="48"/>
      <c r="G163" s="67">
        <v>4</v>
      </c>
      <c r="H163" s="48" t="s">
        <v>47</v>
      </c>
      <c r="I163" s="48"/>
      <c r="J163" s="48"/>
      <c r="K163" s="21"/>
      <c r="L163" s="4"/>
    </row>
    <row r="164" spans="1:12" x14ac:dyDescent="0.2">
      <c r="A164" s="4"/>
      <c r="B164" s="20"/>
      <c r="C164" s="48"/>
      <c r="D164" s="48"/>
      <c r="E164" s="48"/>
      <c r="F164" s="48"/>
      <c r="G164" s="27"/>
      <c r="H164" s="48"/>
      <c r="I164" s="48"/>
      <c r="J164" s="48"/>
      <c r="K164" s="21"/>
      <c r="L164" s="4"/>
    </row>
    <row r="165" spans="1:12" ht="15" customHeight="1" x14ac:dyDescent="0.2">
      <c r="A165" s="4"/>
      <c r="B165" s="20"/>
      <c r="C165" s="119" t="s">
        <v>65</v>
      </c>
      <c r="D165" s="119"/>
      <c r="E165" s="119"/>
      <c r="F165" s="48"/>
      <c r="G165" s="67">
        <v>30</v>
      </c>
      <c r="H165" s="48" t="s">
        <v>50</v>
      </c>
      <c r="I165" s="48"/>
      <c r="J165" s="48"/>
      <c r="K165" s="21"/>
      <c r="L165" s="4"/>
    </row>
    <row r="166" spans="1:12" ht="14.45" customHeight="1" x14ac:dyDescent="0.2">
      <c r="A166" s="4"/>
      <c r="B166" s="20"/>
      <c r="C166" s="55"/>
      <c r="D166" s="55"/>
      <c r="E166" s="55"/>
      <c r="F166" s="48"/>
      <c r="G166" s="76" t="str">
        <f>IF($G$165&lt;7,"PVDD too low",IF($G$165&gt;32,"PVDD too high",""))</f>
        <v/>
      </c>
      <c r="H166" s="76"/>
      <c r="I166" s="76"/>
      <c r="J166" s="76"/>
      <c r="K166" s="21"/>
      <c r="L166" s="4"/>
    </row>
    <row r="167" spans="1:12" ht="14.45" customHeight="1" x14ac:dyDescent="0.2">
      <c r="A167" s="4"/>
      <c r="B167" s="20"/>
      <c r="C167" s="55"/>
      <c r="D167" s="55"/>
      <c r="E167" s="55"/>
      <c r="F167" s="48"/>
      <c r="G167" s="76"/>
      <c r="H167" s="76"/>
      <c r="I167" s="76"/>
      <c r="J167" s="76"/>
      <c r="K167" s="21"/>
      <c r="L167" s="4"/>
    </row>
    <row r="168" spans="1:12" x14ac:dyDescent="0.2">
      <c r="A168" s="4"/>
      <c r="B168" s="20"/>
      <c r="C168" s="125" t="s">
        <v>188</v>
      </c>
      <c r="D168" s="125"/>
      <c r="E168" s="125"/>
      <c r="F168" s="48"/>
      <c r="G168" s="77">
        <f>G165/G163</f>
        <v>7.5</v>
      </c>
      <c r="H168" s="48" t="s">
        <v>36</v>
      </c>
      <c r="I168" s="48"/>
      <c r="J168" s="48"/>
      <c r="K168" s="21"/>
      <c r="L168" s="4"/>
    </row>
    <row r="169" spans="1:12" x14ac:dyDescent="0.2">
      <c r="A169" s="4"/>
      <c r="B169" s="20"/>
      <c r="C169" s="15"/>
      <c r="D169" s="15"/>
      <c r="E169" s="15"/>
      <c r="F169" s="15"/>
      <c r="G169" s="15"/>
      <c r="H169" s="15"/>
      <c r="I169" s="15"/>
      <c r="J169" s="15"/>
      <c r="K169" s="21"/>
      <c r="L169" s="4"/>
    </row>
    <row r="170" spans="1:12" x14ac:dyDescent="0.2">
      <c r="B170" s="20"/>
      <c r="C170" s="15"/>
      <c r="D170" s="15"/>
      <c r="E170" s="15"/>
      <c r="F170" s="15"/>
      <c r="G170" s="15"/>
      <c r="H170" s="15"/>
      <c r="I170" s="15"/>
      <c r="J170" s="15"/>
      <c r="K170" s="21"/>
    </row>
    <row r="171" spans="1:12" x14ac:dyDescent="0.2">
      <c r="A171" s="4"/>
      <c r="B171" s="20"/>
      <c r="C171" s="15"/>
      <c r="D171" s="15"/>
      <c r="E171" s="15"/>
      <c r="F171" s="15"/>
      <c r="G171" s="15"/>
      <c r="H171" s="15"/>
      <c r="I171" s="15"/>
      <c r="J171" s="15"/>
      <c r="K171" s="21"/>
      <c r="L171" s="4"/>
    </row>
    <row r="172" spans="1:12" ht="18.75" thickBot="1" x14ac:dyDescent="0.25">
      <c r="A172" s="4"/>
      <c r="B172" s="20"/>
      <c r="C172" s="117" t="s">
        <v>159</v>
      </c>
      <c r="D172" s="117"/>
      <c r="E172" s="117"/>
      <c r="F172" s="117"/>
      <c r="G172" s="117"/>
      <c r="H172" s="117"/>
      <c r="I172" s="117"/>
      <c r="J172" s="117"/>
      <c r="K172" s="21"/>
      <c r="L172" s="4"/>
    </row>
    <row r="173" spans="1:12" x14ac:dyDescent="0.2">
      <c r="A173" s="4"/>
      <c r="B173" s="20"/>
      <c r="C173" s="15"/>
      <c r="D173" s="15"/>
      <c r="E173" s="15"/>
      <c r="F173" s="15"/>
      <c r="G173" s="15"/>
      <c r="H173" s="15"/>
      <c r="I173" s="15"/>
      <c r="J173" s="15"/>
      <c r="K173" s="21"/>
      <c r="L173" s="4"/>
    </row>
    <row r="174" spans="1:12" ht="15" customHeight="1" x14ac:dyDescent="0.2">
      <c r="A174" s="4"/>
      <c r="B174" s="20"/>
      <c r="C174" s="85" t="s">
        <v>183</v>
      </c>
      <c r="D174" s="85"/>
      <c r="E174" s="85"/>
      <c r="F174" s="85"/>
      <c r="G174" s="85"/>
      <c r="H174" s="85"/>
      <c r="I174" s="85"/>
      <c r="J174" s="85"/>
      <c r="K174" s="21"/>
      <c r="L174" s="4"/>
    </row>
    <row r="175" spans="1:12" x14ac:dyDescent="0.2">
      <c r="A175" s="4"/>
      <c r="B175" s="20"/>
      <c r="C175" s="85"/>
      <c r="D175" s="85"/>
      <c r="E175" s="85"/>
      <c r="F175" s="85"/>
      <c r="G175" s="85"/>
      <c r="H175" s="85"/>
      <c r="I175" s="85"/>
      <c r="J175" s="85"/>
      <c r="K175" s="21"/>
      <c r="L175" s="4"/>
    </row>
    <row r="176" spans="1:12" x14ac:dyDescent="0.2">
      <c r="A176" s="4"/>
      <c r="B176" s="20"/>
      <c r="C176" s="85"/>
      <c r="D176" s="85"/>
      <c r="E176" s="85"/>
      <c r="F176" s="85"/>
      <c r="G176" s="85"/>
      <c r="H176" s="85"/>
      <c r="I176" s="85"/>
      <c r="J176" s="85"/>
      <c r="K176" s="21"/>
      <c r="L176" s="4"/>
    </row>
    <row r="177" spans="1:12" x14ac:dyDescent="0.2">
      <c r="A177" s="4"/>
      <c r="B177" s="20"/>
      <c r="C177" s="85"/>
      <c r="D177" s="85"/>
      <c r="E177" s="85"/>
      <c r="F177" s="85"/>
      <c r="G177" s="85"/>
      <c r="H177" s="85"/>
      <c r="I177" s="85"/>
      <c r="J177" s="85"/>
      <c r="K177" s="21"/>
      <c r="L177" s="4"/>
    </row>
    <row r="178" spans="1:12" x14ac:dyDescent="0.2">
      <c r="A178" s="4"/>
      <c r="B178" s="20"/>
      <c r="C178" s="85"/>
      <c r="D178" s="85"/>
      <c r="E178" s="85"/>
      <c r="F178" s="85"/>
      <c r="G178" s="85"/>
      <c r="H178" s="85"/>
      <c r="I178" s="85"/>
      <c r="J178" s="85"/>
      <c r="K178" s="21"/>
      <c r="L178" s="4"/>
    </row>
    <row r="179" spans="1:12" x14ac:dyDescent="0.2">
      <c r="A179" s="4"/>
      <c r="B179" s="20"/>
      <c r="C179" s="85"/>
      <c r="D179" s="85"/>
      <c r="E179" s="85"/>
      <c r="F179" s="85"/>
      <c r="G179" s="85"/>
      <c r="H179" s="85"/>
      <c r="I179" s="85"/>
      <c r="J179" s="85"/>
      <c r="K179" s="21"/>
      <c r="L179" s="4"/>
    </row>
    <row r="180" spans="1:12" x14ac:dyDescent="0.2">
      <c r="A180" s="4"/>
      <c r="B180" s="20"/>
      <c r="C180" s="85"/>
      <c r="D180" s="85"/>
      <c r="E180" s="85"/>
      <c r="F180" s="85"/>
      <c r="G180" s="85"/>
      <c r="H180" s="85"/>
      <c r="I180" s="85"/>
      <c r="J180" s="85"/>
      <c r="K180" s="21"/>
      <c r="L180" s="4"/>
    </row>
    <row r="181" spans="1:12" x14ac:dyDescent="0.2">
      <c r="A181" s="4"/>
      <c r="B181" s="20"/>
      <c r="C181" s="49"/>
      <c r="D181" s="49"/>
      <c r="E181" s="49"/>
      <c r="F181" s="49"/>
      <c r="G181" s="49"/>
      <c r="H181" s="49"/>
      <c r="I181" s="49"/>
      <c r="J181" s="49"/>
      <c r="K181" s="21"/>
      <c r="L181" s="4"/>
    </row>
    <row r="182" spans="1:12" x14ac:dyDescent="0.2">
      <c r="A182" s="4"/>
      <c r="B182" s="20"/>
      <c r="C182" s="30"/>
      <c r="D182" s="30"/>
      <c r="E182" s="30"/>
      <c r="F182" s="30"/>
      <c r="G182" s="30"/>
      <c r="H182" s="30"/>
      <c r="I182" s="30"/>
      <c r="J182" s="30"/>
      <c r="K182" s="21"/>
      <c r="L182" s="4"/>
    </row>
    <row r="183" spans="1:12" x14ac:dyDescent="0.2">
      <c r="A183" s="4"/>
      <c r="B183" s="20"/>
      <c r="C183" s="30"/>
      <c r="D183" s="30"/>
      <c r="E183" s="30"/>
      <c r="F183" s="30"/>
      <c r="G183" s="30"/>
      <c r="H183" s="30"/>
      <c r="I183" s="30"/>
      <c r="J183" s="30"/>
      <c r="K183" s="21"/>
      <c r="L183" s="4"/>
    </row>
    <row r="184" spans="1:12" x14ac:dyDescent="0.2">
      <c r="A184" s="4"/>
      <c r="B184" s="20"/>
      <c r="C184" s="30"/>
      <c r="D184" s="30"/>
      <c r="E184" s="30"/>
      <c r="F184" s="30"/>
      <c r="G184" s="30"/>
      <c r="H184" s="30"/>
      <c r="I184" s="30"/>
      <c r="J184" s="30"/>
      <c r="K184" s="21"/>
      <c r="L184" s="4"/>
    </row>
    <row r="185" spans="1:12" x14ac:dyDescent="0.2">
      <c r="A185" s="4"/>
      <c r="B185" s="20"/>
      <c r="C185" s="30"/>
      <c r="D185" s="30"/>
      <c r="E185" s="30"/>
      <c r="F185" s="30"/>
      <c r="G185" s="30"/>
      <c r="H185" s="30"/>
      <c r="I185" s="30"/>
      <c r="J185" s="30"/>
      <c r="K185" s="21"/>
      <c r="L185" s="4"/>
    </row>
    <row r="186" spans="1:12" x14ac:dyDescent="0.2">
      <c r="A186" s="4"/>
      <c r="B186" s="20"/>
      <c r="C186" s="30"/>
      <c r="D186" s="30"/>
      <c r="E186" s="30"/>
      <c r="F186" s="30"/>
      <c r="G186" s="30"/>
      <c r="H186" s="30"/>
      <c r="I186" s="30"/>
      <c r="J186" s="30"/>
      <c r="K186" s="21"/>
      <c r="L186" s="4"/>
    </row>
    <row r="187" spans="1:12" x14ac:dyDescent="0.2">
      <c r="A187" s="4"/>
      <c r="B187" s="20"/>
      <c r="C187" s="30"/>
      <c r="D187" s="30"/>
      <c r="E187" s="30"/>
      <c r="F187" s="30"/>
      <c r="G187" s="30"/>
      <c r="H187" s="30"/>
      <c r="I187" s="30"/>
      <c r="J187" s="30"/>
      <c r="K187" s="21"/>
      <c r="L187" s="4"/>
    </row>
    <row r="188" spans="1:12" x14ac:dyDescent="0.2">
      <c r="A188" s="4"/>
      <c r="B188" s="20"/>
      <c r="C188" s="30"/>
      <c r="D188" s="30"/>
      <c r="E188" s="30"/>
      <c r="F188" s="30"/>
      <c r="G188" s="30"/>
      <c r="H188" s="30"/>
      <c r="I188" s="30"/>
      <c r="J188" s="30"/>
      <c r="K188" s="21"/>
      <c r="L188" s="4"/>
    </row>
    <row r="189" spans="1:12" x14ac:dyDescent="0.2">
      <c r="A189" s="4"/>
      <c r="B189" s="20"/>
      <c r="C189" s="30"/>
      <c r="D189" s="30"/>
      <c r="E189" s="30"/>
      <c r="F189" s="30"/>
      <c r="G189" s="30"/>
      <c r="H189" s="30"/>
      <c r="I189" s="30"/>
      <c r="J189" s="30"/>
      <c r="K189" s="21"/>
      <c r="L189" s="4"/>
    </row>
    <row r="190" spans="1:12" x14ac:dyDescent="0.2">
      <c r="A190" s="4"/>
      <c r="B190" s="20"/>
      <c r="C190" s="30"/>
      <c r="D190" s="30"/>
      <c r="E190" s="30"/>
      <c r="F190" s="30"/>
      <c r="G190" s="30"/>
      <c r="H190" s="30"/>
      <c r="I190" s="30"/>
      <c r="J190" s="30"/>
      <c r="K190" s="21"/>
      <c r="L190" s="4"/>
    </row>
    <row r="191" spans="1:12" x14ac:dyDescent="0.2">
      <c r="A191" s="4"/>
      <c r="B191" s="20"/>
      <c r="C191" s="30"/>
      <c r="D191" s="30"/>
      <c r="E191" s="30"/>
      <c r="F191" s="30"/>
      <c r="G191" s="30"/>
      <c r="H191" s="30"/>
      <c r="I191" s="30"/>
      <c r="J191" s="30"/>
      <c r="K191" s="21"/>
      <c r="L191" s="4"/>
    </row>
    <row r="192" spans="1:12" x14ac:dyDescent="0.2">
      <c r="A192" s="4"/>
      <c r="B192" s="20"/>
      <c r="C192" s="30"/>
      <c r="D192" s="30"/>
      <c r="E192" s="30"/>
      <c r="F192" s="30"/>
      <c r="G192" s="30"/>
      <c r="H192" s="30"/>
      <c r="I192" s="30"/>
      <c r="J192" s="30"/>
      <c r="K192" s="21"/>
      <c r="L192" s="4"/>
    </row>
    <row r="193" spans="1:15" x14ac:dyDescent="0.2">
      <c r="A193" s="4"/>
      <c r="B193" s="20"/>
      <c r="C193" s="30"/>
      <c r="D193" s="30"/>
      <c r="E193" s="30"/>
      <c r="F193" s="30"/>
      <c r="G193" s="30"/>
      <c r="H193" s="30"/>
      <c r="I193" s="30"/>
      <c r="J193" s="30"/>
      <c r="K193" s="21"/>
      <c r="L193" s="4"/>
    </row>
    <row r="194" spans="1:15" x14ac:dyDescent="0.2">
      <c r="A194" s="4"/>
      <c r="B194" s="20"/>
      <c r="C194" s="30"/>
      <c r="D194" s="30"/>
      <c r="E194" s="30"/>
      <c r="F194" s="30"/>
      <c r="G194" s="30"/>
      <c r="H194" s="30"/>
      <c r="I194" s="30"/>
      <c r="J194" s="30"/>
      <c r="K194" s="21"/>
      <c r="L194" s="4"/>
    </row>
    <row r="195" spans="1:15" x14ac:dyDescent="0.2">
      <c r="A195" s="4"/>
      <c r="B195" s="20"/>
      <c r="C195" s="30"/>
      <c r="D195" s="30"/>
      <c r="E195" s="30"/>
      <c r="F195" s="30"/>
      <c r="G195" s="30"/>
      <c r="H195" s="30"/>
      <c r="I195" s="30"/>
      <c r="J195" s="30"/>
      <c r="K195" s="21"/>
      <c r="L195" s="4"/>
    </row>
    <row r="196" spans="1:15" x14ac:dyDescent="0.2">
      <c r="A196" s="4"/>
      <c r="B196" s="20"/>
      <c r="C196" s="30"/>
      <c r="D196" s="30"/>
      <c r="E196" s="30"/>
      <c r="F196" s="30"/>
      <c r="G196" s="30"/>
      <c r="H196" s="30"/>
      <c r="I196" s="30"/>
      <c r="J196" s="30"/>
      <c r="K196" s="21"/>
      <c r="L196" s="4"/>
    </row>
    <row r="197" spans="1:15" x14ac:dyDescent="0.2">
      <c r="A197" s="4"/>
      <c r="B197" s="20"/>
      <c r="C197" s="30"/>
      <c r="D197" s="30"/>
      <c r="E197" s="30"/>
      <c r="F197" s="30"/>
      <c r="G197" s="30"/>
      <c r="H197" s="30"/>
      <c r="I197" s="30"/>
      <c r="J197" s="30"/>
      <c r="K197" s="21"/>
      <c r="L197" s="4"/>
    </row>
    <row r="198" spans="1:15" x14ac:dyDescent="0.2">
      <c r="A198" s="4"/>
      <c r="B198" s="20"/>
      <c r="C198" s="30"/>
      <c r="D198" s="30"/>
      <c r="E198" s="30"/>
      <c r="F198" s="30"/>
      <c r="G198" s="30"/>
      <c r="H198" s="30"/>
      <c r="I198" s="30"/>
      <c r="J198" s="30"/>
      <c r="K198" s="21"/>
      <c r="L198" s="4"/>
    </row>
    <row r="199" spans="1:15" x14ac:dyDescent="0.2">
      <c r="A199" s="4"/>
      <c r="B199" s="20"/>
      <c r="C199" s="30"/>
      <c r="D199" s="30"/>
      <c r="E199" s="30"/>
      <c r="F199" s="30"/>
      <c r="G199" s="30"/>
      <c r="H199" s="30"/>
      <c r="I199" s="30"/>
      <c r="J199" s="30"/>
      <c r="K199" s="21"/>
      <c r="L199" s="4"/>
    </row>
    <row r="200" spans="1:15" x14ac:dyDescent="0.2">
      <c r="A200" s="4"/>
      <c r="B200" s="20"/>
      <c r="C200" s="15"/>
      <c r="D200" s="15"/>
      <c r="E200" s="15"/>
      <c r="F200" s="15"/>
      <c r="G200" s="15"/>
      <c r="H200" s="15"/>
      <c r="I200" s="15"/>
      <c r="J200" s="15"/>
      <c r="K200" s="21"/>
      <c r="L200" s="4"/>
    </row>
    <row r="201" spans="1:15" ht="15" customHeight="1" x14ac:dyDescent="0.2">
      <c r="A201" s="4"/>
      <c r="B201" s="20"/>
      <c r="C201" s="85" t="s">
        <v>72</v>
      </c>
      <c r="D201" s="85"/>
      <c r="E201" s="85"/>
      <c r="F201" s="85"/>
      <c r="G201" s="85"/>
      <c r="H201" s="85"/>
      <c r="I201" s="85"/>
      <c r="J201" s="85"/>
      <c r="K201" s="21"/>
      <c r="L201" s="4"/>
    </row>
    <row r="202" spans="1:15" x14ac:dyDescent="0.2">
      <c r="A202" s="4"/>
      <c r="B202" s="20"/>
      <c r="C202" s="85"/>
      <c r="D202" s="85"/>
      <c r="E202" s="85"/>
      <c r="F202" s="85"/>
      <c r="G202" s="85"/>
      <c r="H202" s="85"/>
      <c r="I202" s="85"/>
      <c r="J202" s="85"/>
      <c r="K202" s="21"/>
      <c r="L202" s="4"/>
    </row>
    <row r="203" spans="1:15" x14ac:dyDescent="0.2">
      <c r="A203" s="4"/>
      <c r="B203" s="20"/>
      <c r="C203" s="15"/>
      <c r="D203" s="15"/>
      <c r="E203" s="15"/>
      <c r="F203" s="15"/>
      <c r="G203" s="15"/>
      <c r="H203" s="15"/>
      <c r="I203" s="15"/>
      <c r="J203" s="15"/>
      <c r="K203" s="21"/>
      <c r="L203" s="4"/>
    </row>
    <row r="204" spans="1:15" x14ac:dyDescent="0.2">
      <c r="A204" s="4"/>
      <c r="B204" s="20"/>
      <c r="C204" s="29"/>
      <c r="D204" s="15"/>
      <c r="E204" s="66">
        <f>G163</f>
        <v>4</v>
      </c>
      <c r="F204" s="15" t="s">
        <v>47</v>
      </c>
      <c r="G204" s="15"/>
      <c r="H204" s="66">
        <v>200</v>
      </c>
      <c r="I204" s="15" t="s">
        <v>48</v>
      </c>
      <c r="J204" s="15"/>
      <c r="K204" s="21"/>
      <c r="L204" s="4"/>
      <c r="O204" s="13"/>
    </row>
    <row r="205" spans="1:15" x14ac:dyDescent="0.2">
      <c r="A205" s="4"/>
      <c r="B205" s="20"/>
      <c r="C205" s="31" t="s">
        <v>66</v>
      </c>
      <c r="D205" s="23"/>
      <c r="E205" s="15"/>
      <c r="F205" s="15"/>
      <c r="G205" s="31" t="s">
        <v>67</v>
      </c>
      <c r="H205" s="23"/>
      <c r="I205" s="15"/>
      <c r="J205" s="15"/>
      <c r="K205" s="21"/>
      <c r="L205" s="4"/>
    </row>
    <row r="206" spans="1:15" x14ac:dyDescent="0.2">
      <c r="A206" s="4"/>
      <c r="B206" s="20"/>
      <c r="C206" s="15"/>
      <c r="D206" s="15"/>
      <c r="E206" s="15"/>
      <c r="F206" s="15"/>
      <c r="G206" s="15"/>
      <c r="H206" s="32"/>
      <c r="I206" s="15"/>
      <c r="J206" s="15"/>
      <c r="K206" s="21"/>
      <c r="L206" s="4"/>
    </row>
    <row r="207" spans="1:15" x14ac:dyDescent="0.2">
      <c r="A207" s="4"/>
      <c r="B207" s="20"/>
      <c r="C207" s="15"/>
      <c r="D207" s="15"/>
      <c r="E207" s="15"/>
      <c r="F207" s="15"/>
      <c r="G207" s="15"/>
      <c r="H207" s="32"/>
      <c r="I207" s="15"/>
      <c r="J207" s="15"/>
      <c r="K207" s="21"/>
      <c r="L207" s="4"/>
    </row>
    <row r="208" spans="1:15" x14ac:dyDescent="0.2">
      <c r="A208" s="4"/>
      <c r="B208" s="20"/>
      <c r="C208" s="94" t="s">
        <v>74</v>
      </c>
      <c r="D208" s="94"/>
      <c r="E208" s="94"/>
      <c r="F208" s="94"/>
      <c r="G208" s="94"/>
      <c r="H208" s="94"/>
      <c r="I208" s="94"/>
      <c r="J208" s="94"/>
      <c r="K208" s="21"/>
      <c r="L208" s="4"/>
    </row>
    <row r="209" spans="1:12" x14ac:dyDescent="0.2">
      <c r="A209" s="4"/>
      <c r="B209" s="20"/>
      <c r="C209" s="15"/>
      <c r="D209" s="23"/>
      <c r="E209" s="15"/>
      <c r="F209" s="15"/>
      <c r="G209" s="15"/>
      <c r="H209" s="15"/>
      <c r="I209" s="15"/>
      <c r="J209" s="15"/>
      <c r="K209" s="21"/>
      <c r="L209" s="4"/>
    </row>
    <row r="210" spans="1:12" x14ac:dyDescent="0.2">
      <c r="A210" s="4"/>
      <c r="B210" s="20"/>
      <c r="C210" s="28"/>
      <c r="D210" s="15"/>
      <c r="E210" s="78">
        <f>SQRT(H204/E204)*SQRT(2)</f>
        <v>10.000000000000002</v>
      </c>
      <c r="F210" s="15" t="s">
        <v>36</v>
      </c>
      <c r="G210" s="28"/>
      <c r="H210" s="80">
        <f>f_switching</f>
        <v>600</v>
      </c>
      <c r="I210" s="15" t="s">
        <v>49</v>
      </c>
      <c r="J210" s="15"/>
      <c r="K210" s="21"/>
      <c r="L210" s="4"/>
    </row>
    <row r="211" spans="1:12" x14ac:dyDescent="0.2">
      <c r="A211" s="4"/>
      <c r="B211" s="20"/>
      <c r="C211" s="31" t="s">
        <v>68</v>
      </c>
      <c r="D211" s="15"/>
      <c r="E211" s="23"/>
      <c r="F211" s="15"/>
      <c r="G211" s="31" t="s">
        <v>73</v>
      </c>
      <c r="H211" s="15"/>
      <c r="I211" s="15"/>
      <c r="J211" s="15"/>
      <c r="K211" s="21"/>
      <c r="L211" s="4"/>
    </row>
    <row r="212" spans="1:12" x14ac:dyDescent="0.2">
      <c r="A212" s="4"/>
      <c r="B212" s="20"/>
      <c r="C212" s="15"/>
      <c r="D212" s="33"/>
      <c r="E212" s="23"/>
      <c r="F212" s="15"/>
      <c r="G212" s="15"/>
      <c r="H212" s="32"/>
      <c r="I212" s="15"/>
      <c r="J212" s="15"/>
      <c r="K212" s="21"/>
      <c r="L212" s="4"/>
    </row>
    <row r="213" spans="1:12" x14ac:dyDescent="0.2">
      <c r="A213" s="4"/>
      <c r="B213" s="20"/>
      <c r="C213" s="15"/>
      <c r="D213" s="33"/>
      <c r="E213" s="23"/>
      <c r="F213" s="15"/>
      <c r="G213" s="15"/>
      <c r="H213" s="32"/>
      <c r="I213" s="15"/>
      <c r="J213" s="15"/>
      <c r="K213" s="21"/>
      <c r="L213" s="4"/>
    </row>
    <row r="214" spans="1:12" x14ac:dyDescent="0.2">
      <c r="A214" s="4"/>
      <c r="B214" s="20"/>
      <c r="C214" s="94" t="s">
        <v>184</v>
      </c>
      <c r="D214" s="94"/>
      <c r="E214" s="94"/>
      <c r="F214" s="94"/>
      <c r="G214" s="94"/>
      <c r="H214" s="94"/>
      <c r="I214" s="94"/>
      <c r="J214" s="94"/>
      <c r="K214" s="21"/>
      <c r="L214" s="4"/>
    </row>
    <row r="215" spans="1:12" x14ac:dyDescent="0.2">
      <c r="A215" s="4"/>
      <c r="B215" s="20"/>
      <c r="C215" s="15"/>
      <c r="D215" s="33"/>
      <c r="E215" s="23"/>
      <c r="F215" s="15"/>
      <c r="G215" s="15"/>
      <c r="H215" s="32"/>
      <c r="I215" s="15"/>
      <c r="J215" s="15"/>
      <c r="K215" s="21"/>
      <c r="L215" s="4"/>
    </row>
    <row r="216" spans="1:12" x14ac:dyDescent="0.2">
      <c r="A216" s="4"/>
      <c r="B216" s="20"/>
      <c r="C216" s="15"/>
      <c r="D216" s="15"/>
      <c r="E216" s="66">
        <v>0.05</v>
      </c>
      <c r="F216" s="15" t="s">
        <v>50</v>
      </c>
      <c r="G216" s="15"/>
      <c r="H216" s="15"/>
      <c r="I216" s="15"/>
      <c r="J216" s="15"/>
      <c r="K216" s="21"/>
      <c r="L216" s="4"/>
    </row>
    <row r="217" spans="1:12" x14ac:dyDescent="0.2">
      <c r="A217" s="4"/>
      <c r="B217" s="20"/>
      <c r="C217" s="34" t="s">
        <v>69</v>
      </c>
      <c r="D217" s="33"/>
      <c r="E217" s="23"/>
      <c r="F217" s="15"/>
      <c r="G217" s="15"/>
      <c r="H217" s="15"/>
      <c r="I217" s="15"/>
      <c r="J217" s="15"/>
      <c r="K217" s="21"/>
      <c r="L217" s="4"/>
    </row>
    <row r="218" spans="1:12" x14ac:dyDescent="0.2">
      <c r="A218" s="4"/>
      <c r="B218" s="20"/>
      <c r="C218" s="34"/>
      <c r="D218" s="33"/>
      <c r="E218" s="23"/>
      <c r="F218" s="28"/>
      <c r="G218" s="15"/>
      <c r="H218" s="15"/>
      <c r="I218" s="15"/>
      <c r="J218" s="15"/>
      <c r="K218" s="21"/>
      <c r="L218" s="4"/>
    </row>
    <row r="219" spans="1:12" x14ac:dyDescent="0.2">
      <c r="A219" s="4"/>
      <c r="B219" s="20"/>
      <c r="C219" s="35"/>
      <c r="D219" s="36"/>
      <c r="E219" s="37"/>
      <c r="F219" s="35"/>
      <c r="G219" s="35"/>
      <c r="H219" s="15"/>
      <c r="I219" s="15"/>
      <c r="J219" s="15"/>
      <c r="K219" s="21"/>
      <c r="L219" s="4"/>
    </row>
    <row r="220" spans="1:12" x14ac:dyDescent="0.2">
      <c r="A220" s="4"/>
      <c r="B220" s="20"/>
      <c r="C220" s="124" t="s">
        <v>75</v>
      </c>
      <c r="D220" s="124"/>
      <c r="E220" s="124"/>
      <c r="F220" s="124"/>
      <c r="G220" s="124"/>
      <c r="H220" s="124"/>
      <c r="I220" s="124"/>
      <c r="J220" s="124"/>
      <c r="K220" s="21"/>
      <c r="L220" s="4"/>
    </row>
    <row r="221" spans="1:12" x14ac:dyDescent="0.2">
      <c r="A221" s="4"/>
      <c r="B221" s="20"/>
      <c r="C221" s="35"/>
      <c r="D221" s="36"/>
      <c r="E221" s="37"/>
      <c r="F221" s="35"/>
      <c r="G221" s="35"/>
      <c r="H221" s="15"/>
      <c r="I221" s="15"/>
      <c r="J221" s="15"/>
      <c r="K221" s="21"/>
      <c r="L221" s="4"/>
    </row>
    <row r="222" spans="1:12" x14ac:dyDescent="0.2">
      <c r="A222" s="4"/>
      <c r="B222" s="20"/>
      <c r="C222" s="35"/>
      <c r="D222" s="35"/>
      <c r="E222" s="35"/>
      <c r="F222" s="35"/>
      <c r="G222" s="35"/>
      <c r="H222" s="15"/>
      <c r="I222" s="15"/>
      <c r="J222" s="15"/>
      <c r="K222" s="21"/>
      <c r="L222" s="4"/>
    </row>
    <row r="223" spans="1:12" x14ac:dyDescent="0.2">
      <c r="A223" s="4"/>
      <c r="B223" s="20"/>
      <c r="C223" s="35"/>
      <c r="D223" s="35"/>
      <c r="E223" s="35"/>
      <c r="F223" s="35"/>
      <c r="G223" s="35"/>
      <c r="H223" s="79">
        <f>(ipeak*dutycycle_max)/(f_switching*1000*v_inputripple)*1000000</f>
        <v>323.33333333333337</v>
      </c>
      <c r="I223" s="15" t="s">
        <v>51</v>
      </c>
      <c r="J223" s="15"/>
      <c r="K223" s="21"/>
      <c r="L223" s="4"/>
    </row>
    <row r="224" spans="1:12" x14ac:dyDescent="0.2">
      <c r="A224" s="4"/>
      <c r="B224" s="20"/>
      <c r="C224" s="35"/>
      <c r="D224" s="35"/>
      <c r="E224" s="35"/>
      <c r="F224" s="35"/>
      <c r="G224" s="35"/>
      <c r="H224" s="15"/>
      <c r="I224" s="15"/>
      <c r="J224" s="15"/>
      <c r="K224" s="21"/>
      <c r="L224" s="4"/>
    </row>
    <row r="225" spans="1:12" x14ac:dyDescent="0.2">
      <c r="A225" s="4"/>
      <c r="B225" s="20"/>
      <c r="C225" s="35"/>
      <c r="D225" s="35"/>
      <c r="E225" s="35"/>
      <c r="F225" s="38" t="s">
        <v>70</v>
      </c>
      <c r="G225" s="35"/>
      <c r="H225" s="15"/>
      <c r="I225" s="15"/>
      <c r="J225" s="15"/>
      <c r="K225" s="21"/>
      <c r="L225" s="4"/>
    </row>
    <row r="226" spans="1:12" x14ac:dyDescent="0.2">
      <c r="A226" s="4"/>
      <c r="B226" s="39"/>
      <c r="C226" s="15"/>
      <c r="D226" s="15"/>
      <c r="E226" s="15"/>
      <c r="F226" s="15"/>
      <c r="G226" s="15"/>
      <c r="H226" s="15"/>
      <c r="I226" s="15"/>
      <c r="J226" s="15"/>
      <c r="K226" s="21"/>
      <c r="L226" s="4"/>
    </row>
    <row r="227" spans="1:12" x14ac:dyDescent="0.2">
      <c r="A227" s="4"/>
      <c r="B227" s="20"/>
      <c r="C227" s="15"/>
      <c r="D227" s="15"/>
      <c r="E227" s="15"/>
      <c r="F227" s="15"/>
      <c r="G227" s="15"/>
      <c r="H227" s="15"/>
      <c r="I227" s="15"/>
      <c r="J227" s="15"/>
      <c r="K227" s="21"/>
      <c r="L227" s="4"/>
    </row>
    <row r="228" spans="1:12" ht="18.75" thickBot="1" x14ac:dyDescent="0.25">
      <c r="A228" s="4"/>
      <c r="B228" s="20"/>
      <c r="C228" s="117" t="s">
        <v>160</v>
      </c>
      <c r="D228" s="117"/>
      <c r="E228" s="117"/>
      <c r="F228" s="117"/>
      <c r="G228" s="117"/>
      <c r="H228" s="117"/>
      <c r="I228" s="117"/>
      <c r="J228" s="117"/>
      <c r="K228" s="21"/>
      <c r="L228" s="4"/>
    </row>
    <row r="229" spans="1:12" x14ac:dyDescent="0.2">
      <c r="A229" s="4"/>
      <c r="B229" s="20"/>
      <c r="C229" s="15"/>
      <c r="D229" s="15"/>
      <c r="E229" s="15"/>
      <c r="F229" s="15"/>
      <c r="G229" s="15"/>
      <c r="H229" s="15"/>
      <c r="I229" s="15"/>
      <c r="J229" s="15"/>
      <c r="K229" s="21"/>
      <c r="L229" s="4"/>
    </row>
    <row r="230" spans="1:12" ht="15" customHeight="1" x14ac:dyDescent="0.2">
      <c r="A230" s="4"/>
      <c r="B230" s="20"/>
      <c r="C230" s="85" t="s">
        <v>185</v>
      </c>
      <c r="D230" s="85"/>
      <c r="E230" s="85"/>
      <c r="F230" s="85"/>
      <c r="G230" s="85"/>
      <c r="H230" s="85"/>
      <c r="I230" s="85"/>
      <c r="J230" s="85"/>
      <c r="K230" s="21"/>
      <c r="L230" s="4"/>
    </row>
    <row r="231" spans="1:12" x14ac:dyDescent="0.2">
      <c r="A231" s="4"/>
      <c r="B231" s="20"/>
      <c r="C231" s="85"/>
      <c r="D231" s="85"/>
      <c r="E231" s="85"/>
      <c r="F231" s="85"/>
      <c r="G231" s="85"/>
      <c r="H231" s="85"/>
      <c r="I231" s="85"/>
      <c r="J231" s="85"/>
      <c r="K231" s="21"/>
      <c r="L231" s="4"/>
    </row>
    <row r="232" spans="1:12" x14ac:dyDescent="0.2">
      <c r="A232" s="4"/>
      <c r="B232" s="20"/>
      <c r="C232" s="85"/>
      <c r="D232" s="85"/>
      <c r="E232" s="85"/>
      <c r="F232" s="85"/>
      <c r="G232" s="85"/>
      <c r="H232" s="85"/>
      <c r="I232" s="85"/>
      <c r="J232" s="85"/>
      <c r="K232" s="21"/>
      <c r="L232" s="4"/>
    </row>
    <row r="233" spans="1:12" ht="15" customHeight="1" x14ac:dyDescent="0.2">
      <c r="A233" s="4"/>
      <c r="B233" s="20"/>
      <c r="C233" s="85" t="s">
        <v>83</v>
      </c>
      <c r="D233" s="85"/>
      <c r="E233" s="85"/>
      <c r="F233" s="85"/>
      <c r="G233" s="85"/>
      <c r="H233" s="85"/>
      <c r="I233" s="85"/>
      <c r="J233" s="85"/>
      <c r="K233" s="21"/>
      <c r="L233" s="4"/>
    </row>
    <row r="234" spans="1:12" x14ac:dyDescent="0.2">
      <c r="A234" s="4"/>
      <c r="B234" s="20"/>
      <c r="C234" s="85"/>
      <c r="D234" s="85"/>
      <c r="E234" s="85"/>
      <c r="F234" s="85"/>
      <c r="G234" s="85"/>
      <c r="H234" s="85"/>
      <c r="I234" s="85"/>
      <c r="J234" s="85"/>
      <c r="K234" s="21"/>
      <c r="L234" s="4"/>
    </row>
    <row r="235" spans="1:12" x14ac:dyDescent="0.2">
      <c r="A235" s="4"/>
      <c r="B235" s="20"/>
      <c r="C235" s="49"/>
      <c r="D235" s="49"/>
      <c r="E235" s="49"/>
      <c r="F235" s="49"/>
      <c r="G235" s="49"/>
      <c r="H235" s="49"/>
      <c r="I235" s="49"/>
      <c r="J235" s="49"/>
      <c r="K235" s="21"/>
      <c r="L235" s="4"/>
    </row>
    <row r="236" spans="1:12" x14ac:dyDescent="0.2">
      <c r="A236" s="4"/>
      <c r="B236" s="20"/>
      <c r="C236" s="49"/>
      <c r="D236" s="49"/>
      <c r="E236" s="49"/>
      <c r="G236" s="80">
        <f>r_inputimpedance</f>
        <v>24</v>
      </c>
      <c r="H236" s="15" t="s">
        <v>30</v>
      </c>
      <c r="I236" s="49"/>
      <c r="J236" s="49"/>
      <c r="K236" s="21"/>
      <c r="L236" s="4"/>
    </row>
    <row r="237" spans="1:12" ht="15" customHeight="1" x14ac:dyDescent="0.2">
      <c r="A237" s="4"/>
      <c r="B237" s="20"/>
      <c r="C237" s="49"/>
      <c r="D237" s="49"/>
      <c r="E237" s="49"/>
      <c r="F237" s="49"/>
      <c r="G237" s="89" t="s">
        <v>150</v>
      </c>
      <c r="H237" s="89"/>
      <c r="I237" s="49"/>
      <c r="J237" s="49"/>
      <c r="K237" s="21"/>
      <c r="L237" s="4"/>
    </row>
    <row r="238" spans="1:12" x14ac:dyDescent="0.2">
      <c r="A238" s="4"/>
      <c r="B238" s="20"/>
      <c r="C238" s="49"/>
      <c r="D238" s="49"/>
      <c r="E238" s="49"/>
      <c r="F238" s="49"/>
      <c r="G238" s="89"/>
      <c r="H238" s="89"/>
      <c r="I238" s="49"/>
      <c r="J238" s="49"/>
      <c r="K238" s="21"/>
      <c r="L238" s="4"/>
    </row>
    <row r="239" spans="1:12" x14ac:dyDescent="0.2">
      <c r="A239" s="4"/>
      <c r="B239" s="20"/>
      <c r="C239" s="15"/>
      <c r="D239" s="15"/>
      <c r="E239" s="15"/>
      <c r="F239" s="15"/>
      <c r="G239" s="15"/>
      <c r="H239" s="15"/>
      <c r="I239" s="15"/>
      <c r="J239" s="15"/>
      <c r="K239" s="21"/>
      <c r="L239" s="4"/>
    </row>
    <row r="240" spans="1:12" x14ac:dyDescent="0.2">
      <c r="A240" s="4"/>
      <c r="B240" s="20"/>
      <c r="C240" s="15"/>
      <c r="D240" s="15"/>
      <c r="E240" s="15"/>
      <c r="F240" s="15"/>
      <c r="G240" s="68">
        <v>1</v>
      </c>
      <c r="H240" s="15" t="s">
        <v>51</v>
      </c>
      <c r="I240" s="15"/>
      <c r="J240" s="15"/>
      <c r="K240" s="21"/>
      <c r="L240" s="4"/>
    </row>
    <row r="241" spans="1:12" x14ac:dyDescent="0.2">
      <c r="A241" s="4"/>
      <c r="B241" s="20"/>
      <c r="C241" s="15"/>
      <c r="D241" s="15"/>
      <c r="E241" s="15"/>
      <c r="F241" s="15"/>
      <c r="G241" s="89" t="s">
        <v>151</v>
      </c>
      <c r="H241" s="89"/>
      <c r="I241" s="15"/>
      <c r="J241" s="15"/>
      <c r="K241" s="21"/>
      <c r="L241" s="4"/>
    </row>
    <row r="242" spans="1:12" x14ac:dyDescent="0.2">
      <c r="A242" s="4"/>
      <c r="B242" s="20"/>
      <c r="C242" s="15"/>
      <c r="D242" s="15"/>
      <c r="E242" s="15"/>
      <c r="F242" s="15"/>
      <c r="G242" s="89"/>
      <c r="H242" s="89"/>
      <c r="I242" s="15"/>
      <c r="J242" s="15"/>
      <c r="K242" s="21"/>
      <c r="L242" s="4"/>
    </row>
    <row r="243" spans="1:12" x14ac:dyDescent="0.2">
      <c r="A243" s="4"/>
      <c r="B243" s="20"/>
      <c r="C243" s="15"/>
      <c r="D243" s="15"/>
      <c r="E243" s="15"/>
      <c r="F243" s="15"/>
      <c r="G243" s="28"/>
      <c r="H243" s="15"/>
      <c r="I243" s="15"/>
      <c r="J243" s="15"/>
      <c r="K243" s="21"/>
      <c r="L243" s="4"/>
    </row>
    <row r="244" spans="1:12" x14ac:dyDescent="0.2">
      <c r="A244" s="4"/>
      <c r="B244" s="20"/>
      <c r="C244" s="28"/>
      <c r="D244" s="15"/>
      <c r="E244" s="15"/>
      <c r="F244" s="28"/>
      <c r="G244" s="78">
        <f>1/(2*PI()*r_inputimpedance*1000*C_input*0.000001)</f>
        <v>6.6314559621623062</v>
      </c>
      <c r="H244" s="15" t="s">
        <v>53</v>
      </c>
      <c r="I244" s="15"/>
      <c r="J244" s="15"/>
      <c r="K244" s="21"/>
      <c r="L244" s="4"/>
    </row>
    <row r="245" spans="1:12" x14ac:dyDescent="0.2">
      <c r="A245" s="4"/>
      <c r="B245" s="20"/>
      <c r="C245" s="15"/>
      <c r="D245" s="15"/>
      <c r="E245" s="15"/>
      <c r="F245" s="15"/>
      <c r="G245" s="15"/>
      <c r="H245" s="15"/>
      <c r="I245" s="15"/>
      <c r="J245" s="15"/>
      <c r="K245" s="21"/>
      <c r="L245" s="4"/>
    </row>
    <row r="246" spans="1:12" x14ac:dyDescent="0.2">
      <c r="A246" s="15"/>
      <c r="B246" s="20"/>
      <c r="C246" s="15"/>
      <c r="D246" s="15"/>
      <c r="E246" s="15"/>
      <c r="F246" s="15"/>
      <c r="G246" s="15"/>
      <c r="H246" s="15"/>
      <c r="I246" s="15"/>
      <c r="J246" s="15"/>
      <c r="K246" s="21"/>
      <c r="L246" s="4"/>
    </row>
    <row r="247" spans="1:12" ht="18.75" thickBot="1" x14ac:dyDescent="0.25">
      <c r="A247" s="15"/>
      <c r="B247" s="20"/>
      <c r="C247" s="117" t="s">
        <v>161</v>
      </c>
      <c r="D247" s="117"/>
      <c r="E247" s="117"/>
      <c r="F247" s="117"/>
      <c r="G247" s="117"/>
      <c r="H247" s="117"/>
      <c r="I247" s="117"/>
      <c r="J247" s="117"/>
      <c r="K247" s="21"/>
      <c r="L247" s="4"/>
    </row>
    <row r="248" spans="1:12" x14ac:dyDescent="0.2">
      <c r="A248" s="15"/>
      <c r="B248" s="20"/>
      <c r="C248" s="15"/>
      <c r="D248" s="15"/>
      <c r="E248" s="15"/>
      <c r="F248" s="15"/>
      <c r="G248" s="15"/>
      <c r="H248" s="15"/>
      <c r="I248" s="15"/>
      <c r="J248" s="15"/>
      <c r="K248" s="21"/>
      <c r="L248" s="4"/>
    </row>
    <row r="249" spans="1:12" ht="14.45" customHeight="1" x14ac:dyDescent="0.2">
      <c r="A249" s="15"/>
      <c r="B249" s="20"/>
      <c r="C249" s="85" t="s">
        <v>85</v>
      </c>
      <c r="D249" s="85"/>
      <c r="E249" s="85"/>
      <c r="F249" s="85"/>
      <c r="G249" s="85"/>
      <c r="H249" s="85"/>
      <c r="I249" s="85"/>
      <c r="J249" s="85"/>
      <c r="K249" s="21"/>
      <c r="L249" s="4"/>
    </row>
    <row r="250" spans="1:12" x14ac:dyDescent="0.2">
      <c r="A250" s="15"/>
      <c r="B250" s="20"/>
      <c r="C250" s="85"/>
      <c r="D250" s="85"/>
      <c r="E250" s="85"/>
      <c r="F250" s="85"/>
      <c r="G250" s="85"/>
      <c r="H250" s="85"/>
      <c r="I250" s="85"/>
      <c r="J250" s="85"/>
      <c r="K250" s="21"/>
      <c r="L250" s="4"/>
    </row>
    <row r="251" spans="1:12" x14ac:dyDescent="0.2">
      <c r="A251" s="15"/>
      <c r="B251" s="20"/>
      <c r="C251" s="85"/>
      <c r="D251" s="85"/>
      <c r="E251" s="85"/>
      <c r="F251" s="85"/>
      <c r="G251" s="85"/>
      <c r="H251" s="85"/>
      <c r="I251" s="85"/>
      <c r="J251" s="85"/>
      <c r="K251" s="21"/>
      <c r="L251" s="4"/>
    </row>
    <row r="252" spans="1:12" x14ac:dyDescent="0.2">
      <c r="A252" s="15"/>
      <c r="B252" s="20"/>
      <c r="C252" s="85"/>
      <c r="D252" s="85"/>
      <c r="E252" s="85"/>
      <c r="F252" s="85"/>
      <c r="G252" s="85"/>
      <c r="H252" s="85"/>
      <c r="I252" s="85"/>
      <c r="J252" s="85"/>
      <c r="K252" s="21"/>
      <c r="L252" s="4"/>
    </row>
    <row r="253" spans="1:12" x14ac:dyDescent="0.2">
      <c r="A253" s="15"/>
      <c r="B253" s="20"/>
      <c r="C253" s="49"/>
      <c r="D253" s="49"/>
      <c r="E253" s="49"/>
      <c r="F253" s="49"/>
      <c r="G253" s="49"/>
      <c r="H253" s="49"/>
      <c r="I253" s="49"/>
      <c r="J253" s="49"/>
      <c r="K253" s="21"/>
      <c r="L253" s="4"/>
    </row>
    <row r="254" spans="1:12" x14ac:dyDescent="0.2">
      <c r="A254" s="15"/>
      <c r="B254" s="20"/>
      <c r="C254" s="49"/>
      <c r="D254" s="49"/>
      <c r="E254" s="49"/>
      <c r="F254" s="49"/>
      <c r="G254" s="49"/>
      <c r="H254" s="49"/>
      <c r="I254" s="49"/>
      <c r="J254" s="49"/>
      <c r="K254" s="21"/>
      <c r="L254" s="4"/>
    </row>
    <row r="255" spans="1:12" x14ac:dyDescent="0.2">
      <c r="A255" s="15"/>
      <c r="B255" s="20"/>
      <c r="C255" s="49"/>
      <c r="D255" s="49"/>
      <c r="E255" s="49"/>
      <c r="F255" s="49"/>
      <c r="G255" s="49"/>
      <c r="H255" s="49"/>
      <c r="I255" s="49"/>
      <c r="J255" s="49"/>
      <c r="K255" s="21"/>
      <c r="L255" s="4"/>
    </row>
    <row r="256" spans="1:12" x14ac:dyDescent="0.2">
      <c r="A256" s="15"/>
      <c r="B256" s="20"/>
      <c r="C256" s="49"/>
      <c r="D256" s="49"/>
      <c r="E256" s="49"/>
      <c r="F256" s="49"/>
      <c r="G256" s="49"/>
      <c r="H256" s="49"/>
      <c r="I256" s="49"/>
      <c r="J256" s="49"/>
      <c r="K256" s="21"/>
      <c r="L256" s="4"/>
    </row>
    <row r="257" spans="1:12" x14ac:dyDescent="0.2">
      <c r="A257" s="15"/>
      <c r="B257" s="20"/>
      <c r="C257" s="49"/>
      <c r="D257" s="49"/>
      <c r="E257" s="49"/>
      <c r="F257" s="49"/>
      <c r="G257" s="49"/>
      <c r="H257" s="49"/>
      <c r="I257" s="49"/>
      <c r="J257" s="49"/>
      <c r="K257" s="21"/>
      <c r="L257" s="4"/>
    </row>
    <row r="258" spans="1:12" x14ac:dyDescent="0.2">
      <c r="A258" s="15"/>
      <c r="B258" s="20"/>
      <c r="C258" s="49"/>
      <c r="D258" s="49"/>
      <c r="E258" s="49"/>
      <c r="F258" s="49"/>
      <c r="G258" s="49"/>
      <c r="H258" s="49"/>
      <c r="I258" s="49"/>
      <c r="J258" s="49"/>
      <c r="K258" s="21"/>
      <c r="L258" s="4"/>
    </row>
    <row r="259" spans="1:12" x14ac:dyDescent="0.2">
      <c r="A259" s="15"/>
      <c r="B259" s="20"/>
      <c r="C259" s="49"/>
      <c r="D259" s="49"/>
      <c r="E259" s="49"/>
      <c r="F259" s="49"/>
      <c r="G259" s="49"/>
      <c r="H259" s="49"/>
      <c r="I259" s="49"/>
      <c r="J259" s="49"/>
      <c r="K259" s="21"/>
      <c r="L259" s="4"/>
    </row>
    <row r="260" spans="1:12" x14ac:dyDescent="0.2">
      <c r="A260" s="15"/>
      <c r="B260" s="20"/>
      <c r="C260" s="49"/>
      <c r="D260" s="49"/>
      <c r="E260" s="49"/>
      <c r="F260" s="49"/>
      <c r="G260" s="49"/>
      <c r="H260" s="49"/>
      <c r="I260" s="49"/>
      <c r="J260" s="49"/>
      <c r="K260" s="21"/>
      <c r="L260" s="4"/>
    </row>
    <row r="261" spans="1:12" x14ac:dyDescent="0.2">
      <c r="A261" s="15"/>
      <c r="B261" s="20"/>
      <c r="C261" s="49"/>
      <c r="D261" s="49"/>
      <c r="E261" s="49"/>
      <c r="F261" s="49"/>
      <c r="G261" s="49"/>
      <c r="H261" s="49"/>
      <c r="I261" s="49"/>
      <c r="J261" s="49"/>
      <c r="K261" s="21"/>
      <c r="L261" s="4"/>
    </row>
    <row r="262" spans="1:12" x14ac:dyDescent="0.2">
      <c r="A262" s="15"/>
      <c r="B262" s="20"/>
      <c r="C262" s="49"/>
      <c r="D262" s="49"/>
      <c r="E262" s="49"/>
      <c r="F262" s="49"/>
      <c r="G262" s="49"/>
      <c r="H262" s="49"/>
      <c r="I262" s="49"/>
      <c r="J262" s="49"/>
      <c r="K262" s="21"/>
      <c r="L262" s="4"/>
    </row>
    <row r="263" spans="1:12" x14ac:dyDescent="0.2">
      <c r="A263" s="15"/>
      <c r="B263" s="20"/>
      <c r="C263" s="49"/>
      <c r="D263" s="49"/>
      <c r="E263" s="49"/>
      <c r="F263" s="49"/>
      <c r="G263" s="49"/>
      <c r="H263" s="49"/>
      <c r="I263" s="49"/>
      <c r="J263" s="49"/>
      <c r="K263" s="21"/>
      <c r="L263" s="4"/>
    </row>
    <row r="264" spans="1:12" ht="15" customHeight="1" x14ac:dyDescent="0.2">
      <c r="A264" s="15"/>
      <c r="B264" s="20"/>
      <c r="C264" s="85" t="s">
        <v>175</v>
      </c>
      <c r="D264" s="85"/>
      <c r="E264" s="85"/>
      <c r="F264" s="85"/>
      <c r="G264" s="85"/>
      <c r="H264" s="85"/>
      <c r="I264" s="85"/>
      <c r="J264" s="85"/>
      <c r="K264" s="21"/>
      <c r="L264" s="4"/>
    </row>
    <row r="265" spans="1:12" x14ac:dyDescent="0.2">
      <c r="A265" s="15"/>
      <c r="B265" s="20"/>
      <c r="C265" s="85"/>
      <c r="D265" s="85"/>
      <c r="E265" s="85"/>
      <c r="F265" s="85"/>
      <c r="G265" s="85"/>
      <c r="H265" s="85"/>
      <c r="I265" s="85"/>
      <c r="J265" s="85"/>
      <c r="K265" s="21"/>
      <c r="L265" s="4"/>
    </row>
    <row r="266" spans="1:12" x14ac:dyDescent="0.2">
      <c r="A266" s="15"/>
      <c r="B266" s="20"/>
      <c r="C266" s="54"/>
      <c r="D266" s="54"/>
      <c r="E266" s="54"/>
      <c r="F266" s="54"/>
      <c r="G266" s="54"/>
      <c r="H266" s="54"/>
      <c r="I266" s="54"/>
      <c r="J266" s="54"/>
      <c r="K266" s="21"/>
      <c r="L266" s="4"/>
    </row>
    <row r="267" spans="1:12" x14ac:dyDescent="0.2">
      <c r="A267" s="15"/>
      <c r="B267" s="20"/>
      <c r="C267" s="86" t="s">
        <v>86</v>
      </c>
      <c r="D267" s="86"/>
      <c r="E267" s="86"/>
      <c r="F267" s="28"/>
      <c r="G267" s="87">
        <v>10</v>
      </c>
      <c r="H267" s="87"/>
      <c r="I267" s="15"/>
      <c r="J267" s="15"/>
      <c r="K267" s="21"/>
      <c r="L267" s="4"/>
    </row>
    <row r="268" spans="1:12" x14ac:dyDescent="0.2">
      <c r="A268" s="15"/>
      <c r="B268" s="20"/>
      <c r="C268" s="88"/>
      <c r="D268" s="88"/>
      <c r="E268" s="43"/>
      <c r="F268" s="43"/>
      <c r="G268" s="15"/>
      <c r="H268" s="15"/>
      <c r="I268" s="15"/>
      <c r="J268" s="15"/>
      <c r="K268" s="21"/>
      <c r="L268" s="4"/>
    </row>
    <row r="269" spans="1:12" x14ac:dyDescent="0.2">
      <c r="A269" s="15"/>
      <c r="B269" s="20"/>
      <c r="C269" s="51"/>
      <c r="D269" s="51"/>
      <c r="E269" s="43"/>
      <c r="F269" s="43"/>
      <c r="G269" s="15"/>
      <c r="H269" s="15"/>
      <c r="I269" s="15"/>
      <c r="J269" s="15"/>
      <c r="K269" s="21"/>
      <c r="L269" s="4"/>
    </row>
    <row r="270" spans="1:12" ht="15" customHeight="1" x14ac:dyDescent="0.2">
      <c r="A270" s="15"/>
      <c r="B270" s="20"/>
      <c r="C270" s="85" t="s">
        <v>186</v>
      </c>
      <c r="D270" s="85"/>
      <c r="E270" s="85"/>
      <c r="F270" s="85"/>
      <c r="G270" s="85"/>
      <c r="H270" s="85"/>
      <c r="I270" s="85"/>
      <c r="J270" s="85"/>
      <c r="K270" s="21"/>
      <c r="L270" s="4"/>
    </row>
    <row r="271" spans="1:12" x14ac:dyDescent="0.2">
      <c r="A271" s="15"/>
      <c r="B271" s="20"/>
      <c r="C271" s="85"/>
      <c r="D271" s="85"/>
      <c r="E271" s="85"/>
      <c r="F271" s="85"/>
      <c r="G271" s="85"/>
      <c r="H271" s="85"/>
      <c r="I271" s="85"/>
      <c r="J271" s="85"/>
      <c r="K271" s="21"/>
      <c r="L271" s="4"/>
    </row>
    <row r="272" spans="1:12" x14ac:dyDescent="0.2">
      <c r="A272" s="15"/>
      <c r="B272" s="20"/>
      <c r="C272" s="15"/>
      <c r="D272" s="15"/>
      <c r="E272" s="15"/>
      <c r="F272" s="15"/>
      <c r="G272" s="15"/>
      <c r="H272" s="15"/>
      <c r="I272" s="15"/>
      <c r="J272" s="15"/>
      <c r="K272" s="21"/>
      <c r="L272" s="4"/>
    </row>
    <row r="273" spans="1:12" x14ac:dyDescent="0.2">
      <c r="A273" s="15"/>
      <c r="B273" s="20"/>
      <c r="C273" s="111" t="s">
        <v>35</v>
      </c>
      <c r="D273" s="111"/>
      <c r="E273" s="111"/>
      <c r="F273" s="28"/>
      <c r="G273" s="82">
        <f>IF($E$50=Dropdowns!$E$4, 20, 10)</f>
        <v>10</v>
      </c>
      <c r="H273" s="69" t="s">
        <v>36</v>
      </c>
      <c r="I273" s="15"/>
      <c r="J273" s="15"/>
      <c r="K273" s="21"/>
      <c r="L273" s="4"/>
    </row>
    <row r="274" spans="1:12" x14ac:dyDescent="0.2">
      <c r="A274" s="15"/>
      <c r="B274" s="20"/>
      <c r="C274" s="107" t="s">
        <v>153</v>
      </c>
      <c r="D274" s="107"/>
      <c r="E274" s="107"/>
      <c r="F274" s="15"/>
      <c r="G274" s="46" t="str">
        <f>IF($E$50=Dropdowns!$E$4, "Pre-Filter PBTL", "")</f>
        <v/>
      </c>
      <c r="H274" s="15"/>
      <c r="I274" s="15"/>
      <c r="J274" s="15"/>
      <c r="K274" s="21"/>
      <c r="L274" s="4"/>
    </row>
    <row r="275" spans="1:12" x14ac:dyDescent="0.2">
      <c r="A275" s="15"/>
      <c r="B275" s="20"/>
      <c r="C275" s="51"/>
      <c r="D275" s="51"/>
      <c r="E275" s="51"/>
      <c r="F275" s="15"/>
      <c r="G275" s="15"/>
      <c r="H275" s="15"/>
      <c r="I275" s="15"/>
      <c r="J275" s="15"/>
      <c r="K275" s="21"/>
      <c r="L275" s="4"/>
    </row>
    <row r="276" spans="1:12" x14ac:dyDescent="0.2">
      <c r="A276" s="15"/>
      <c r="B276" s="20"/>
      <c r="C276" s="15"/>
      <c r="D276" s="15"/>
      <c r="E276" s="44"/>
      <c r="F276" s="15"/>
      <c r="G276" s="15"/>
      <c r="H276" s="15"/>
      <c r="I276" s="15"/>
      <c r="J276" s="15"/>
      <c r="K276" s="21"/>
      <c r="L276" s="4"/>
    </row>
    <row r="277" spans="1:12" ht="15" customHeight="1" x14ac:dyDescent="0.2">
      <c r="A277" s="15"/>
      <c r="B277" s="20"/>
      <c r="C277" s="85" t="s">
        <v>102</v>
      </c>
      <c r="D277" s="85"/>
      <c r="E277" s="85"/>
      <c r="F277" s="85"/>
      <c r="G277" s="85"/>
      <c r="H277" s="85"/>
      <c r="I277" s="85"/>
      <c r="J277" s="85"/>
      <c r="K277" s="21"/>
      <c r="L277" s="4"/>
    </row>
    <row r="278" spans="1:12" x14ac:dyDescent="0.2">
      <c r="A278" s="15"/>
      <c r="B278" s="20"/>
      <c r="C278" s="85"/>
      <c r="D278" s="85"/>
      <c r="E278" s="85"/>
      <c r="F278" s="85"/>
      <c r="G278" s="85"/>
      <c r="H278" s="85"/>
      <c r="I278" s="85"/>
      <c r="J278" s="85"/>
      <c r="K278" s="21"/>
      <c r="L278" s="4"/>
    </row>
    <row r="279" spans="1:12" x14ac:dyDescent="0.2">
      <c r="A279" s="15"/>
      <c r="B279" s="20"/>
      <c r="C279" s="48"/>
      <c r="D279" s="48"/>
      <c r="E279" s="48"/>
      <c r="F279" s="48"/>
      <c r="G279" s="48"/>
      <c r="H279" s="48"/>
      <c r="I279" s="48"/>
      <c r="J279" s="48"/>
      <c r="K279" s="21"/>
      <c r="L279" s="4"/>
    </row>
    <row r="280" spans="1:12" x14ac:dyDescent="0.2">
      <c r="A280" s="15"/>
      <c r="B280" s="20"/>
      <c r="C280" s="112" t="s">
        <v>87</v>
      </c>
      <c r="D280" s="112"/>
      <c r="E280" s="112"/>
      <c r="F280" s="28"/>
      <c r="G280" s="70">
        <v>10</v>
      </c>
      <c r="H280" s="15" t="s">
        <v>88</v>
      </c>
      <c r="I280" s="15"/>
      <c r="J280" s="15"/>
      <c r="K280" s="21"/>
      <c r="L280" s="4"/>
    </row>
    <row r="281" spans="1:12" x14ac:dyDescent="0.2">
      <c r="A281" s="15"/>
      <c r="B281" s="20"/>
      <c r="C281" s="107" t="s">
        <v>89</v>
      </c>
      <c r="D281" s="107"/>
      <c r="E281" s="107"/>
      <c r="F281" s="45"/>
      <c r="G281" s="15"/>
      <c r="H281" s="15"/>
      <c r="I281" s="15"/>
      <c r="J281" s="15"/>
      <c r="K281" s="21"/>
      <c r="L281" s="4"/>
    </row>
    <row r="282" spans="1:12" x14ac:dyDescent="0.2">
      <c r="A282" s="15"/>
      <c r="B282" s="20"/>
      <c r="C282" s="50"/>
      <c r="D282" s="28"/>
      <c r="E282" s="50"/>
      <c r="F282" s="45"/>
      <c r="G282" s="15"/>
      <c r="H282" s="15"/>
      <c r="I282" s="15"/>
      <c r="J282" s="15"/>
      <c r="K282" s="21"/>
      <c r="L282" s="4"/>
    </row>
    <row r="283" spans="1:12" x14ac:dyDescent="0.2">
      <c r="A283" s="15"/>
      <c r="B283" s="20"/>
      <c r="C283" s="46"/>
      <c r="D283" s="50"/>
      <c r="E283" s="46"/>
      <c r="F283" s="45"/>
      <c r="G283" s="15"/>
      <c r="H283" s="15"/>
      <c r="I283" s="15"/>
      <c r="J283" s="15"/>
      <c r="K283" s="21"/>
      <c r="L283" s="4"/>
    </row>
    <row r="284" spans="1:12" ht="15" customHeight="1" x14ac:dyDescent="0.2">
      <c r="A284" s="15"/>
      <c r="B284" s="20"/>
      <c r="C284" s="108" t="s">
        <v>176</v>
      </c>
      <c r="D284" s="108"/>
      <c r="E284" s="108"/>
      <c r="F284" s="108"/>
      <c r="G284" s="108"/>
      <c r="H284" s="108"/>
      <c r="I284" s="108"/>
      <c r="J284" s="108"/>
      <c r="K284" s="21"/>
      <c r="L284" s="4"/>
    </row>
    <row r="285" spans="1:12" x14ac:dyDescent="0.2">
      <c r="A285" s="15"/>
      <c r="B285" s="20"/>
      <c r="C285" s="108"/>
      <c r="D285" s="108"/>
      <c r="E285" s="108"/>
      <c r="F285" s="108"/>
      <c r="G285" s="108"/>
      <c r="H285" s="108"/>
      <c r="I285" s="108"/>
      <c r="J285" s="108"/>
      <c r="K285" s="21"/>
      <c r="L285" s="4"/>
    </row>
    <row r="286" spans="1:12" x14ac:dyDescent="0.2">
      <c r="A286" s="15"/>
      <c r="B286" s="20"/>
      <c r="C286" s="15"/>
      <c r="D286" s="15"/>
      <c r="E286" s="15"/>
      <c r="F286" s="44"/>
      <c r="G286" s="15"/>
      <c r="H286" s="15"/>
      <c r="I286" s="15"/>
      <c r="J286" s="15"/>
      <c r="K286" s="21"/>
      <c r="L286" s="4"/>
    </row>
    <row r="287" spans="1:12" ht="14.45" customHeight="1" x14ac:dyDescent="0.2">
      <c r="A287" s="15"/>
      <c r="B287" s="20"/>
      <c r="C287" s="109" t="s">
        <v>87</v>
      </c>
      <c r="D287" s="109"/>
      <c r="E287" s="109"/>
      <c r="F287" s="28"/>
      <c r="G287" s="110" t="str">
        <f>IF(G280&gt;=5, "Acceptable", "Unacceptable")</f>
        <v>Acceptable</v>
      </c>
      <c r="H287" s="110"/>
      <c r="I287" s="15"/>
      <c r="J287" s="15"/>
      <c r="K287" s="21"/>
      <c r="L287" s="4"/>
    </row>
    <row r="288" spans="1:12" x14ac:dyDescent="0.2">
      <c r="A288" s="15"/>
      <c r="B288" s="20"/>
      <c r="C288" s="107" t="s">
        <v>90</v>
      </c>
      <c r="D288" s="107"/>
      <c r="E288" s="107"/>
      <c r="F288" s="69"/>
      <c r="G288" s="15"/>
      <c r="H288" s="15"/>
      <c r="I288" s="15"/>
      <c r="J288" s="15"/>
      <c r="K288" s="21"/>
      <c r="L288" s="4"/>
    </row>
    <row r="289" spans="1:12" x14ac:dyDescent="0.2">
      <c r="A289" s="4"/>
      <c r="B289" s="20"/>
      <c r="C289" s="24"/>
      <c r="D289" s="15"/>
      <c r="E289" s="15"/>
      <c r="F289" s="15"/>
      <c r="G289" s="15"/>
      <c r="H289" s="15"/>
      <c r="I289" s="15"/>
      <c r="J289" s="15"/>
      <c r="K289" s="21"/>
      <c r="L289" s="4"/>
    </row>
    <row r="290" spans="1:12" x14ac:dyDescent="0.2">
      <c r="A290" s="4"/>
      <c r="B290" s="20"/>
      <c r="C290" s="15"/>
      <c r="D290" s="15"/>
      <c r="E290" s="15"/>
      <c r="F290" s="15"/>
      <c r="G290" s="15"/>
      <c r="H290" s="15"/>
      <c r="I290" s="15"/>
      <c r="J290" s="15"/>
      <c r="K290" s="21"/>
      <c r="L290" s="4"/>
    </row>
    <row r="291" spans="1:12" ht="18.75" thickBot="1" x14ac:dyDescent="0.25">
      <c r="A291" s="4"/>
      <c r="B291" s="20"/>
      <c r="C291" s="117" t="s">
        <v>52</v>
      </c>
      <c r="D291" s="117"/>
      <c r="E291" s="117"/>
      <c r="F291" s="117"/>
      <c r="G291" s="117"/>
      <c r="H291" s="117"/>
      <c r="I291" s="117"/>
      <c r="J291" s="117"/>
      <c r="K291" s="21"/>
      <c r="L291" s="4"/>
    </row>
    <row r="292" spans="1:12" x14ac:dyDescent="0.2">
      <c r="A292" s="4"/>
      <c r="B292" s="20"/>
      <c r="C292" s="15"/>
      <c r="D292" s="15"/>
      <c r="E292" s="15"/>
      <c r="F292" s="15"/>
      <c r="G292" s="15"/>
      <c r="H292" s="15"/>
      <c r="I292" s="15"/>
      <c r="J292" s="15"/>
      <c r="K292" s="21"/>
      <c r="L292" s="4"/>
    </row>
    <row r="293" spans="1:12" x14ac:dyDescent="0.2">
      <c r="A293" s="4"/>
      <c r="B293" s="20"/>
      <c r="C293" s="15"/>
      <c r="D293" s="28"/>
      <c r="E293" s="40">
        <v>0.97</v>
      </c>
      <c r="F293" s="15"/>
      <c r="G293" s="15"/>
      <c r="H293" s="15"/>
      <c r="I293" s="15"/>
      <c r="J293" s="15"/>
      <c r="K293" s="21"/>
      <c r="L293" s="4"/>
    </row>
    <row r="294" spans="1:12" x14ac:dyDescent="0.2">
      <c r="A294" s="4"/>
      <c r="B294" s="20"/>
      <c r="C294" s="28"/>
      <c r="D294" s="50" t="s">
        <v>58</v>
      </c>
      <c r="E294" s="15"/>
      <c r="F294" s="15"/>
      <c r="G294" s="15"/>
      <c r="H294" s="41"/>
      <c r="I294" s="15"/>
      <c r="J294" s="15"/>
      <c r="K294" s="21"/>
      <c r="L294" s="4"/>
    </row>
    <row r="295" spans="1:12" x14ac:dyDescent="0.2">
      <c r="A295" s="4"/>
      <c r="B295" s="20"/>
      <c r="C295" s="15"/>
      <c r="D295" s="50"/>
      <c r="E295" s="15"/>
      <c r="F295" s="15"/>
      <c r="G295" s="15"/>
      <c r="H295" s="41"/>
      <c r="I295" s="15"/>
      <c r="J295" s="15"/>
      <c r="K295" s="21"/>
      <c r="L295" s="4"/>
    </row>
    <row r="296" spans="1:12" x14ac:dyDescent="0.2">
      <c r="A296" s="4"/>
      <c r="B296" s="20"/>
      <c r="C296" s="28"/>
      <c r="D296" s="50"/>
      <c r="E296" s="15"/>
      <c r="F296" s="15"/>
      <c r="G296" s="15"/>
      <c r="H296" s="41"/>
      <c r="I296" s="15"/>
      <c r="J296" s="115">
        <v>43059</v>
      </c>
      <c r="K296" s="116"/>
      <c r="L296" s="4"/>
    </row>
    <row r="297" spans="1:12" ht="15" thickBot="1" x14ac:dyDescent="0.25">
      <c r="A297" s="4"/>
      <c r="B297" s="42"/>
      <c r="C297" s="14"/>
      <c r="D297" s="14"/>
      <c r="E297" s="14"/>
      <c r="F297" s="14"/>
      <c r="G297" s="14"/>
      <c r="H297" s="14"/>
      <c r="I297" s="14"/>
      <c r="J297" s="113"/>
      <c r="K297" s="114"/>
      <c r="L297" s="4"/>
    </row>
    <row r="298" spans="1:12" x14ac:dyDescent="0.2">
      <c r="A298" s="4"/>
      <c r="B298" s="4"/>
      <c r="C298" s="4"/>
      <c r="D298" s="4"/>
      <c r="E298" s="4"/>
      <c r="F298" s="4"/>
      <c r="G298" s="4"/>
      <c r="H298" s="4"/>
      <c r="I298" s="4"/>
      <c r="J298" s="4"/>
      <c r="K298" s="4"/>
      <c r="L298" s="4"/>
    </row>
    <row r="299" spans="1:12" x14ac:dyDescent="0.2">
      <c r="A299" s="4"/>
      <c r="B299" s="4"/>
      <c r="C299" s="4"/>
      <c r="D299" s="4"/>
      <c r="E299" s="4"/>
      <c r="F299" s="4"/>
      <c r="G299" s="4"/>
      <c r="H299" s="4"/>
      <c r="I299" s="4"/>
      <c r="J299" s="4"/>
      <c r="K299" s="4"/>
      <c r="L299" s="4"/>
    </row>
    <row r="300" spans="1:12" x14ac:dyDescent="0.2">
      <c r="A300" s="4"/>
      <c r="B300" s="106" t="s">
        <v>172</v>
      </c>
      <c r="C300" s="106"/>
      <c r="D300" s="106"/>
      <c r="E300" s="106"/>
      <c r="F300" s="106"/>
      <c r="G300" s="106"/>
      <c r="H300" s="106"/>
      <c r="I300" s="106"/>
      <c r="J300" s="106"/>
      <c r="K300" s="106"/>
      <c r="L300" s="4"/>
    </row>
    <row r="301" spans="1:12" x14ac:dyDescent="0.2">
      <c r="A301" s="4"/>
      <c r="B301" s="4"/>
      <c r="C301" s="4"/>
      <c r="D301" s="4"/>
      <c r="E301" s="4"/>
      <c r="F301" s="4"/>
      <c r="G301" s="4"/>
      <c r="H301" s="4"/>
      <c r="I301" s="4"/>
      <c r="J301" s="4"/>
      <c r="K301" s="4"/>
      <c r="L301" s="4"/>
    </row>
    <row r="302" spans="1:12" x14ac:dyDescent="0.2">
      <c r="B302" s="5"/>
      <c r="C302" s="5"/>
      <c r="D302" s="5"/>
      <c r="E302" s="5"/>
      <c r="F302" s="5"/>
      <c r="G302" s="5"/>
      <c r="H302" s="5"/>
      <c r="I302" s="5"/>
      <c r="J302" s="5"/>
      <c r="K302" s="5"/>
    </row>
    <row r="303" spans="1:12" x14ac:dyDescent="0.2">
      <c r="B303" s="5"/>
      <c r="C303" s="5"/>
      <c r="D303" s="5"/>
      <c r="E303" s="5"/>
      <c r="F303" s="5"/>
      <c r="G303" s="5"/>
      <c r="H303" s="5"/>
      <c r="I303" s="5"/>
      <c r="J303" s="5"/>
      <c r="K303" s="5"/>
    </row>
    <row r="304" spans="1:12" x14ac:dyDescent="0.2">
      <c r="C304" s="5"/>
      <c r="D304" s="5"/>
      <c r="E304" s="5"/>
      <c r="F304" s="5"/>
      <c r="G304" s="5"/>
      <c r="H304" s="5"/>
      <c r="I304" s="5"/>
      <c r="J304" s="5"/>
    </row>
    <row r="305" spans="3:10" x14ac:dyDescent="0.2">
      <c r="C305" s="5"/>
      <c r="D305" s="5"/>
      <c r="E305" s="5"/>
      <c r="F305" s="5"/>
      <c r="G305" s="5"/>
      <c r="H305" s="5"/>
      <c r="I305" s="5"/>
      <c r="J305" s="5"/>
    </row>
    <row r="306" spans="3:10" x14ac:dyDescent="0.2">
      <c r="C306" s="5"/>
      <c r="D306" s="5"/>
      <c r="E306" s="5"/>
      <c r="F306" s="5"/>
      <c r="G306" s="5"/>
      <c r="H306" s="5"/>
      <c r="I306" s="5"/>
      <c r="J306" s="5"/>
    </row>
  </sheetData>
  <mergeCells count="109">
    <mergeCell ref="C220:J220"/>
    <mergeCell ref="C233:J234"/>
    <mergeCell ref="C228:J228"/>
    <mergeCell ref="C201:J202"/>
    <mergeCell ref="C168:E168"/>
    <mergeCell ref="C165:E165"/>
    <mergeCell ref="C160:J161"/>
    <mergeCell ref="C5:J5"/>
    <mergeCell ref="C14:J16"/>
    <mergeCell ref="C28:J29"/>
    <mergeCell ref="C21:F21"/>
    <mergeCell ref="E152:I152"/>
    <mergeCell ref="E153:I153"/>
    <mergeCell ref="E154:I154"/>
    <mergeCell ref="E155:I155"/>
    <mergeCell ref="C68:D68"/>
    <mergeCell ref="C123:D123"/>
    <mergeCell ref="D130:E130"/>
    <mergeCell ref="C64:J64"/>
    <mergeCell ref="C76:D76"/>
    <mergeCell ref="F80:G80"/>
    <mergeCell ref="C80:D80"/>
    <mergeCell ref="C134:J134"/>
    <mergeCell ref="C136:J138"/>
    <mergeCell ref="C149:D149"/>
    <mergeCell ref="F149:I149"/>
    <mergeCell ref="I3:J3"/>
    <mergeCell ref="F57:G57"/>
    <mergeCell ref="C38:J39"/>
    <mergeCell ref="H54:I54"/>
    <mergeCell ref="H53:I53"/>
    <mergeCell ref="H55:I55"/>
    <mergeCell ref="H56:I56"/>
    <mergeCell ref="H57:I57"/>
    <mergeCell ref="C17:G17"/>
    <mergeCell ref="C18:G18"/>
    <mergeCell ref="C22:G22"/>
    <mergeCell ref="C24:G24"/>
    <mergeCell ref="C23:G23"/>
    <mergeCell ref="C26:G26"/>
    <mergeCell ref="C7:J7"/>
    <mergeCell ref="C12:J12"/>
    <mergeCell ref="C25:G25"/>
    <mergeCell ref="E50:I50"/>
    <mergeCell ref="F55:G55"/>
    <mergeCell ref="C50:D50"/>
    <mergeCell ref="F53:G53"/>
    <mergeCell ref="F54:G54"/>
    <mergeCell ref="C247:J247"/>
    <mergeCell ref="F58:G58"/>
    <mergeCell ref="H58:I58"/>
    <mergeCell ref="F59:G59"/>
    <mergeCell ref="H59:I59"/>
    <mergeCell ref="F60:G60"/>
    <mergeCell ref="H60:I60"/>
    <mergeCell ref="F61:G61"/>
    <mergeCell ref="H61:I61"/>
    <mergeCell ref="C83:J83"/>
    <mergeCell ref="C85:J90"/>
    <mergeCell ref="C174:J180"/>
    <mergeCell ref="C66:J66"/>
    <mergeCell ref="C77:J78"/>
    <mergeCell ref="C92:D92"/>
    <mergeCell ref="F92:I92"/>
    <mergeCell ref="C113:J113"/>
    <mergeCell ref="C117:D117"/>
    <mergeCell ref="C163:E163"/>
    <mergeCell ref="C158:J158"/>
    <mergeCell ref="C172:J172"/>
    <mergeCell ref="C230:J232"/>
    <mergeCell ref="C208:J208"/>
    <mergeCell ref="C214:J214"/>
    <mergeCell ref="B300:K300"/>
    <mergeCell ref="C281:E281"/>
    <mergeCell ref="C284:J285"/>
    <mergeCell ref="C287:E287"/>
    <mergeCell ref="G287:H287"/>
    <mergeCell ref="C288:E288"/>
    <mergeCell ref="C273:E273"/>
    <mergeCell ref="C274:E274"/>
    <mergeCell ref="C277:J278"/>
    <mergeCell ref="C280:E280"/>
    <mergeCell ref="J297:K297"/>
    <mergeCell ref="J296:K296"/>
    <mergeCell ref="C291:J291"/>
    <mergeCell ref="C249:J252"/>
    <mergeCell ref="C264:J265"/>
    <mergeCell ref="C267:E267"/>
    <mergeCell ref="G267:H267"/>
    <mergeCell ref="C268:D268"/>
    <mergeCell ref="G237:H238"/>
    <mergeCell ref="G241:H242"/>
    <mergeCell ref="C270:J271"/>
    <mergeCell ref="C19:G19"/>
    <mergeCell ref="C20:G20"/>
    <mergeCell ref="C111:D111"/>
    <mergeCell ref="F111:G111"/>
    <mergeCell ref="C127:J127"/>
    <mergeCell ref="C124:E125"/>
    <mergeCell ref="C119:D119"/>
    <mergeCell ref="C120:E121"/>
    <mergeCell ref="F130:G130"/>
    <mergeCell ref="F131:G131"/>
    <mergeCell ref="D131:E131"/>
    <mergeCell ref="F129:G129"/>
    <mergeCell ref="C36:J36"/>
    <mergeCell ref="F125:G125"/>
    <mergeCell ref="C70:J75"/>
    <mergeCell ref="F56:G56"/>
  </mergeCells>
  <phoneticPr fontId="22" type="noConversion"/>
  <conditionalFormatting sqref="G287:H287">
    <cfRule type="containsText" dxfId="1" priority="2" operator="containsText" text="Unacceptable">
      <formula>NOT(ISERROR(SEARCH("Unacceptable",G287)))</formula>
    </cfRule>
  </conditionalFormatting>
  <conditionalFormatting sqref="G165">
    <cfRule type="expression" dxfId="0" priority="1">
      <formula>IF($G$166="", FALSE, TRUE)</formula>
    </cfRule>
  </conditionalFormatting>
  <dataValidations count="6">
    <dataValidation type="list" allowBlank="1" showInputMessage="1" showErrorMessage="1" promptTitle="PWM Switching Frequency" prompt="Select the switching frequency from the list." sqref="F68">
      <formula1>dd_oscillator</formula1>
    </dataValidation>
    <dataValidation type="list" allowBlank="1" showInputMessage="1" showErrorMessage="1" sqref="F76">
      <formula1>dd_masterslave</formula1>
    </dataValidation>
    <dataValidation type="list" allowBlank="1" showInputMessage="1" showErrorMessage="1" sqref="E50">
      <formula1>dd_outputconfig</formula1>
    </dataValidation>
    <dataValidation type="list" allowBlank="1" showInputMessage="1" showErrorMessage="1" sqref="F92:I92">
      <formula1>dd_modulation</formula1>
    </dataValidation>
    <dataValidation type="list" allowBlank="1" showInputMessage="1" showErrorMessage="1" sqref="F117">
      <formula1>dd_gain</formula1>
    </dataValidation>
    <dataValidation type="list" allowBlank="1" showInputMessage="1" showErrorMessage="1" sqref="F149:I149">
      <formula1>dd_5v</formula1>
    </dataValidation>
  </dataValidations>
  <hyperlinks>
    <hyperlink ref="C17:G17" location="toc_outputconfig" display="toc_outputconfig"/>
    <hyperlink ref="C18:G18" location="toc_switchingfrequency" display="toc_switchingfrequency"/>
    <hyperlink ref="C22:G22" location="toc_oc" display="toc_oc"/>
    <hyperlink ref="C23:G23" location="toc_bulk" display="toc_bulk"/>
    <hyperlink ref="C24:G24" location="toc_inputcap" display="toc_inputcap"/>
    <hyperlink ref="C26:G26" location="toc_contants" display="toc_contants"/>
    <hyperlink ref="C19:G19" location="toc_modulationscheme" display="toc_modulationscheme"/>
    <hyperlink ref="C20:G20" location="toc_amplifiergain" display="toc_amplifiergain"/>
    <hyperlink ref="C25:G25" location="toc_inductor" display="toc_inductor"/>
    <hyperlink ref="C21:F21" location="toc_5vrail" display="toc_5vrail"/>
  </hyperlinks>
  <pageMargins left="0.7" right="0.7" top="0.75" bottom="0.75" header="0.3" footer="0.3"/>
  <pageSetup scale="76" fitToHeight="0" orientation="portrait" r:id="rId1"/>
  <rowBreaks count="3" manualBreakCount="3">
    <brk id="62" max="16383" man="1"/>
    <brk id="170" max="16383" man="1"/>
    <brk id="226" max="16383" man="1"/>
  </rowBreaks>
  <colBreaks count="2" manualBreakCount="2">
    <brk id="1" max="1048575" man="1"/>
    <brk id="2" max="1048575" man="1"/>
  </colBreaks>
  <drawing r:id="rId2"/>
  <legacyDrawing r:id="rId3"/>
  <oleObjects>
    <mc:AlternateContent xmlns:mc="http://schemas.openxmlformats.org/markup-compatibility/2006">
      <mc:Choice Requires="x14">
        <oleObject progId="Visio.Drawing.11" shapeId="3087" r:id="rId4">
          <objectPr defaultSize="0" autoPict="0" r:id="rId5">
            <anchor moveWithCells="1" sizeWithCells="1">
              <from>
                <xdr:col>3</xdr:col>
                <xdr:colOff>276225</xdr:colOff>
                <xdr:row>188</xdr:row>
                <xdr:rowOff>95250</xdr:rowOff>
              </from>
              <to>
                <xdr:col>8</xdr:col>
                <xdr:colOff>447675</xdr:colOff>
                <xdr:row>198</xdr:row>
                <xdr:rowOff>133350</xdr:rowOff>
              </to>
            </anchor>
          </objectPr>
        </oleObject>
      </mc:Choice>
      <mc:Fallback>
        <oleObject progId="Visio.Drawing.11" shapeId="3087" r:id="rId4"/>
      </mc:Fallback>
    </mc:AlternateContent>
    <mc:AlternateContent xmlns:mc="http://schemas.openxmlformats.org/markup-compatibility/2006">
      <mc:Choice Requires="x14">
        <oleObject progId="Visio.Drawing.11" shapeId="3099" r:id="rId6">
          <objectPr defaultSize="0" autoPict="0" r:id="rId7">
            <anchor moveWithCells="1">
              <from>
                <xdr:col>7</xdr:col>
                <xdr:colOff>438150</xdr:colOff>
                <xdr:row>238</xdr:row>
                <xdr:rowOff>114300</xdr:rowOff>
              </from>
              <to>
                <xdr:col>10</xdr:col>
                <xdr:colOff>28575</xdr:colOff>
                <xdr:row>244</xdr:row>
                <xdr:rowOff>0</xdr:rowOff>
              </to>
            </anchor>
          </objectPr>
        </oleObject>
      </mc:Choice>
      <mc:Fallback>
        <oleObject progId="Visio.Drawing.11" shapeId="3099" r:id="rId6"/>
      </mc:Fallback>
    </mc:AlternateContent>
    <mc:AlternateContent xmlns:mc="http://schemas.openxmlformats.org/markup-compatibility/2006">
      <mc:Choice Requires="x14">
        <oleObject progId="Visio" shapeId="3110" r:id="rId8">
          <objectPr defaultSize="0" r:id="rId9">
            <anchor moveWithCells="1">
              <from>
                <xdr:col>3</xdr:col>
                <xdr:colOff>409575</xdr:colOff>
                <xdr:row>181</xdr:row>
                <xdr:rowOff>9525</xdr:rowOff>
              </from>
              <to>
                <xdr:col>7</xdr:col>
                <xdr:colOff>590550</xdr:colOff>
                <xdr:row>186</xdr:row>
                <xdr:rowOff>57150</xdr:rowOff>
              </to>
            </anchor>
          </objectPr>
        </oleObject>
      </mc:Choice>
      <mc:Fallback>
        <oleObject progId="Visio" shapeId="3110" r:id="rId8"/>
      </mc:Fallback>
    </mc:AlternateContent>
    <mc:AlternateContent xmlns:mc="http://schemas.openxmlformats.org/markup-compatibility/2006">
      <mc:Choice Requires="x14">
        <oleObject progId="Visio.Drawing.11" shapeId="3150" r:id="rId10">
          <objectPr defaultSize="0" autoPict="0" r:id="rId11">
            <anchor moveWithCells="1">
              <from>
                <xdr:col>3</xdr:col>
                <xdr:colOff>438150</xdr:colOff>
                <xdr:row>39</xdr:row>
                <xdr:rowOff>123825</xdr:rowOff>
              </from>
              <to>
                <xdr:col>5</xdr:col>
                <xdr:colOff>514350</xdr:colOff>
                <xdr:row>44</xdr:row>
                <xdr:rowOff>133350</xdr:rowOff>
              </to>
            </anchor>
          </objectPr>
        </oleObject>
      </mc:Choice>
      <mc:Fallback>
        <oleObject progId="Visio.Drawing.11" shapeId="3150" r:id="rId10"/>
      </mc:Fallback>
    </mc:AlternateContent>
    <mc:AlternateContent xmlns:mc="http://schemas.openxmlformats.org/markup-compatibility/2006">
      <mc:Choice Requires="x14">
        <oleObject progId="Visio.Drawing.11" shapeId="3151" r:id="rId12">
          <objectPr defaultSize="0" autoPict="0" r:id="rId13">
            <anchor moveWithCells="1">
              <from>
                <xdr:col>1</xdr:col>
                <xdr:colOff>523875</xdr:colOff>
                <xdr:row>39</xdr:row>
                <xdr:rowOff>123825</xdr:rowOff>
              </from>
              <to>
                <xdr:col>3</xdr:col>
                <xdr:colOff>200025</xdr:colOff>
                <xdr:row>45</xdr:row>
                <xdr:rowOff>66675</xdr:rowOff>
              </to>
            </anchor>
          </objectPr>
        </oleObject>
      </mc:Choice>
      <mc:Fallback>
        <oleObject progId="Visio.Drawing.11" shapeId="3151" r:id="rId12"/>
      </mc:Fallback>
    </mc:AlternateContent>
    <mc:AlternateContent xmlns:mc="http://schemas.openxmlformats.org/markup-compatibility/2006">
      <mc:Choice Requires="x14">
        <oleObject progId="Visio.Drawing.11" shapeId="3152" r:id="rId14">
          <objectPr defaultSize="0" autoPict="0" r:id="rId15">
            <anchor moveWithCells="1">
              <from>
                <xdr:col>6</xdr:col>
                <xdr:colOff>152400</xdr:colOff>
                <xdr:row>39</xdr:row>
                <xdr:rowOff>133350</xdr:rowOff>
              </from>
              <to>
                <xdr:col>7</xdr:col>
                <xdr:colOff>590550</xdr:colOff>
                <xdr:row>45</xdr:row>
                <xdr:rowOff>9525</xdr:rowOff>
              </to>
            </anchor>
          </objectPr>
        </oleObject>
      </mc:Choice>
      <mc:Fallback>
        <oleObject progId="Visio.Drawing.11" shapeId="3152" r:id="rId14"/>
      </mc:Fallback>
    </mc:AlternateContent>
    <mc:AlternateContent xmlns:mc="http://schemas.openxmlformats.org/markup-compatibility/2006">
      <mc:Choice Requires="x14">
        <oleObject progId="Visio.Drawing.11" shapeId="3153" r:id="rId16">
          <objectPr defaultSize="0" autoPict="0" r:id="rId17">
            <anchor moveWithCells="1">
              <from>
                <xdr:col>8</xdr:col>
                <xdr:colOff>85725</xdr:colOff>
                <xdr:row>39</xdr:row>
                <xdr:rowOff>123825</xdr:rowOff>
              </from>
              <to>
                <xdr:col>10</xdr:col>
                <xdr:colOff>0</xdr:colOff>
                <xdr:row>45</xdr:row>
                <xdr:rowOff>19050</xdr:rowOff>
              </to>
            </anchor>
          </objectPr>
        </oleObject>
      </mc:Choice>
      <mc:Fallback>
        <oleObject progId="Visio.Drawing.11" shapeId="3153" r:id="rId1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6"/>
  <sheetViews>
    <sheetView zoomScale="85" zoomScaleNormal="85" workbookViewId="0">
      <selection activeCell="F4" sqref="F4"/>
    </sheetView>
  </sheetViews>
  <sheetFormatPr defaultRowHeight="14.25" x14ac:dyDescent="0.2"/>
  <cols>
    <col min="1" max="1" width="6.875" style="2" customWidth="1"/>
    <col min="2" max="2" width="14" customWidth="1"/>
    <col min="4" max="4" width="13.125" hidden="1" customWidth="1"/>
    <col min="5" max="5" width="1.125" style="2" hidden="1" customWidth="1"/>
    <col min="6" max="6" width="11.625" style="10" customWidth="1"/>
    <col min="7" max="7" width="17" style="10" customWidth="1"/>
    <col min="8" max="8" width="18.375" style="10" customWidth="1"/>
    <col min="9" max="9" width="11.625" style="10" customWidth="1"/>
    <col min="10" max="10" width="7.625" style="11" bestFit="1" customWidth="1"/>
    <col min="11" max="11" width="88.25" customWidth="1"/>
  </cols>
  <sheetData>
    <row r="1" spans="1:11" ht="37.5" customHeight="1" x14ac:dyDescent="0.2">
      <c r="A1" s="6" t="s">
        <v>1</v>
      </c>
      <c r="B1" s="7" t="s">
        <v>0</v>
      </c>
      <c r="C1" s="6" t="s">
        <v>8</v>
      </c>
      <c r="D1" s="6" t="s">
        <v>19</v>
      </c>
      <c r="E1" s="8" t="s">
        <v>21</v>
      </c>
      <c r="F1" s="6" t="s">
        <v>15</v>
      </c>
      <c r="G1" s="6" t="s">
        <v>125</v>
      </c>
      <c r="H1" s="8" t="s">
        <v>93</v>
      </c>
      <c r="I1" s="8" t="s">
        <v>94</v>
      </c>
      <c r="J1" s="8" t="s">
        <v>40</v>
      </c>
      <c r="K1" s="6" t="s">
        <v>34</v>
      </c>
    </row>
    <row r="2" spans="1:11" x14ac:dyDescent="0.2">
      <c r="A2" s="2">
        <v>1</v>
      </c>
      <c r="B2" t="s">
        <v>2</v>
      </c>
      <c r="C2" t="s">
        <v>12</v>
      </c>
      <c r="D2" t="s">
        <v>18</v>
      </c>
      <c r="E2" s="2">
        <v>12</v>
      </c>
      <c r="K2" s="3" t="str">
        <f>CONCATENATE("Connect to ", vdd, ". Cbulk = 470 uF, Cdecoupling = 100 nF next to pin")</f>
        <v>Connect to 7V-30V. Cbulk = 470 uF, Cdecoupling = 100 nF next to pin</v>
      </c>
    </row>
    <row r="3" spans="1:11" x14ac:dyDescent="0.2">
      <c r="A3" s="2">
        <v>2</v>
      </c>
      <c r="B3" t="s">
        <v>103</v>
      </c>
      <c r="C3" t="s">
        <v>9</v>
      </c>
      <c r="D3" t="s">
        <v>18</v>
      </c>
      <c r="E3" s="2">
        <v>12</v>
      </c>
      <c r="K3" s="3" t="str">
        <f>CONCATENATE("Gain = ", gain, " dB, ", master_slave_mode, " Mode.  R1 = ",r_r1," kΩ to GND, R2 = ", r_r2, " kΩ to AVDD.  ")</f>
        <v xml:space="preserve">Gain = 24 dB, Master Mode.  R1 = 20 kΩ to GND, R2 = 100 kΩ to AVDD.  </v>
      </c>
    </row>
    <row r="4" spans="1:11" x14ac:dyDescent="0.2">
      <c r="A4" s="2">
        <v>3</v>
      </c>
      <c r="B4" s="5" t="s">
        <v>104</v>
      </c>
      <c r="C4" t="s">
        <v>10</v>
      </c>
      <c r="J4" s="11" t="s">
        <v>16</v>
      </c>
      <c r="K4" t="s">
        <v>61</v>
      </c>
    </row>
    <row r="5" spans="1:11" x14ac:dyDescent="0.2">
      <c r="A5" s="2">
        <v>4</v>
      </c>
      <c r="B5" s="5" t="s">
        <v>7</v>
      </c>
      <c r="C5" t="s">
        <v>10</v>
      </c>
      <c r="J5" s="11" t="s">
        <v>16</v>
      </c>
      <c r="K5" t="s">
        <v>80</v>
      </c>
    </row>
    <row r="6" spans="1:11" x14ac:dyDescent="0.2">
      <c r="A6" s="2">
        <v>5</v>
      </c>
      <c r="B6" t="s">
        <v>4</v>
      </c>
      <c r="C6" t="s">
        <v>12</v>
      </c>
    </row>
    <row r="7" spans="1:11" x14ac:dyDescent="0.2">
      <c r="A7" s="2">
        <v>6</v>
      </c>
      <c r="B7" t="s">
        <v>4</v>
      </c>
      <c r="C7" t="s">
        <v>12</v>
      </c>
    </row>
    <row r="8" spans="1:11" x14ac:dyDescent="0.2">
      <c r="A8" s="2">
        <v>7</v>
      </c>
      <c r="B8" s="5" t="s">
        <v>4</v>
      </c>
      <c r="C8" t="s">
        <v>12</v>
      </c>
    </row>
    <row r="9" spans="1:11" x14ac:dyDescent="0.2">
      <c r="A9" s="2">
        <v>8</v>
      </c>
      <c r="B9" s="5" t="s">
        <v>105</v>
      </c>
      <c r="C9" t="s">
        <v>9</v>
      </c>
      <c r="F9" s="10" t="s">
        <v>41</v>
      </c>
      <c r="G9" s="10" t="s">
        <v>41</v>
      </c>
      <c r="H9" s="10" t="s">
        <v>41</v>
      </c>
      <c r="I9" s="10" t="s">
        <v>41</v>
      </c>
      <c r="J9" s="11" t="s">
        <v>82</v>
      </c>
      <c r="K9" s="3" t="str">
        <f>CONCATENATE("AC Coupling Cap = ",C_input," uF")</f>
        <v>AC Coupling Cap = 1 uF</v>
      </c>
    </row>
    <row r="10" spans="1:11" x14ac:dyDescent="0.2">
      <c r="A10" s="2">
        <v>9</v>
      </c>
      <c r="B10" s="5" t="s">
        <v>106</v>
      </c>
      <c r="C10" t="s">
        <v>9</v>
      </c>
      <c r="F10" s="10" t="s">
        <v>42</v>
      </c>
      <c r="G10" s="10" t="s">
        <v>42</v>
      </c>
      <c r="H10" s="10" t="s">
        <v>42</v>
      </c>
      <c r="I10" s="10" t="s">
        <v>42</v>
      </c>
      <c r="J10" s="11" t="s">
        <v>82</v>
      </c>
      <c r="K10" s="3" t="str">
        <f>CONCATENATE("AC Coupling Cap = ",C_input," uF")</f>
        <v>AC Coupling Cap = 1 uF</v>
      </c>
    </row>
    <row r="11" spans="1:11" x14ac:dyDescent="0.2">
      <c r="A11" s="2">
        <v>10</v>
      </c>
      <c r="B11" s="5" t="s">
        <v>6</v>
      </c>
      <c r="C11" t="s">
        <v>9</v>
      </c>
      <c r="K11" t="s">
        <v>127</v>
      </c>
    </row>
    <row r="12" spans="1:11" x14ac:dyDescent="0.2">
      <c r="A12" s="2">
        <v>11</v>
      </c>
      <c r="B12" t="s">
        <v>107</v>
      </c>
      <c r="C12" t="s">
        <v>9</v>
      </c>
      <c r="D12" t="s">
        <v>17</v>
      </c>
      <c r="E12" s="2">
        <v>3.3</v>
      </c>
      <c r="K12" s="3" t="str">
        <f>CONCATENATE(modulationscheme," modulation scheme. ", pin_head, ".")</f>
        <v>High Efficiency AD (HEAD) modulation scheme. Connect to AVDD.</v>
      </c>
    </row>
    <row r="13" spans="1:11" x14ac:dyDescent="0.2">
      <c r="A13" s="2">
        <v>12</v>
      </c>
      <c r="B13" t="s">
        <v>108</v>
      </c>
      <c r="C13" t="s">
        <v>11</v>
      </c>
      <c r="D13" t="s">
        <v>18</v>
      </c>
      <c r="E13" s="2" t="s">
        <v>4</v>
      </c>
      <c r="K13" s="3" t="str">
        <f>IF('Setup Guide'!$F$76="Master", "Do not connect. Leave floating.", "Connect to OSCM/OSCP of master and slave.  Add 47kΩ pull-up to AVDD on Master OSCM.")</f>
        <v>Do not connect. Leave floating.</v>
      </c>
    </row>
    <row r="14" spans="1:11" x14ac:dyDescent="0.2">
      <c r="A14" s="2">
        <v>13</v>
      </c>
      <c r="B14" t="s">
        <v>109</v>
      </c>
      <c r="C14" t="s">
        <v>11</v>
      </c>
      <c r="D14" t="s">
        <v>18</v>
      </c>
      <c r="E14" s="2" t="s">
        <v>4</v>
      </c>
      <c r="K14" s="3" t="str">
        <f>IF('Setup Guide'!$F$76="Master", "Do not connect. Leave floating.", "Connect to OSCM/OSCP of master and slave.  Add 47kΩ pull-down to GND on Master OSCP.")</f>
        <v>Do not connect. Leave floating.</v>
      </c>
    </row>
    <row r="15" spans="1:11" x14ac:dyDescent="0.2">
      <c r="A15" s="2">
        <v>14</v>
      </c>
      <c r="B15" t="s">
        <v>3</v>
      </c>
      <c r="C15" t="s">
        <v>9</v>
      </c>
      <c r="D15" t="s">
        <v>17</v>
      </c>
      <c r="E15" s="2">
        <v>7.8</v>
      </c>
      <c r="K15" s="3" t="str">
        <f>CONCATENATE('Setup Guide'!F80, IF('Setup Guide'!F76="Master", CONCATENATE(" (", f_switching, "kHz switching frequency)"),""))</f>
        <v>50 kΩ to GND (600kHz switching frequency)</v>
      </c>
    </row>
    <row r="16" spans="1:11" x14ac:dyDescent="0.2">
      <c r="A16" s="2">
        <v>15</v>
      </c>
      <c r="B16" s="5" t="s">
        <v>110</v>
      </c>
      <c r="C16" t="s">
        <v>9</v>
      </c>
      <c r="F16" s="10" t="s">
        <v>43</v>
      </c>
      <c r="G16" s="10" t="s">
        <v>5</v>
      </c>
      <c r="H16" s="10" t="s">
        <v>4</v>
      </c>
      <c r="I16" s="10" t="s">
        <v>4</v>
      </c>
      <c r="J16" s="11" t="s">
        <v>4</v>
      </c>
      <c r="K16" s="3" t="str">
        <f>CONCATENATE("AC Coupling Cap = ",C_input," uF")</f>
        <v>AC Coupling Cap = 1 uF</v>
      </c>
    </row>
    <row r="17" spans="1:11" x14ac:dyDescent="0.2">
      <c r="A17" s="2">
        <v>16</v>
      </c>
      <c r="B17" t="s">
        <v>111</v>
      </c>
      <c r="C17" t="s">
        <v>9</v>
      </c>
      <c r="F17" s="10" t="s">
        <v>44</v>
      </c>
      <c r="G17" s="10" t="s">
        <v>5</v>
      </c>
      <c r="H17" s="10" t="s">
        <v>4</v>
      </c>
      <c r="I17" s="10" t="s">
        <v>4</v>
      </c>
      <c r="J17" s="11" t="s">
        <v>4</v>
      </c>
      <c r="K17" s="3" t="str">
        <f>CONCATENATE("AC Coupling Cap = ",C_input," uF")</f>
        <v>AC Coupling Cap = 1 uF</v>
      </c>
    </row>
    <row r="18" spans="1:11" x14ac:dyDescent="0.2">
      <c r="A18" s="2">
        <v>17</v>
      </c>
      <c r="B18" t="s">
        <v>112</v>
      </c>
      <c r="C18" t="s">
        <v>9</v>
      </c>
      <c r="F18" s="10" t="s">
        <v>126</v>
      </c>
      <c r="G18" s="10" t="s">
        <v>126</v>
      </c>
      <c r="H18" s="10" t="s">
        <v>126</v>
      </c>
      <c r="I18" s="10" t="s">
        <v>126</v>
      </c>
      <c r="J18" s="11" t="s">
        <v>82</v>
      </c>
      <c r="K18" t="s">
        <v>154</v>
      </c>
    </row>
    <row r="19" spans="1:11" x14ac:dyDescent="0.2">
      <c r="A19" s="2">
        <v>18</v>
      </c>
      <c r="B19" t="s">
        <v>4</v>
      </c>
      <c r="C19" t="s">
        <v>12</v>
      </c>
    </row>
    <row r="20" spans="1:11" x14ac:dyDescent="0.2">
      <c r="A20" s="2">
        <v>19</v>
      </c>
      <c r="B20" t="s">
        <v>4</v>
      </c>
      <c r="C20" t="s">
        <v>12</v>
      </c>
    </row>
    <row r="21" spans="1:11" x14ac:dyDescent="0.2">
      <c r="A21" s="2">
        <v>20</v>
      </c>
      <c r="B21" t="s">
        <v>4</v>
      </c>
      <c r="C21" t="s">
        <v>12</v>
      </c>
      <c r="D21" t="s">
        <v>17</v>
      </c>
      <c r="E21" s="2">
        <v>3.3</v>
      </c>
      <c r="K21" s="9"/>
    </row>
    <row r="22" spans="1:11" x14ac:dyDescent="0.2">
      <c r="A22" s="2">
        <v>21</v>
      </c>
      <c r="B22" t="s">
        <v>5</v>
      </c>
      <c r="C22" t="s">
        <v>12</v>
      </c>
      <c r="K22" s="3" t="str">
        <f>CONCATENATE("Connect to ", avdd, " next to pin")</f>
        <v>Connect to Connect to GVDD with 1 uF capacitor to GND next to pin</v>
      </c>
    </row>
    <row r="23" spans="1:11" x14ac:dyDescent="0.2">
      <c r="A23" s="2">
        <v>22</v>
      </c>
      <c r="B23" t="s">
        <v>113</v>
      </c>
      <c r="C23" t="s">
        <v>12</v>
      </c>
      <c r="D23" t="s">
        <v>18</v>
      </c>
      <c r="E23" s="2">
        <v>12</v>
      </c>
      <c r="K23" s="3" t="str">
        <f>CONCATENATE("Connect to ", gvdd)</f>
        <v>Connect to Connect to AVDD with 3.3 Ω and 1 uF low-pass filter</v>
      </c>
    </row>
    <row r="24" spans="1:11" x14ac:dyDescent="0.2">
      <c r="A24" s="2">
        <v>23</v>
      </c>
      <c r="B24" t="s">
        <v>114</v>
      </c>
      <c r="C24" t="s">
        <v>12</v>
      </c>
      <c r="D24" t="s">
        <v>17</v>
      </c>
      <c r="E24" s="2">
        <f>$E$30+12</f>
        <v>48</v>
      </c>
      <c r="K24" t="s">
        <v>20</v>
      </c>
    </row>
    <row r="25" spans="1:11" x14ac:dyDescent="0.2">
      <c r="A25" s="2">
        <v>24</v>
      </c>
      <c r="B25" t="s">
        <v>115</v>
      </c>
      <c r="C25" t="s">
        <v>12</v>
      </c>
      <c r="D25" t="s">
        <v>17</v>
      </c>
      <c r="E25" s="2">
        <f>$E$30+12</f>
        <v>48</v>
      </c>
      <c r="K25" t="s">
        <v>20</v>
      </c>
    </row>
    <row r="26" spans="1:11" x14ac:dyDescent="0.2">
      <c r="A26" s="2">
        <v>25</v>
      </c>
      <c r="B26" t="s">
        <v>4</v>
      </c>
      <c r="C26" t="s">
        <v>12</v>
      </c>
      <c r="D26" t="s">
        <v>18</v>
      </c>
      <c r="E26" s="2" t="s">
        <v>4</v>
      </c>
    </row>
    <row r="27" spans="1:11" x14ac:dyDescent="0.2">
      <c r="A27" s="2">
        <v>26</v>
      </c>
      <c r="B27" t="s">
        <v>4</v>
      </c>
      <c r="C27" t="s">
        <v>12</v>
      </c>
      <c r="D27" t="s">
        <v>18</v>
      </c>
      <c r="E27" s="2" t="s">
        <v>4</v>
      </c>
    </row>
    <row r="28" spans="1:11" x14ac:dyDescent="0.2">
      <c r="A28" s="2">
        <v>27</v>
      </c>
      <c r="B28" t="s">
        <v>116</v>
      </c>
      <c r="C28" t="s">
        <v>10</v>
      </c>
      <c r="F28" s="10" t="s">
        <v>95</v>
      </c>
      <c r="G28" s="10" t="s">
        <v>128</v>
      </c>
      <c r="H28" s="10" t="s">
        <v>99</v>
      </c>
      <c r="I28" s="10" t="s">
        <v>95</v>
      </c>
      <c r="J28" s="11" t="s">
        <v>16</v>
      </c>
      <c r="K28" s="5" t="s">
        <v>156</v>
      </c>
    </row>
    <row r="29" spans="1:11" x14ac:dyDescent="0.2">
      <c r="A29" s="2">
        <v>28</v>
      </c>
      <c r="B29" t="s">
        <v>116</v>
      </c>
      <c r="C29" t="s">
        <v>10</v>
      </c>
      <c r="F29" s="10" t="s">
        <v>95</v>
      </c>
      <c r="G29" s="10" t="s">
        <v>128</v>
      </c>
      <c r="H29" s="10" t="s">
        <v>99</v>
      </c>
      <c r="I29" s="10" t="s">
        <v>95</v>
      </c>
      <c r="J29" s="11" t="s">
        <v>16</v>
      </c>
      <c r="K29" s="5" t="s">
        <v>156</v>
      </c>
    </row>
    <row r="30" spans="1:11" x14ac:dyDescent="0.2">
      <c r="A30" s="2">
        <v>29</v>
      </c>
      <c r="B30" t="s">
        <v>117</v>
      </c>
      <c r="C30" t="s">
        <v>12</v>
      </c>
      <c r="D30" t="s">
        <v>18</v>
      </c>
      <c r="E30" s="2">
        <v>36</v>
      </c>
      <c r="K30" s="3" t="str">
        <f>CONCATENATE("C_bulk = ",TEXT(c_bulk,"#0"), " uF , ", "2 x C_decoupling = 1 uF next to pin")</f>
        <v>C_bulk = 323 uF , 2 x C_decoupling = 1 uF next to pin</v>
      </c>
    </row>
    <row r="31" spans="1:11" x14ac:dyDescent="0.2">
      <c r="A31" s="2">
        <v>30</v>
      </c>
      <c r="B31" t="s">
        <v>117</v>
      </c>
      <c r="C31" t="s">
        <v>12</v>
      </c>
      <c r="D31" t="s">
        <v>18</v>
      </c>
      <c r="E31" s="2">
        <f>$E$30</f>
        <v>36</v>
      </c>
      <c r="K31" s="5" t="s">
        <v>55</v>
      </c>
    </row>
    <row r="32" spans="1:11" x14ac:dyDescent="0.2">
      <c r="A32" s="2">
        <v>31</v>
      </c>
      <c r="B32" t="s">
        <v>117</v>
      </c>
      <c r="C32" t="s">
        <v>12</v>
      </c>
      <c r="D32" t="s">
        <v>18</v>
      </c>
      <c r="E32" s="2">
        <f>$E$30</f>
        <v>36</v>
      </c>
      <c r="K32" s="5" t="s">
        <v>54</v>
      </c>
    </row>
    <row r="33" spans="1:11" x14ac:dyDescent="0.2">
      <c r="A33" s="2">
        <v>32</v>
      </c>
      <c r="B33" t="s">
        <v>118</v>
      </c>
      <c r="C33" t="s">
        <v>10</v>
      </c>
      <c r="F33" s="10" t="s">
        <v>95</v>
      </c>
      <c r="G33" s="10" t="s">
        <v>128</v>
      </c>
      <c r="H33" s="10" t="s">
        <v>98</v>
      </c>
      <c r="I33" s="10" t="s">
        <v>95</v>
      </c>
      <c r="J33" s="11" t="s">
        <v>16</v>
      </c>
      <c r="K33" s="5" t="s">
        <v>156</v>
      </c>
    </row>
    <row r="34" spans="1:11" x14ac:dyDescent="0.2">
      <c r="A34" s="2">
        <v>33</v>
      </c>
      <c r="B34" t="s">
        <v>4</v>
      </c>
      <c r="C34" t="s">
        <v>12</v>
      </c>
      <c r="D34" t="s">
        <v>18</v>
      </c>
      <c r="E34" s="2" t="s">
        <v>4</v>
      </c>
    </row>
    <row r="35" spans="1:11" x14ac:dyDescent="0.2">
      <c r="A35" s="2">
        <v>34</v>
      </c>
      <c r="B35" t="s">
        <v>4</v>
      </c>
      <c r="C35" t="s">
        <v>12</v>
      </c>
      <c r="D35" t="s">
        <v>18</v>
      </c>
      <c r="E35" s="2" t="s">
        <v>4</v>
      </c>
    </row>
    <row r="36" spans="1:11" x14ac:dyDescent="0.2">
      <c r="A36" s="2">
        <v>35</v>
      </c>
      <c r="B36" t="s">
        <v>119</v>
      </c>
      <c r="C36" t="s">
        <v>10</v>
      </c>
      <c r="F36" s="10" t="s">
        <v>95</v>
      </c>
      <c r="G36" s="10" t="s">
        <v>95</v>
      </c>
      <c r="H36" s="10" t="s">
        <v>97</v>
      </c>
      <c r="I36" s="10" t="s">
        <v>95</v>
      </c>
      <c r="J36" s="11" t="s">
        <v>82</v>
      </c>
      <c r="K36" s="5" t="s">
        <v>156</v>
      </c>
    </row>
    <row r="37" spans="1:11" x14ac:dyDescent="0.2">
      <c r="A37" s="2">
        <v>36</v>
      </c>
      <c r="B37" t="s">
        <v>117</v>
      </c>
      <c r="C37" t="s">
        <v>12</v>
      </c>
      <c r="D37" t="s">
        <v>18</v>
      </c>
      <c r="E37" s="2">
        <f>$E$30</f>
        <v>36</v>
      </c>
      <c r="K37" s="3" t="str">
        <f>CONCATENATE("C_bulk = ",TEXT(c_bulk,"#0"), " uF , ", "2 x C_decoupling = 1 uF next to pin")</f>
        <v>C_bulk = 323 uF , 2 x C_decoupling = 1 uF next to pin</v>
      </c>
    </row>
    <row r="38" spans="1:11" x14ac:dyDescent="0.2">
      <c r="A38" s="2">
        <v>37</v>
      </c>
      <c r="B38" t="s">
        <v>117</v>
      </c>
      <c r="C38" t="s">
        <v>12</v>
      </c>
      <c r="D38" t="s">
        <v>18</v>
      </c>
      <c r="E38" s="2">
        <f>$E$30</f>
        <v>36</v>
      </c>
      <c r="K38" t="s">
        <v>57</v>
      </c>
    </row>
    <row r="39" spans="1:11" x14ac:dyDescent="0.2">
      <c r="A39" s="2">
        <v>38</v>
      </c>
      <c r="B39" t="s">
        <v>117</v>
      </c>
      <c r="C39" t="s">
        <v>12</v>
      </c>
      <c r="D39" t="s">
        <v>18</v>
      </c>
      <c r="E39" s="2">
        <f>$E$30</f>
        <v>36</v>
      </c>
      <c r="K39" t="s">
        <v>56</v>
      </c>
    </row>
    <row r="40" spans="1:11" x14ac:dyDescent="0.2">
      <c r="A40" s="2">
        <v>39</v>
      </c>
      <c r="B40" t="s">
        <v>120</v>
      </c>
      <c r="C40" t="s">
        <v>10</v>
      </c>
      <c r="F40" s="10" t="s">
        <v>95</v>
      </c>
      <c r="G40" s="10" t="s">
        <v>95</v>
      </c>
      <c r="H40" s="10" t="s">
        <v>96</v>
      </c>
      <c r="I40" s="10" t="s">
        <v>95</v>
      </c>
      <c r="J40" s="11" t="s">
        <v>82</v>
      </c>
      <c r="K40" s="5" t="s">
        <v>156</v>
      </c>
    </row>
    <row r="41" spans="1:11" x14ac:dyDescent="0.2">
      <c r="A41" s="2">
        <v>40</v>
      </c>
      <c r="B41" t="s">
        <v>120</v>
      </c>
      <c r="C41" t="s">
        <v>10</v>
      </c>
      <c r="F41" s="10" t="s">
        <v>95</v>
      </c>
      <c r="G41" s="10" t="s">
        <v>95</v>
      </c>
      <c r="H41" s="10" t="s">
        <v>96</v>
      </c>
      <c r="I41" s="10" t="s">
        <v>95</v>
      </c>
      <c r="J41" s="11" t="s">
        <v>82</v>
      </c>
      <c r="K41" s="5" t="s">
        <v>156</v>
      </c>
    </row>
    <row r="42" spans="1:11" x14ac:dyDescent="0.2">
      <c r="A42" s="2">
        <v>41</v>
      </c>
      <c r="B42" t="s">
        <v>4</v>
      </c>
      <c r="C42" t="s">
        <v>12</v>
      </c>
      <c r="D42" t="s">
        <v>18</v>
      </c>
      <c r="E42" s="2" t="s">
        <v>4</v>
      </c>
    </row>
    <row r="43" spans="1:11" x14ac:dyDescent="0.2">
      <c r="A43" s="2">
        <v>42</v>
      </c>
      <c r="B43" t="s">
        <v>4</v>
      </c>
      <c r="C43" t="s">
        <v>12</v>
      </c>
      <c r="D43" t="s">
        <v>18</v>
      </c>
      <c r="E43" s="2" t="s">
        <v>4</v>
      </c>
    </row>
    <row r="44" spans="1:11" x14ac:dyDescent="0.2">
      <c r="A44" s="2">
        <v>43</v>
      </c>
      <c r="B44" t="s">
        <v>121</v>
      </c>
      <c r="C44" t="s">
        <v>12</v>
      </c>
      <c r="D44" t="s">
        <v>17</v>
      </c>
      <c r="E44" s="2">
        <f>$E$30+12</f>
        <v>48</v>
      </c>
      <c r="K44" t="s">
        <v>20</v>
      </c>
    </row>
    <row r="45" spans="1:11" x14ac:dyDescent="0.2">
      <c r="A45" s="2">
        <v>44</v>
      </c>
      <c r="B45" t="s">
        <v>122</v>
      </c>
      <c r="C45" t="s">
        <v>12</v>
      </c>
      <c r="D45" t="s">
        <v>17</v>
      </c>
      <c r="E45" s="2">
        <f>$E$30+12</f>
        <v>48</v>
      </c>
      <c r="K45" t="s">
        <v>20</v>
      </c>
    </row>
    <row r="46" spans="1:11" x14ac:dyDescent="0.2">
      <c r="B46" t="s">
        <v>14</v>
      </c>
      <c r="C46" t="s">
        <v>12</v>
      </c>
      <c r="D46" t="s">
        <v>18</v>
      </c>
      <c r="E46" s="2" t="s">
        <v>4</v>
      </c>
      <c r="K46" t="s">
        <v>81</v>
      </c>
    </row>
  </sheetData>
  <sheetProtection sheet="1" objects="1" scenarios="1"/>
  <sortState ref="A2:J46">
    <sortCondition ref="A1"/>
  </sortState>
  <phoneticPr fontId="22" type="noConversion"/>
  <dataValidations count="1">
    <dataValidation type="list" allowBlank="1" showInputMessage="1" showErrorMessage="1" sqref="C2:C45">
      <formula1>dd_pintypes</formula1>
    </dataValidation>
  </dataValidations>
  <pageMargins left="0.7" right="0.7" top="0.75" bottom="0.75" header="0.3" footer="0.3"/>
  <pageSetup scale="66"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
  <sheetViews>
    <sheetView topLeftCell="C1" workbookViewId="0">
      <selection activeCell="S4" sqref="S4"/>
    </sheetView>
  </sheetViews>
  <sheetFormatPr defaultRowHeight="14.25" x14ac:dyDescent="0.2"/>
  <cols>
    <col min="4" max="4" width="17.75" bestFit="1" customWidth="1"/>
    <col min="5" max="5" width="41.375" customWidth="1"/>
    <col min="6" max="6" width="17.75" customWidth="1"/>
    <col min="7" max="7" width="12.125" customWidth="1"/>
    <col min="10" max="10" width="18.375" customWidth="1"/>
    <col min="11" max="11" width="18.625" customWidth="1"/>
    <col min="12" max="12" width="15.375" customWidth="1"/>
    <col min="13" max="13" width="14" customWidth="1"/>
    <col min="14" max="14" width="14.375" customWidth="1"/>
    <col min="15" max="15" width="15" customWidth="1"/>
  </cols>
  <sheetData>
    <row r="1" spans="1:21" x14ac:dyDescent="0.2">
      <c r="A1" s="1" t="s">
        <v>13</v>
      </c>
      <c r="C1" s="1" t="s">
        <v>24</v>
      </c>
      <c r="D1" s="1" t="s">
        <v>29</v>
      </c>
      <c r="E1" s="1" t="s">
        <v>38</v>
      </c>
      <c r="G1" s="1" t="s">
        <v>28</v>
      </c>
      <c r="I1" s="1" t="s">
        <v>131</v>
      </c>
      <c r="K1" s="1" t="s">
        <v>135</v>
      </c>
      <c r="L1" s="1" t="s">
        <v>138</v>
      </c>
      <c r="M1" s="1" t="s">
        <v>139</v>
      </c>
      <c r="N1" s="1" t="s">
        <v>137</v>
      </c>
      <c r="O1" s="1" t="s">
        <v>137</v>
      </c>
      <c r="P1" s="1" t="s">
        <v>148</v>
      </c>
      <c r="R1" s="1" t="s">
        <v>162</v>
      </c>
      <c r="S1" s="1" t="s">
        <v>2</v>
      </c>
      <c r="T1" s="1" t="s">
        <v>5</v>
      </c>
      <c r="U1" s="1" t="s">
        <v>113</v>
      </c>
    </row>
    <row r="2" spans="1:21" x14ac:dyDescent="0.2">
      <c r="A2" t="s">
        <v>9</v>
      </c>
      <c r="C2">
        <v>480</v>
      </c>
      <c r="D2" t="s">
        <v>79</v>
      </c>
      <c r="E2" t="s">
        <v>123</v>
      </c>
      <c r="G2" t="s">
        <v>26</v>
      </c>
      <c r="I2" t="s">
        <v>132</v>
      </c>
      <c r="K2">
        <v>18</v>
      </c>
      <c r="L2" s="59">
        <v>5.6</v>
      </c>
      <c r="M2" s="59" t="s">
        <v>147</v>
      </c>
      <c r="N2">
        <v>51</v>
      </c>
      <c r="O2">
        <v>51</v>
      </c>
      <c r="P2">
        <v>48</v>
      </c>
      <c r="R2" t="s">
        <v>163</v>
      </c>
      <c r="S2" t="s">
        <v>166</v>
      </c>
      <c r="T2" t="s">
        <v>169</v>
      </c>
      <c r="U2" t="s">
        <v>168</v>
      </c>
    </row>
    <row r="3" spans="1:21" x14ac:dyDescent="0.2">
      <c r="A3" t="s">
        <v>10</v>
      </c>
      <c r="C3">
        <v>533</v>
      </c>
      <c r="D3" t="s">
        <v>78</v>
      </c>
      <c r="E3" t="s">
        <v>124</v>
      </c>
      <c r="G3" t="s">
        <v>27</v>
      </c>
      <c r="I3" t="s">
        <v>134</v>
      </c>
      <c r="K3">
        <v>24</v>
      </c>
      <c r="L3" s="59">
        <v>20</v>
      </c>
      <c r="M3" s="59">
        <v>100</v>
      </c>
      <c r="N3">
        <v>75</v>
      </c>
      <c r="O3">
        <v>47</v>
      </c>
      <c r="P3">
        <v>24</v>
      </c>
      <c r="R3" t="s">
        <v>164</v>
      </c>
      <c r="S3" t="s">
        <v>173</v>
      </c>
      <c r="T3" t="s">
        <v>170</v>
      </c>
      <c r="U3" t="s">
        <v>167</v>
      </c>
    </row>
    <row r="4" spans="1:21" x14ac:dyDescent="0.2">
      <c r="A4" t="s">
        <v>11</v>
      </c>
      <c r="C4">
        <v>600</v>
      </c>
      <c r="D4" t="s">
        <v>129</v>
      </c>
      <c r="E4" t="s">
        <v>91</v>
      </c>
      <c r="K4">
        <v>30</v>
      </c>
      <c r="L4" s="59">
        <v>39</v>
      </c>
      <c r="M4" s="59">
        <v>100</v>
      </c>
      <c r="N4">
        <v>100</v>
      </c>
      <c r="O4">
        <v>39</v>
      </c>
      <c r="P4">
        <v>12</v>
      </c>
    </row>
    <row r="5" spans="1:21" x14ac:dyDescent="0.2">
      <c r="A5" t="s">
        <v>12</v>
      </c>
      <c r="E5" t="s">
        <v>92</v>
      </c>
      <c r="K5" s="58">
        <v>34</v>
      </c>
      <c r="L5" s="59">
        <v>47</v>
      </c>
      <c r="M5" s="59">
        <v>75</v>
      </c>
      <c r="N5" s="58">
        <v>100</v>
      </c>
      <c r="O5" s="58">
        <v>16</v>
      </c>
      <c r="P5" s="58">
        <v>7.7</v>
      </c>
    </row>
  </sheetData>
  <sortState ref="K2:M5">
    <sortCondition ref="K2"/>
  </sortState>
  <phoneticPr fontId="2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4" sqref="A4"/>
    </sheetView>
  </sheetViews>
  <sheetFormatPr defaultRowHeight="14.25" x14ac:dyDescent="0.2"/>
  <sheetData>
    <row r="1" spans="1:1" x14ac:dyDescent="0.2">
      <c r="A1" t="s">
        <v>62</v>
      </c>
    </row>
    <row r="4" spans="1:1" x14ac:dyDescent="0.2">
      <c r="A4" t="s">
        <v>63</v>
      </c>
    </row>
    <row r="6" spans="1:1" x14ac:dyDescent="0.2">
      <c r="A6" t="s">
        <v>71</v>
      </c>
    </row>
  </sheetData>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38</vt:i4>
      </vt:variant>
    </vt:vector>
  </HeadingPairs>
  <TitlesOfParts>
    <vt:vector size="42" baseType="lpstr">
      <vt:lpstr>Setup Guide</vt:lpstr>
      <vt:lpstr>Pin-Out</vt:lpstr>
      <vt:lpstr>Dropdowns</vt:lpstr>
      <vt:lpstr>Equations</vt:lpstr>
      <vt:lpstr>avdd</vt:lpstr>
      <vt:lpstr>c_bulk</vt:lpstr>
      <vt:lpstr>C_input</vt:lpstr>
      <vt:lpstr>dd_5v</vt:lpstr>
      <vt:lpstr>dd_gain</vt:lpstr>
      <vt:lpstr>dd_masterslave</vt:lpstr>
      <vt:lpstr>dd_modulation</vt:lpstr>
      <vt:lpstr>dd_oscillator</vt:lpstr>
      <vt:lpstr>dd_outputconfig</vt:lpstr>
      <vt:lpstr>dd_pintypes</vt:lpstr>
      <vt:lpstr>dutycycle_max</vt:lpstr>
      <vt:lpstr>f_switching</vt:lpstr>
      <vt:lpstr>gain</vt:lpstr>
      <vt:lpstr>gainselection</vt:lpstr>
      <vt:lpstr>gvdd</vt:lpstr>
      <vt:lpstr>ipeak</vt:lpstr>
      <vt:lpstr>master_slave_mode</vt:lpstr>
      <vt:lpstr>modulationscheme</vt:lpstr>
      <vt:lpstr>outputpower_peak</vt:lpstr>
      <vt:lpstr>pin_head</vt:lpstr>
      <vt:lpstr>PinOut</vt:lpstr>
      <vt:lpstr>r_inputimpedance</vt:lpstr>
      <vt:lpstr>r_r1</vt:lpstr>
      <vt:lpstr>r_r2</vt:lpstr>
      <vt:lpstr>selection_5v</vt:lpstr>
      <vt:lpstr>toc_5vrail</vt:lpstr>
      <vt:lpstr>toc_amplifiergain</vt:lpstr>
      <vt:lpstr>toc_bulk</vt:lpstr>
      <vt:lpstr>toc_constants</vt:lpstr>
      <vt:lpstr>toc_contants</vt:lpstr>
      <vt:lpstr>toc_inductor</vt:lpstr>
      <vt:lpstr>toc_inputcap</vt:lpstr>
      <vt:lpstr>toc_modulationscheme</vt:lpstr>
      <vt:lpstr>toc_oc</vt:lpstr>
      <vt:lpstr>toc_outputconfig</vt:lpstr>
      <vt:lpstr>toc_switchingfrequency</vt:lpstr>
      <vt:lpstr>v_inputripple</vt:lpstr>
      <vt:lpstr>vdd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Burk</dc:creator>
  <cp:lastModifiedBy>101367</cp:lastModifiedBy>
  <cp:lastPrinted>2016-10-06T18:51:45Z</cp:lastPrinted>
  <dcterms:created xsi:type="dcterms:W3CDTF">2016-08-28T02:20:42Z</dcterms:created>
  <dcterms:modified xsi:type="dcterms:W3CDTF">2019-12-05T00:16:57Z</dcterms:modified>
</cp:coreProperties>
</file>